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ESCROUX (81) -  PAGES PIERRE\Dossier à déposer\"/>
    </mc:Choice>
  </mc:AlternateContent>
  <xr:revisionPtr revIDLastSave="0" documentId="13_ncr:1_{370961C8-AC3A-42A2-8EDC-99D8FCB1AF6E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143" i="2" a="1"/>
  <c r="BC143" i="2" s="1"/>
  <c r="BC47" i="2" a="1"/>
  <c r="BC47" i="2" s="1"/>
  <c r="BC18" i="2" a="1"/>
  <c r="BC18" i="2" s="1"/>
  <c r="BC38" i="2" a="1"/>
  <c r="BC38" i="2" s="1"/>
  <c r="AH199" i="2" a="1"/>
  <c r="AH199" i="2" s="1"/>
  <c r="BC55" i="2" a="1"/>
  <c r="BC55" i="2" s="1"/>
  <c r="BC164" i="2" a="1"/>
  <c r="BC164" i="2" s="1"/>
  <c r="BC83" i="2" a="1"/>
  <c r="BC83" i="2" s="1"/>
  <c r="BC114" i="2" a="1"/>
  <c r="BC114" i="2" s="1"/>
  <c r="BC185" i="2" a="1"/>
  <c r="BC185" i="2" s="1"/>
  <c r="BC68" i="2" a="1"/>
  <c r="BC68" i="2" s="1"/>
  <c r="BC34" i="2" a="1"/>
  <c r="BC34" i="2" s="1"/>
  <c r="BC130" i="2" a="1"/>
  <c r="BC130" i="2" s="1"/>
  <c r="BC117" i="2" a="1"/>
  <c r="BC117" i="2" s="1"/>
  <c r="BC181" i="2" a="1"/>
  <c r="BC181" i="2" s="1"/>
  <c r="BC31" i="2" a="1"/>
  <c r="BC31" i="2" s="1"/>
  <c r="BC84" i="2" a="1"/>
  <c r="BC84" i="2" s="1"/>
  <c r="BC32" i="2" a="1"/>
  <c r="BC32" i="2" s="1"/>
  <c r="BC65" i="2" a="1"/>
  <c r="BC65" i="2" s="1"/>
  <c r="BC192" i="2" a="1"/>
  <c r="BC192" i="2" s="1"/>
  <c r="BC126" i="2" a="1"/>
  <c r="BC126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<sst xmlns="http://schemas.openxmlformats.org/spreadsheetml/2006/main" count="1171" uniqueCount="325">
  <si>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</si>
  <si>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</si>
  <si>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</si>
  <si>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</si>
  <si>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</si>
  <si>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</si>
  <si>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</si>
  <si>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</si>
  <si>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</si>
  <si>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</si>
  <si>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</si>
  <si>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</si>
  <si>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</si>
  <si>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</si>
  <si>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</si>
  <si>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</si>
  <si>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</si>
  <si>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</si>
  <si>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</si>
  <si>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</si>
  <si>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</si>
  <si>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</si>
  <si>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</si>
  <si>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</si>
  <si>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</si>
  <si>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</si>
  <si>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</si>
  <si>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</si>
  <si>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</si>
  <si>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</si>
  <si>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</si>
  <si>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</si>
  <si>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</si>
  <si>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</si>
  <si>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</si>
  <si>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</si>
  <si>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</si>
  <si>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</si>
  <si>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</si>
  <si>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</si>
  <si>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</si>
  <si>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</si>
  <si>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</si>
  <si>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</si>
  <si>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</si>
  <si>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</si>
  <si>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</si>
  <si>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</si>
  <si>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</si>
  <si>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</si>
  <si>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</si>
  <si>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</si>
  <si>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</si>
  <si>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</si>
  <si>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</si>
  <si>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</si>
  <si>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</si>
  <si>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</si>
  <si>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</si>
  <si>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</si>
  <si>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</si>
  <si>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</si>
  <si>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</si>
  <si>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</si>
  <si>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</si>
  <si>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</si>
  <si>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</si>
  <si>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</si>
  <si>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</si>
  <si>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</si>
  <si>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</si>
  <si>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</si>
  <si>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</si>
  <si>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</si>
  <si>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</si>
  <si>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</si>
  <si>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</si>
  <si>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</si>
  <si>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</si>
  <si>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</si>
  <si>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</si>
  <si>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</si>
  <si>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</si>
  <si>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</si>
  <si>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</si>
  <si>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</si>
  <si>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</si>
  <si>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</si>
  <si>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</si>
  <si>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</si>
  <si>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</si>
  <si>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</si>
  <si>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</si>
  <si>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</si>
  <si>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</si>
  <si>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</si>
  <si>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</si>
  <si>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</si>
  <si>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</si>
  <si>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</si>
  <si>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</si>
  <si>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</si>
  <si>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</si>
  <si>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</si>
  <si>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</si>
  <si>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</si>
  <si>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</si>
  <si>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</si>
  <si>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</si>
  <si>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</si>
  <si>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</si>
  <si>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</si>
  <si>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</si>
  <si>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</si>
  <si>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</si>
  <si>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</si>
  <si>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</si>
  <si>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</si>
  <si>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</si>
  <si>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</si>
  <si>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</si>
  <si>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</si>
  <si>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</si>
  <si>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</si>
  <si>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</si>
  <si>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</si>
  <si>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</si>
  <si>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</si>
  <si>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</si>
  <si>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</si>
  <si>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</si>
  <si>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</si>
  <si>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</si>
  <si>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</si>
  <si>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</si>
  <si>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</si>
  <si>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</si>
  <si>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</si>
  <si>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</si>
  <si>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</si>
  <si>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</si>
  <si>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</si>
  <si>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</si>
  <si>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</si>
  <si>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</si>
  <si>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</si>
  <si>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</si>
  <si>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</si>
  <si>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</si>
  <si>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</si>
  <si>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</si>
  <si>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</si>
  <si>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</si>
  <si>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</si>
  <si>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</si>
  <si>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</si>
  <si>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</si>
  <si>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</si>
  <si>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</si>
  <si>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</si>
  <si>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</si>
  <si>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</si>
  <si>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</si>
  <si>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</si>
  <si>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</si>
  <si>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</si>
  <si>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</si>
  <si>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</si>
  <si>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</si>
  <si>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</si>
  <si>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</si>
  <si>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</si>
  <si>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</si>
  <si>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</si>
  <si>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</si>
  <si>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</si>
  <si>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</si>
  <si>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</si>
  <si>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</si>
  <si>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</si>
  <si>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</si>
  <si>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</si>
  <si>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</si>
  <si>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</si>
  <si>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</si>
  <si>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</si>
  <si>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</si>
  <si>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</si>
  <si>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</si>
  <si>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</si>
  <si>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</si>
  <si>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</si>
  <si>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</si>
  <si>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</si>
  <si>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</si>
  <si>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</si>
  <si>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</si>
  <si>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</si>
  <si>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</si>
  <si>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</si>
  <si>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</si>
  <si>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</si>
  <si>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</si>
  <si>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</si>
  <si>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</si>
  <si>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</si>
  <si>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</si>
  <si>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</si>
  <si>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</si>
  <si>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</si>
  <si>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</si>
  <si>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</si>
  <si>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</si>
  <si>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</si>
  <si>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</si>
  <si>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</si>
  <si>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</si>
  <si>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</si>
  <si>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</si>
  <si>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</si>
  <si>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</si>
  <si>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</si>
  <si>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</si>
  <si>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</si>
  <si>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</si>
  <si>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</si>
  <si>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</si>
  <si>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</si>
  <si>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</si>
  <si>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</si>
  <si>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</si>
  <si>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</si>
  <si>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</si>
  <si>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</si>
  <si>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</si>
  <si>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</si>
  <si>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</si>
  <si>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</si>
  <si>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</si>
  <si>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</si>
  <si>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</si>
  <si>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</si>
  <si>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</si>
  <si>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</si>
  <si>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</si>
  <si>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</si>
  <si>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</si>
  <si>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</si>
  <si>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</si>
  <si>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</si>
  <si>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</si>
  <si>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</si>
  <si>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</si>
  <si>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</si>
  <si>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</si>
  <si>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</si>
  <si>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</si>
  <si>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</si>
  <si>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</si>
  <si>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</si>
  <si>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</si>
  <si>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</si>
  <si>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</si>
  <si>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</si>
  <si>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</si>
  <si>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</si>
  <si>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</si>
  <si>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</si>
  <si>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</si>
  <si>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</si>
  <si>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</si>
  <si>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</si>
  <si>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</si>
  <si>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</si>
  <si>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</si>
  <si>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</si>
  <si>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</si>
  <si>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</si>
  <si>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</si>
  <si>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</si>
  <si>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</si>
  <si>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</si>
  <si>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</si>
  <si>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</si>
  <si>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</si>
  <si>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</si>
  <si>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</si>
  <si>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</si>
  <si>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</si>
  <si>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</si>
  <si>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</si>
  <si>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</si>
  <si>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</si>
  <si>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</si>
  <si>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</si>
  <si>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</si>
  <si>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</si>
  <si>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</si>
  <si>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</si>
  <si>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</si>
  <si>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</si>
  <si>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</si>
  <si>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</si>
  <si>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</si>
  <si>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</si>
  <si>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</si>
  <si>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</si>
  <si>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</si>
  <si>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</si>
  <si>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</si>
  <si>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</si>
  <si>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</si>
  <si>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</si>
  <si>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</si>
  <si>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</si>
  <si>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</si>
  <si>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</si>
  <si>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</si>
  <si>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</si>
  <si>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</si>
  <si>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</si>
  <si>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</si>
  <si>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</si>
  <si>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</si>
  <si>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cèdre de l'Atlas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</si>
</sst>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219.61222399453172</c:v>
                </c:pt>
                <c:pt idx="32">
                  <c:v>236.65303049357692</c:v>
                </c:pt>
                <c:pt idx="33">
                  <c:v>253.66586546913962</c:v>
                </c:pt>
                <c:pt idx="34">
                  <c:v>270.65286891847927</c:v>
                </c:pt>
                <c:pt idx="35">
                  <c:v>287.6158901809053</c:v>
                </c:pt>
                <c:pt idx="36">
                  <c:v>307.23708630953638</c:v>
                </c:pt>
                <c:pt idx="37">
                  <c:v>326.83044753519135</c:v>
                </c:pt>
                <c:pt idx="38">
                  <c:v>346.39787662414318</c:v>
                </c:pt>
                <c:pt idx="39">
                  <c:v>365.94104386785261</c:v>
                </c:pt>
                <c:pt idx="40">
                  <c:v>385.46142664243024</c:v>
                </c:pt>
                <c:pt idx="41">
                  <c:v>404.9603405331514</c:v>
                </c:pt>
                <c:pt idx="42">
                  <c:v>424.43896415017292</c:v>
                </c:pt>
                <c:pt idx="43">
                  <c:v>263.43320731240277</c:v>
                </c:pt>
                <c:pt idx="44">
                  <c:v>281.10956764611268</c:v>
                </c:pt>
                <c:pt idx="45">
                  <c:v>298.76101946759735</c:v>
                </c:pt>
                <c:pt idx="46">
                  <c:v>316.38924124003148</c:v>
                </c:pt>
                <c:pt idx="47">
                  <c:v>333.99570911458437</c:v>
                </c:pt>
                <c:pt idx="48">
                  <c:v>351.58173091870771</c:v>
                </c:pt>
                <c:pt idx="49">
                  <c:v>369.14847298502377</c:v>
                </c:pt>
                <c:pt idx="50">
                  <c:v>285.34825454721067</c:v>
                </c:pt>
                <c:pt idx="51">
                  <c:v>302.43111467084145</c:v>
                </c:pt>
                <c:pt idx="52">
                  <c:v>319.4925073071027</c:v>
                </c:pt>
                <c:pt idx="53">
                  <c:v>336.53373998340851</c:v>
                </c:pt>
                <c:pt idx="54">
                  <c:v>353.55597700482872</c:v>
                </c:pt>
                <c:pt idx="55">
                  <c:v>370.56026142641809</c:v>
                </c:pt>
                <c:pt idx="56">
                  <c:v>387.54753278046701</c:v>
                </c:pt>
                <c:pt idx="57">
                  <c:v>324.37629966034956</c:v>
                </c:pt>
                <c:pt idx="58">
                  <c:v>341.05049421910081</c:v>
                </c:pt>
                <c:pt idx="59">
                  <c:v>357.70676712723872</c:v>
                </c:pt>
                <c:pt idx="60">
                  <c:v>374.34607016552553</c:v>
                </c:pt>
                <c:pt idx="61">
                  <c:v>390.9692636126295</c:v>
                </c:pt>
                <c:pt idx="62">
                  <c:v>407.57712863926145</c:v>
                </c:pt>
                <c:pt idx="63">
                  <c:v>424.17037757659028</c:v>
                </c:pt>
                <c:pt idx="64">
                  <c:v>361.12446840006714</c:v>
                </c:pt>
                <c:pt idx="65">
                  <c:v>377.17009724933331</c:v>
                </c:pt>
                <c:pt idx="66">
                  <c:v>393.2008687130413</c:v>
                </c:pt>
                <c:pt idx="67">
                  <c:v>409.21747366272535</c:v>
                </c:pt>
                <c:pt idx="68">
                  <c:v>425.22054448868658</c:v>
                </c:pt>
                <c:pt idx="69">
                  <c:v>441.21066211067341</c:v>
                </c:pt>
                <c:pt idx="70">
                  <c:v>457.1883619193361</c:v>
                </c:pt>
                <c:pt idx="71">
                  <c:v>473.15413884394292</c:v>
                </c:pt>
                <c:pt idx="72">
                  <c:v>397.86059002257917</c:v>
                </c:pt>
                <c:pt idx="73">
                  <c:v>412.91768516797657</c:v>
                </c:pt>
                <c:pt idx="74">
                  <c:v>427.96293681814245</c:v>
                </c:pt>
                <c:pt idx="75">
                  <c:v>442.99681988354081</c:v>
                </c:pt>
                <c:pt idx="76">
                  <c:v>458.01977441859185</c:v>
                </c:pt>
                <c:pt idx="77">
                  <c:v>473.03220926309092</c:v>
                </c:pt>
                <c:pt idx="78">
                  <c:v>488.03450519735719</c:v>
                </c:pt>
                <c:pt idx="79">
                  <c:v>503.02701768929563</c:v>
                </c:pt>
                <c:pt idx="80">
                  <c:v>430.14805444118105</c:v>
                </c:pt>
                <c:pt idx="81">
                  <c:v>444.22489124994286</c:v>
                </c:pt>
                <c:pt idx="82">
                  <c:v>458.29217559527996</c:v>
                </c:pt>
                <c:pt idx="83">
                  <c:v>472.35024193902149</c:v>
                </c:pt>
                <c:pt idx="84">
                  <c:v>486.39940321481521</c:v>
                </c:pt>
                <c:pt idx="85">
                  <c:v>500.43995280861191</c:v>
                </c:pt>
                <c:pt idx="86">
                  <c:v>514.47216630536309</c:v>
                </c:pt>
                <c:pt idx="87">
                  <c:v>528.49630303527977</c:v>
                </c:pt>
                <c:pt idx="88">
                  <c:v>454.17031803082273</c:v>
                </c:pt>
                <c:pt idx="89">
                  <c:v>467.12585389682596</c:v>
                </c:pt>
                <c:pt idx="90">
                  <c:v>480.07373346291911</c:v>
                </c:pt>
                <c:pt idx="91">
                  <c:v>493.01419229307686</c:v>
                </c:pt>
                <c:pt idx="92">
                  <c:v>505.94745257858148</c:v>
                </c:pt>
                <c:pt idx="93">
                  <c:v>518.87372422679118</c:v>
                </c:pt>
                <c:pt idx="94">
                  <c:v>531.79320583578794</c:v>
                </c:pt>
                <c:pt idx="95">
                  <c:v>544.98644157199544</c:v>
                </c:pt>
                <c:pt idx="96">
                  <c:v>287.88677558805261</c:v>
                </c:pt>
                <c:pt idx="97">
                  <c:v>296.42847582858366</c:v>
                </c:pt>
                <c:pt idx="98">
                  <c:v>304.9646884541342</c:v>
                </c:pt>
                <c:pt idx="99">
                  <c:v>313.49558886091171</c:v>
                </c:pt>
                <c:pt idx="100">
                  <c:v>322.02134211207596</c:v>
                </c:pt>
                <c:pt idx="101">
                  <c:v>330.54210380994283</c:v>
                </c:pt>
                <c:pt idx="102">
                  <c:v>339.05802087349701</c:v>
                </c:pt>
                <c:pt idx="103">
                  <c:v>347.56923223366266</c:v>
                </c:pt>
                <c:pt idx="104">
                  <c:v>356.07586945687609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21" sqref="F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0.36980000000000002</v>
      </c>
      <c r="D9" s="36">
        <f t="shared" ref="D9:D18" si="0">C9*$C$5</f>
        <v>1.7565500000000001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0.36980000000000002</v>
      </c>
      <c r="D10" s="36">
        <f t="shared" si="0"/>
        <v>1.7565500000000001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0.26</v>
      </c>
      <c r="D11" s="36">
        <f t="shared" si="0"/>
        <v>1.2350000000000001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0.99960000000000004</v>
      </c>
      <c r="D19" s="41">
        <f>SUM(D9:D18)</f>
        <v>4.7481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61">
        <v>30</v>
      </c>
      <c r="B36" s="342">
        <v>195.28</v>
      </c>
      <c r="C36" s="342">
        <v>1</v>
      </c>
      <c r="D36" s="342">
        <v>0</v>
      </c>
      <c r="E36" s="54"/>
      <c r="F36" s="54"/>
      <c r="G36" s="54"/>
      <c r="H36" s="54"/>
      <c r="I36" s="52">
        <f>IFERROR(B36/A36,"")</f>
        <v>6.5093333333333332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61">
        <v>35</v>
      </c>
      <c r="B37" s="342">
        <v>279.76</v>
      </c>
      <c r="C37" s="342">
        <v>2</v>
      </c>
      <c r="D37" s="342">
        <v>0</v>
      </c>
      <c r="E37" s="54"/>
      <c r="F37" s="54"/>
      <c r="G37" s="54"/>
      <c r="H37" s="54"/>
      <c r="I37" s="56">
        <f t="shared" ref="I37:I55" si="1">IF(A37&lt;&gt;0,(B37-(B36-D36))/(A37-A36),"")</f>
        <v>16.895999999999997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61">
        <v>42</v>
      </c>
      <c r="B38" s="342">
        <v>416.76</v>
      </c>
      <c r="C38" s="342">
        <v>3</v>
      </c>
      <c r="D38" s="342">
        <v>182.39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61">
        <v>43</v>
      </c>
      <c r="B39" s="342">
        <v>255.68</v>
      </c>
      <c r="C39" s="342">
        <v>4</v>
      </c>
      <c r="D39" s="342">
        <v>0</v>
      </c>
      <c r="E39" s="54"/>
      <c r="F39" s="54"/>
      <c r="G39" s="54"/>
      <c r="H39" s="54"/>
      <c r="I39" s="52">
        <f t="shared" si="1"/>
        <v>21.310000000000002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61">
        <v>49</v>
      </c>
      <c r="B40" s="342">
        <v>361.26</v>
      </c>
      <c r="C40" s="342">
        <v>5</v>
      </c>
      <c r="D40" s="342">
        <v>100.16</v>
      </c>
      <c r="E40" s="54"/>
      <c r="F40" s="54"/>
      <c r="G40" s="54"/>
      <c r="H40" s="54"/>
      <c r="I40" s="52">
        <f t="shared" si="1"/>
        <v>17.596666666666664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61">
        <v>50</v>
      </c>
      <c r="B41" s="342">
        <v>277.5</v>
      </c>
      <c r="C41" s="342">
        <v>6</v>
      </c>
      <c r="D41" s="342">
        <v>0</v>
      </c>
      <c r="E41" s="54"/>
      <c r="F41" s="54"/>
      <c r="G41" s="54"/>
      <c r="H41" s="54"/>
      <c r="I41" s="56">
        <f t="shared" si="1"/>
        <v>16.399999999999977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61">
        <v>56</v>
      </c>
      <c r="B42" s="342">
        <v>379.71</v>
      </c>
      <c r="C42" s="342">
        <v>7</v>
      </c>
      <c r="D42" s="342">
        <v>79.39</v>
      </c>
      <c r="E42" s="54"/>
      <c r="F42" s="54"/>
      <c r="G42" s="54"/>
      <c r="H42" s="54"/>
      <c r="I42" s="56">
        <f t="shared" si="1"/>
        <v>17.034999999999997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1">
        <v>57</v>
      </c>
      <c r="B43" s="342">
        <v>316.45</v>
      </c>
      <c r="C43" s="342">
        <v>8</v>
      </c>
      <c r="D43" s="342">
        <v>0</v>
      </c>
      <c r="E43" s="54"/>
      <c r="F43" s="54"/>
      <c r="G43" s="54"/>
      <c r="H43" s="54"/>
      <c r="I43" s="52">
        <f t="shared" si="1"/>
        <v>16.129999999999995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1">
        <v>63</v>
      </c>
      <c r="B44" s="342">
        <v>416.49</v>
      </c>
      <c r="C44" s="342">
        <v>9</v>
      </c>
      <c r="D44" s="342">
        <v>79.099999999999994</v>
      </c>
      <c r="E44" s="54"/>
      <c r="F44" s="54"/>
      <c r="G44" s="54"/>
      <c r="H44" s="54"/>
      <c r="I44" s="52">
        <f t="shared" si="1"/>
        <v>16.673333333333336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1">
        <v>64</v>
      </c>
      <c r="B45" s="342">
        <v>353.22</v>
      </c>
      <c r="C45" s="342">
        <v>10</v>
      </c>
      <c r="D45" s="61">
        <v>0</v>
      </c>
      <c r="E45" s="54"/>
      <c r="F45" s="54"/>
      <c r="G45" s="54"/>
      <c r="H45" s="54"/>
      <c r="I45" s="52">
        <f t="shared" si="1"/>
        <v>15.830000000000041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61">
        <v>71</v>
      </c>
      <c r="B46" s="61">
        <v>465.79</v>
      </c>
      <c r="C46" s="342">
        <v>11</v>
      </c>
      <c r="D46" s="61">
        <v>90.8</v>
      </c>
      <c r="E46" s="54"/>
      <c r="F46" s="54"/>
      <c r="G46" s="54"/>
      <c r="H46" s="54"/>
      <c r="I46" s="52">
        <f t="shared" si="1"/>
        <v>16.081428571428571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61">
        <v>72</v>
      </c>
      <c r="B47" s="61">
        <v>390.06</v>
      </c>
      <c r="C47" s="342">
        <v>12</v>
      </c>
      <c r="D47" s="61">
        <v>0</v>
      </c>
      <c r="E47" s="54"/>
      <c r="F47" s="54"/>
      <c r="G47" s="54"/>
      <c r="H47" s="54"/>
      <c r="I47" s="52">
        <f t="shared" si="1"/>
        <v>15.069999999999993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61">
        <v>79</v>
      </c>
      <c r="B48" s="61">
        <v>495.91</v>
      </c>
      <c r="C48" s="342">
        <v>13</v>
      </c>
      <c r="D48" s="61">
        <v>87.99</v>
      </c>
      <c r="E48" s="54"/>
      <c r="F48" s="54"/>
      <c r="G48" s="54"/>
      <c r="H48" s="54"/>
      <c r="I48" s="52">
        <f t="shared" si="1"/>
        <v>15.121428571428575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61">
        <v>80</v>
      </c>
      <c r="B49" s="61">
        <v>422.5</v>
      </c>
      <c r="C49" s="342">
        <v>14</v>
      </c>
      <c r="D49" s="61">
        <v>0</v>
      </c>
      <c r="E49" s="54"/>
      <c r="F49" s="54"/>
      <c r="G49" s="54"/>
      <c r="H49" s="54"/>
      <c r="I49" s="52">
        <f t="shared" si="1"/>
        <v>14.579999999999984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61">
        <v>87</v>
      </c>
      <c r="B50" s="61">
        <v>521.62</v>
      </c>
      <c r="C50" s="342">
        <v>15</v>
      </c>
      <c r="D50" s="61">
        <v>88.62</v>
      </c>
      <c r="E50" s="54"/>
      <c r="F50" s="54"/>
      <c r="G50" s="54"/>
      <c r="H50" s="54"/>
      <c r="I50" s="52">
        <f t="shared" si="1"/>
        <v>14.16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61">
        <v>88</v>
      </c>
      <c r="B51" s="61">
        <v>446.67</v>
      </c>
      <c r="C51" s="342">
        <v>16</v>
      </c>
      <c r="D51" s="61">
        <v>0</v>
      </c>
      <c r="E51" s="54"/>
      <c r="F51" s="54"/>
      <c r="G51" s="54"/>
      <c r="H51" s="54"/>
      <c r="I51" s="52">
        <f t="shared" si="1"/>
        <v>13.670000000000016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61">
        <v>94</v>
      </c>
      <c r="B52" s="61">
        <v>524.95000000000005</v>
      </c>
      <c r="C52" s="342">
        <v>17</v>
      </c>
      <c r="D52" s="61">
        <v>0</v>
      </c>
      <c r="E52" s="54"/>
      <c r="F52" s="54"/>
      <c r="G52" s="54"/>
      <c r="H52" s="54"/>
      <c r="I52" s="52">
        <f t="shared" si="1"/>
        <v>13.046666666666672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61">
        <v>95</v>
      </c>
      <c r="B53" s="61">
        <v>538.28</v>
      </c>
      <c r="C53" s="342">
        <v>18</v>
      </c>
      <c r="D53" s="61">
        <v>268.81</v>
      </c>
      <c r="E53" s="54"/>
      <c r="F53" s="54"/>
      <c r="G53" s="54"/>
      <c r="H53" s="54"/>
      <c r="I53" s="52">
        <f t="shared" si="1"/>
        <v>13.329999999999927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61">
        <v>96</v>
      </c>
      <c r="B54" s="61">
        <v>280.02999999999997</v>
      </c>
      <c r="C54" s="342">
        <v>19</v>
      </c>
      <c r="D54" s="61">
        <v>0</v>
      </c>
      <c r="E54" s="54"/>
      <c r="F54" s="54"/>
      <c r="G54" s="54"/>
      <c r="H54" s="54"/>
      <c r="I54" s="52">
        <f t="shared" si="1"/>
        <v>10.560000000000002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61">
        <v>105</v>
      </c>
      <c r="B55" s="61">
        <v>356.68</v>
      </c>
      <c r="C55" s="342">
        <v>20</v>
      </c>
      <c r="D55" s="61">
        <v>356.68</v>
      </c>
      <c r="E55" s="54"/>
      <c r="F55" s="54"/>
      <c r="G55" s="54"/>
      <c r="H55" s="54"/>
      <c r="I55" s="52">
        <f t="shared" si="1"/>
        <v>8.516666666666671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/>
      <c r="F63" s="54"/>
      <c r="G63" s="54">
        <v>1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/>
      <c r="F64" s="54">
        <v>0.5</v>
      </c>
      <c r="G64" s="54">
        <v>0.5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87</v>
      </c>
      <c r="C88" s="63">
        <v>1</v>
      </c>
      <c r="D88" s="63">
        <v>21</v>
      </c>
      <c r="E88" s="54"/>
      <c r="F88" s="54"/>
      <c r="G88" s="54">
        <v>1</v>
      </c>
      <c r="H88" s="93"/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137</v>
      </c>
      <c r="C89" s="63">
        <v>2</v>
      </c>
      <c r="D89" s="63">
        <v>43</v>
      </c>
      <c r="E89" s="54">
        <v>0.5</v>
      </c>
      <c r="F89" s="54">
        <v>0.5</v>
      </c>
      <c r="G89" s="54"/>
      <c r="H89" s="93"/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163</v>
      </c>
      <c r="C90" s="63">
        <v>3</v>
      </c>
      <c r="D90" s="63">
        <v>44</v>
      </c>
      <c r="E90" s="54">
        <v>0.5</v>
      </c>
      <c r="F90" s="54">
        <v>0.5</v>
      </c>
      <c r="G90" s="54"/>
      <c r="H90" s="93"/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185</v>
      </c>
      <c r="C91" s="63">
        <v>4</v>
      </c>
      <c r="D91" s="63">
        <v>44</v>
      </c>
      <c r="E91" s="54">
        <v>0.6</v>
      </c>
      <c r="F91" s="54">
        <v>0.4</v>
      </c>
      <c r="G91" s="54"/>
      <c r="H91" s="93"/>
      <c r="I91" s="56">
        <f t="shared" si="3"/>
        <v>13.2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201</v>
      </c>
      <c r="C92" s="63">
        <v>5</v>
      </c>
      <c r="D92" s="63">
        <v>42</v>
      </c>
      <c r="E92" s="93"/>
      <c r="F92" s="93"/>
      <c r="G92" s="93"/>
      <c r="H92" s="93"/>
      <c r="I92" s="56">
        <f t="shared" si="3"/>
        <v>12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214</v>
      </c>
      <c r="C93" s="63">
        <v>6</v>
      </c>
      <c r="D93" s="63">
        <v>39</v>
      </c>
      <c r="E93" s="93"/>
      <c r="F93" s="93"/>
      <c r="G93" s="93"/>
      <c r="H93" s="93"/>
      <c r="I93" s="56">
        <f t="shared" si="3"/>
        <v>11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224</v>
      </c>
      <c r="C94" s="63">
        <v>7</v>
      </c>
      <c r="D94" s="63">
        <v>36</v>
      </c>
      <c r="E94" s="93"/>
      <c r="F94" s="93"/>
      <c r="G94" s="93"/>
      <c r="H94" s="93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231</v>
      </c>
      <c r="C95" s="63">
        <v>8</v>
      </c>
      <c r="D95" s="63">
        <v>33</v>
      </c>
      <c r="E95" s="93"/>
      <c r="F95" s="93"/>
      <c r="G95" s="93"/>
      <c r="H95" s="93"/>
      <c r="I95" s="56">
        <f t="shared" si="3"/>
        <v>8.6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237</v>
      </c>
      <c r="C96" s="63">
        <v>9</v>
      </c>
      <c r="D96" s="63">
        <v>29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242</v>
      </c>
      <c r="C97" s="63">
        <v>10</v>
      </c>
      <c r="D97" s="63">
        <v>26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246</v>
      </c>
      <c r="C98" s="63">
        <v>11</v>
      </c>
      <c r="D98" s="63">
        <v>23</v>
      </c>
      <c r="E98" s="93"/>
      <c r="F98" s="93"/>
      <c r="G98" s="93"/>
      <c r="H98" s="93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249</v>
      </c>
      <c r="C99" s="63">
        <v>12</v>
      </c>
      <c r="D99" s="63">
        <v>249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228.57322051753096</v>
      </c>
      <c r="T3" s="62">
        <f>IF('Données projet'!E9&gt;30,$R$33-$H$33,LOOKUP('Données projet'!$E$9,$A$3:$A$203,R3:R203)-LOOKUP('Données projet'!$E$9,$A$3:$A$203,$H$3:$H$203))</f>
        <v>168.91992124331932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287.69656598881124</v>
      </c>
      <c r="AO3" s="62">
        <f>IF('Données projet'!E10&gt;30,$AM$33-$H$33,LOOKUP('Données projet'!$E$10,$A$3:$A$203,AM3:AM203)-LOOKUP('Données projet'!$E$10,$A$3:$A$203,$H$3:$H$203))</f>
        <v>221.9773436301067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254.12694970606668</v>
      </c>
      <c r="BJ3" s="62">
        <f>IF('Données projet'!E11&gt;30,$BH$33-$H$33,LOOKUP('Données projet'!$E$11,$A$3:$A$203,BH3:BH203)-LOOKUP('Données projet'!$E$11,$A$3:$A$203,$H$3:$H$203))</f>
        <v>319.62868041131082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6.5093333333333332</v>
      </c>
      <c r="N4" s="14">
        <f>IF('Données projet'!$A$36&gt;35,N3+M4-V3,IF(A4&lt;'Données projet'!$A$36,$K$205^A4,IF(A4='Données projet'!$A$36,'Données projet'!$B$36,N3+M4-V3)))</f>
        <v>1.1922168590978506</v>
      </c>
      <c r="O4" s="14">
        <f>N4*VLOOKUP('Données projet'!$B$9,Paramètres!$A$1:$I$89,3,0)*VLOOKUP('Données projet'!$B$9,Paramètres!$A$1:$I$89,5,0)</f>
        <v>0.55795749005779405</v>
      </c>
      <c r="P4" s="14">
        <f>EXP(-1.0587+0.8836*LN(O4)+0.284)</f>
        <v>0.27520023941954863</v>
      </c>
      <c r="Q4" s="22">
        <f t="shared" ref="Q4:Q34" si="2">(O4+P4)*0.475*44/12</f>
        <v>1.4510830455063717</v>
      </c>
      <c r="R4" s="62">
        <f t="shared" si="0"/>
        <v>294.78441637883969</v>
      </c>
      <c r="S4" s="62">
        <f ca="1">AVERAGE(OFFSET($R$3,0,0,'Données projet'!$E$9+1,1))-AVERAGE(OFFSET($H$3,0,0,'Données projet'!$E$9+1,1))</f>
        <v>228.57322051753096</v>
      </c>
      <c r="T4" s="62">
        <f>$T$3</f>
        <v>168.91992124331932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287.69656598881124</v>
      </c>
      <c r="AO4" s="62">
        <f>$AO$3</f>
        <v>221.9773436301067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296.30914895328908</v>
      </c>
      <c r="BI4" s="62">
        <f ca="1">AVERAGE(OFFSET($BH$3,0,0,'Données projet'!$E$11+1,1))-AVERAGE(OFFSET($H$3,0,0,'Données projet'!$E$11+1,1))</f>
        <v>254.12694970606668</v>
      </c>
      <c r="BJ4" s="62">
        <f>$BJ$3</f>
        <v>319.62868041131082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6.5093333333333332</v>
      </c>
      <c r="N5" s="14">
        <f>IF('Données projet'!$A$36&gt;35,N4+M5-V4,IF(A5&lt;'Données projet'!$A$36,$K$205^A5,IF(A5='Données projet'!$A$36,'Données projet'!$B$36,N4+M5-V4)))</f>
        <v>1.4213810391171442</v>
      </c>
      <c r="O5" s="14">
        <f>N5*VLOOKUP('Données projet'!$B$9,Paramètres!$A$1:$I$89,3,0)*VLOOKUP('Données projet'!$B$9,Paramètres!$A$1:$I$89,5,0)</f>
        <v>0.66520632630682341</v>
      </c>
      <c r="P5" s="14">
        <f t="shared" ref="P5:P68" si="33">EXP(-1.0587+0.8836*LN(O5)+0.284)</f>
        <v>0.32145213467656786</v>
      </c>
      <c r="Q5" s="22">
        <f t="shared" si="2"/>
        <v>1.7184301528794064</v>
      </c>
      <c r="R5" s="62">
        <f t="shared" si="0"/>
        <v>295.05176348621274</v>
      </c>
      <c r="S5" s="62">
        <f ca="1">AVERAGE(OFFSET($R$3,0,0,'Données projet'!$E$9+1,1))-AVERAGE(OFFSET($H$3,0,0,'Données projet'!$E$9+1,1))</f>
        <v>228.57322051753096</v>
      </c>
      <c r="T5" s="62">
        <f t="shared" ref="T5:T68" si="34">$T$3</f>
        <v>168.91992124331932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287.69656598881124</v>
      </c>
      <c r="AO5" s="62">
        <f t="shared" ref="AO5:AO68" si="36">$AO$3</f>
        <v>221.9773436301067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297.29863599029233</v>
      </c>
      <c r="BI5" s="62">
        <f ca="1">AVERAGE(OFFSET($BH$3,0,0,'Données projet'!$E$11+1,1))-AVERAGE(OFFSET($H$3,0,0,'Données projet'!$E$11+1,1))</f>
        <v>254.12694970606668</v>
      </c>
      <c r="BJ5" s="62">
        <f t="shared" ref="BJ5:BJ68" si="38">$BJ$3</f>
        <v>319.62868041131082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6.5093333333333332</v>
      </c>
      <c r="N6" s="14">
        <f>IF('Données projet'!$A$36&gt;35,N5+M6-V5,IF(A6&lt;'Données projet'!$A$36,$K$205^A6,IF(A6='Données projet'!$A$36,'Données projet'!$B$36,N5+M6-V5)))</f>
        <v>1.6945944380374807</v>
      </c>
      <c r="O6" s="14">
        <f>N6*VLOOKUP('Données projet'!$B$9,Paramètres!$A$1:$I$89,3,0)*VLOOKUP('Données projet'!$B$9,Paramètres!$A$1:$I$89,5,0)</f>
        <v>0.79307019700154091</v>
      </c>
      <c r="P6" s="14">
        <f t="shared" si="33"/>
        <v>0.37547741639349119</v>
      </c>
      <c r="Q6" s="22">
        <f t="shared" si="2"/>
        <v>2.0352204266630141</v>
      </c>
      <c r="R6" s="62">
        <f t="shared" si="0"/>
        <v>295.3685537599963</v>
      </c>
      <c r="S6" s="62">
        <f ca="1">AVERAGE(OFFSET($R$3,0,0,'Données projet'!$E$9+1,1))-AVERAGE(OFFSET($H$3,0,0,'Données projet'!$E$9+1,1))</f>
        <v>228.57322051753096</v>
      </c>
      <c r="T6" s="62">
        <f t="shared" si="34"/>
        <v>168.91992124331932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287.69656598881124</v>
      </c>
      <c r="AO6" s="62">
        <f t="shared" si="36"/>
        <v>221.9773436301067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298.61847972717322</v>
      </c>
      <c r="BI6" s="62">
        <f ca="1">AVERAGE(OFFSET($BH$3,0,0,'Données projet'!$E$11+1,1))-AVERAGE(OFFSET($H$3,0,0,'Données projet'!$E$11+1,1))</f>
        <v>254.12694970606668</v>
      </c>
      <c r="BJ6" s="62">
        <f t="shared" si="38"/>
        <v>319.62868041131082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6.5093333333333332</v>
      </c>
      <c r="N7" s="14">
        <f>IF('Données projet'!$A$36&gt;35,N6+M7-V6,IF(A7&lt;'Données projet'!$A$36,$K$205^A7,IF(A7='Données projet'!$A$36,'Données projet'!$B$36,N6+M7-V6)))</f>
        <v>2.0203240583617328</v>
      </c>
      <c r="O7" s="14">
        <f>N7*VLOOKUP('Données projet'!$B$9,Paramètres!$A$1:$I$89,3,0)*VLOOKUP('Données projet'!$B$9,Paramètres!$A$1:$I$89,5,0)</f>
        <v>0.94551165931329084</v>
      </c>
      <c r="P7" s="14">
        <f t="shared" si="33"/>
        <v>0.43858252913262774</v>
      </c>
      <c r="Q7" s="22">
        <f t="shared" si="2"/>
        <v>2.4106307115433077</v>
      </c>
      <c r="R7" s="62">
        <f t="shared" si="0"/>
        <v>295.74396404487663</v>
      </c>
      <c r="S7" s="62">
        <f ca="1">AVERAGE(OFFSET($R$3,0,0,'Données projet'!$E$9+1,1))-AVERAGE(OFFSET($H$3,0,0,'Données projet'!$E$9+1,1))</f>
        <v>228.57322051753096</v>
      </c>
      <c r="T7" s="62">
        <f t="shared" si="34"/>
        <v>168.91992124331932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287.69656598881124</v>
      </c>
      <c r="AO7" s="62">
        <f t="shared" si="36"/>
        <v>221.9773436301067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300.37939668714245</v>
      </c>
      <c r="BI7" s="62">
        <f ca="1">AVERAGE(OFFSET($BH$3,0,0,'Données projet'!$E$11+1,1))-AVERAGE(OFFSET($H$3,0,0,'Données projet'!$E$11+1,1))</f>
        <v>254.12694970606668</v>
      </c>
      <c r="BJ7" s="62">
        <f t="shared" si="38"/>
        <v>319.62868041131082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6.5093333333333332</v>
      </c>
      <c r="N8" s="14">
        <f>IF('Données projet'!$A$36&gt;35,N7+M8-V7,IF(A8&lt;'Données projet'!$A$36,$K$205^A8,IF(A8='Données projet'!$A$36,'Données projet'!$B$36,N7+M8-V7)))</f>
        <v>2.4086644032198476</v>
      </c>
      <c r="O8" s="14">
        <f>N8*VLOOKUP('Données projet'!$B$9,Paramètres!$A$1:$I$89,3,0)*VLOOKUP('Données projet'!$B$9,Paramètres!$A$1:$I$89,5,0)</f>
        <v>1.1272549407068886</v>
      </c>
      <c r="P8" s="14">
        <f t="shared" si="33"/>
        <v>0.5122934868039819</v>
      </c>
      <c r="Q8" s="22">
        <f t="shared" si="2"/>
        <v>2.8555468445814327</v>
      </c>
      <c r="R8" s="62">
        <f t="shared" si="0"/>
        <v>296.18888017791477</v>
      </c>
      <c r="S8" s="62">
        <f ca="1">AVERAGE(OFFSET($R$3,0,0,'Données projet'!$E$9+1,1))-AVERAGE(OFFSET($H$3,0,0,'Données projet'!$E$9+1,1))</f>
        <v>228.57322051753096</v>
      </c>
      <c r="T8" s="62">
        <f t="shared" si="34"/>
        <v>168.91992124331932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287.69656598881124</v>
      </c>
      <c r="AO8" s="62">
        <f t="shared" si="36"/>
        <v>221.9773436301067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302.72934092225324</v>
      </c>
      <c r="BI8" s="62">
        <f ca="1">AVERAGE(OFFSET($BH$3,0,0,'Données projet'!$E$11+1,1))-AVERAGE(OFFSET($H$3,0,0,'Données projet'!$E$11+1,1))</f>
        <v>254.12694970606668</v>
      </c>
      <c r="BJ8" s="62">
        <f t="shared" si="38"/>
        <v>319.62868041131082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6.5093333333333332</v>
      </c>
      <c r="N9" s="14">
        <f>IF('Données projet'!$A$36&gt;35,N8+M9-V8,IF(A9&lt;'Données projet'!$A$36,$K$205^A9,IF(A9='Données projet'!$A$36,'Données projet'!$B$36,N8+M9-V8)))</f>
        <v>2.8716503094275656</v>
      </c>
      <c r="O9" s="14">
        <f>N9*VLOOKUP('Données projet'!$B$9,Paramètres!$A$1:$I$89,3,0)*VLOOKUP('Données projet'!$B$9,Paramètres!$A$1:$I$89,5,0)</f>
        <v>1.3439323448121006</v>
      </c>
      <c r="P9" s="14">
        <f t="shared" si="33"/>
        <v>0.5983927748805018</v>
      </c>
      <c r="Q9" s="22">
        <f t="shared" si="2"/>
        <v>3.3828829167979486</v>
      </c>
      <c r="R9" s="62">
        <f t="shared" si="0"/>
        <v>296.71621625013125</v>
      </c>
      <c r="S9" s="62">
        <f ca="1">AVERAGE(OFFSET($R$3,0,0,'Données projet'!$E$9+1,1))-AVERAGE(OFFSET($H$3,0,0,'Données projet'!$E$9+1,1))</f>
        <v>228.57322051753096</v>
      </c>
      <c r="T9" s="62">
        <f t="shared" si="34"/>
        <v>168.91992124331932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287.69656598881124</v>
      </c>
      <c r="AO9" s="62">
        <f t="shared" si="36"/>
        <v>221.9773436301067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305.86606921147524</v>
      </c>
      <c r="BI9" s="62">
        <f ca="1">AVERAGE(OFFSET($BH$3,0,0,'Données projet'!$E$11+1,1))-AVERAGE(OFFSET($H$3,0,0,'Données projet'!$E$11+1,1))</f>
        <v>254.12694970606668</v>
      </c>
      <c r="BJ9" s="62">
        <f t="shared" si="38"/>
        <v>319.62868041131082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6.5093333333333332</v>
      </c>
      <c r="N10" s="14">
        <f>IF('Données projet'!$A$36&gt;35,N9+M10-V9,IF(A10&lt;'Données projet'!$A$36,$K$205^A10,IF(A10='Données projet'!$A$36,'Données projet'!$B$36,N9+M10-V9)))</f>
        <v>3.4236299123331029</v>
      </c>
      <c r="O10" s="14">
        <f>N10*VLOOKUP('Données projet'!$B$9,Paramètres!$A$1:$I$89,3,0)*VLOOKUP('Données projet'!$B$9,Paramètres!$A$1:$I$89,5,0)</f>
        <v>1.6022587989718919</v>
      </c>
      <c r="P10" s="14">
        <f t="shared" si="33"/>
        <v>0.69896245463334605</v>
      </c>
      <c r="Q10" s="22">
        <f t="shared" si="2"/>
        <v>4.0079603500291228</v>
      </c>
      <c r="R10" s="62">
        <f t="shared" si="0"/>
        <v>297.34129368336244</v>
      </c>
      <c r="S10" s="62">
        <f ca="1">AVERAGE(OFFSET($R$3,0,0,'Données projet'!$E$9+1,1))-AVERAGE(OFFSET($H$3,0,0,'Données projet'!$E$9+1,1))</f>
        <v>228.57322051753096</v>
      </c>
      <c r="T10" s="62">
        <f t="shared" si="34"/>
        <v>168.91992124331932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287.69656598881124</v>
      </c>
      <c r="AO10" s="62">
        <f t="shared" si="36"/>
        <v>221.9773436301067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310.05395890779124</v>
      </c>
      <c r="BI10" s="62">
        <f ca="1">AVERAGE(OFFSET($BH$3,0,0,'Données projet'!$E$11+1,1))-AVERAGE(OFFSET($H$3,0,0,'Données projet'!$E$11+1,1))</f>
        <v>254.12694970606668</v>
      </c>
      <c r="BJ10" s="62">
        <f t="shared" si="38"/>
        <v>319.62868041131082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6.5093333333333332</v>
      </c>
      <c r="N11" s="14">
        <f>IF('Données projet'!$A$36&gt;35,N10+M11-V10,IF(A11&lt;'Données projet'!$A$36,$K$205^A11,IF(A11='Données projet'!$A$36,'Données projet'!$B$36,N10+M11-V10)))</f>
        <v>4.0817093007952225</v>
      </c>
      <c r="O11" s="14">
        <f>N11*VLOOKUP('Données projet'!$B$9,Paramètres!$A$1:$I$89,3,0)*VLOOKUP('Données projet'!$B$9,Paramètres!$A$1:$I$89,5,0)</f>
        <v>1.9102399527721641</v>
      </c>
      <c r="P11" s="14">
        <f t="shared" si="33"/>
        <v>0.81643451173793824</v>
      </c>
      <c r="Q11" s="22">
        <f t="shared" si="2"/>
        <v>4.7489580256884283</v>
      </c>
      <c r="R11" s="62">
        <f t="shared" si="0"/>
        <v>298.08229135902172</v>
      </c>
      <c r="S11" s="62">
        <f ca="1">AVERAGE(OFFSET($R$3,0,0,'Données projet'!$E$9+1,1))-AVERAGE(OFFSET($H$3,0,0,'Données projet'!$E$9+1,1))</f>
        <v>228.57322051753096</v>
      </c>
      <c r="T11" s="62">
        <f t="shared" si="34"/>
        <v>168.91992124331932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287.69656598881124</v>
      </c>
      <c r="AO11" s="62">
        <f t="shared" si="36"/>
        <v>221.9773436301067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315.64652166525593</v>
      </c>
      <c r="BI11" s="62">
        <f ca="1">AVERAGE(OFFSET($BH$3,0,0,'Données projet'!$E$11+1,1))-AVERAGE(OFFSET($H$3,0,0,'Données projet'!$E$11+1,1))</f>
        <v>254.12694970606668</v>
      </c>
      <c r="BJ11" s="62">
        <f t="shared" si="38"/>
        <v>319.62868041131082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6.5093333333333332</v>
      </c>
      <c r="N12" s="14">
        <f>IF('Données projet'!$A$36&gt;35,N11+M12-V11,IF(A12&lt;'Données projet'!$A$36,$K$205^A12,IF(A12='Données projet'!$A$36,'Données projet'!$B$36,N11+M12-V11)))</f>
        <v>4.8662826423445642</v>
      </c>
      <c r="O12" s="14">
        <f>N12*VLOOKUP('Données projet'!$B$9,Paramètres!$A$1:$I$89,3,0)*VLOOKUP('Données projet'!$B$9,Paramètres!$A$1:$I$89,5,0)</f>
        <v>2.277420276617256</v>
      </c>
      <c r="P12" s="14">
        <f t="shared" si="33"/>
        <v>0.95364966678564289</v>
      </c>
      <c r="Q12" s="22">
        <f t="shared" si="2"/>
        <v>5.6274468180933814</v>
      </c>
      <c r="R12" s="62">
        <f t="shared" si="0"/>
        <v>298.96078015142672</v>
      </c>
      <c r="S12" s="62">
        <f ca="1">AVERAGE(OFFSET($R$3,0,0,'Données projet'!$E$9+1,1))-AVERAGE(OFFSET($H$3,0,0,'Données projet'!$E$9+1,1))</f>
        <v>228.57322051753096</v>
      </c>
      <c r="T12" s="62">
        <f t="shared" si="34"/>
        <v>168.91992124331932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287.69656598881124</v>
      </c>
      <c r="AO12" s="62">
        <f t="shared" si="36"/>
        <v>221.9773436301067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323.11654728313812</v>
      </c>
      <c r="BI12" s="62">
        <f ca="1">AVERAGE(OFFSET($BH$3,0,0,'Données projet'!$E$11+1,1))-AVERAGE(OFFSET($H$3,0,0,'Données projet'!$E$11+1,1))</f>
        <v>254.12694970606668</v>
      </c>
      <c r="BJ12" s="62">
        <f t="shared" si="38"/>
        <v>319.62868041131082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6.5093333333333332</v>
      </c>
      <c r="N13" s="14">
        <f>IF('Données projet'!$A$36&gt;35,N12+M13-V12,IF(A13&lt;'Données projet'!$A$36,$K$205^A13,IF(A13='Données projet'!$A$36,'Données projet'!$B$36,N12+M13-V12)))</f>
        <v>5.8016642073384252</v>
      </c>
      <c r="O13" s="14">
        <f>N13*VLOOKUP('Données projet'!$B$9,Paramètres!$A$1:$I$89,3,0)*VLOOKUP('Données projet'!$B$9,Paramètres!$A$1:$I$89,5,0)</f>
        <v>2.7151788490343831</v>
      </c>
      <c r="P13" s="14">
        <f t="shared" si="33"/>
        <v>1.1139260698625209</v>
      </c>
      <c r="Q13" s="22">
        <f t="shared" si="2"/>
        <v>6.6690244004121082</v>
      </c>
      <c r="R13" s="62">
        <f t="shared" si="0"/>
        <v>300.00235773374544</v>
      </c>
      <c r="S13" s="62">
        <f ca="1">AVERAGE(OFFSET($R$3,0,0,'Données projet'!$E$9+1,1))-AVERAGE(OFFSET($H$3,0,0,'Données projet'!$E$9+1,1))</f>
        <v>228.57322051753096</v>
      </c>
      <c r="T13" s="62">
        <f t="shared" si="34"/>
        <v>168.91992124331932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287.69656598881124</v>
      </c>
      <c r="AO13" s="62">
        <f t="shared" si="36"/>
        <v>221.9773436301067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333.09647033042859</v>
      </c>
      <c r="BI13" s="62">
        <f ca="1">AVERAGE(OFFSET($BH$3,0,0,'Données projet'!$E$11+1,1))-AVERAGE(OFFSET($H$3,0,0,'Données projet'!$E$11+1,1))</f>
        <v>254.12694970606668</v>
      </c>
      <c r="BJ13" s="62">
        <f t="shared" si="38"/>
        <v>319.62868041131082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6.5093333333333332</v>
      </c>
      <c r="N14" s="14">
        <f>IF('Données projet'!$A$36&gt;35,N13+M14-V13,IF(A14&lt;'Données projet'!$A$36,$K$205^A14,IF(A14='Données projet'!$A$36,'Données projet'!$B$36,N13+M14-V13)))</f>
        <v>6.9168418788134387</v>
      </c>
      <c r="O14" s="14">
        <f>N14*VLOOKUP('Données projet'!$B$9,Paramètres!$A$1:$I$89,3,0)*VLOOKUP('Données projet'!$B$9,Paramètres!$A$1:$I$89,5,0)</f>
        <v>3.2370819992846895</v>
      </c>
      <c r="P14" s="14">
        <f t="shared" si="33"/>
        <v>1.3011395403740753</v>
      </c>
      <c r="Q14" s="22">
        <f t="shared" si="2"/>
        <v>7.9040691815723489</v>
      </c>
      <c r="R14" s="62">
        <f t="shared" si="0"/>
        <v>301.23740251490568</v>
      </c>
      <c r="S14" s="62">
        <f ca="1">AVERAGE(OFFSET($R$3,0,0,'Données projet'!$E$9+1,1))-AVERAGE(OFFSET($H$3,0,0,'Données projet'!$E$9+1,1))</f>
        <v>228.57322051753096</v>
      </c>
      <c r="T14" s="62">
        <f t="shared" si="34"/>
        <v>168.91992124331932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287.69656598881124</v>
      </c>
      <c r="AO14" s="62">
        <f t="shared" si="36"/>
        <v>221.9773436301067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346.43243526036099</v>
      </c>
      <c r="BI14" s="62">
        <f ca="1">AVERAGE(OFFSET($BH$3,0,0,'Données projet'!$E$11+1,1))-AVERAGE(OFFSET($H$3,0,0,'Données projet'!$E$11+1,1))</f>
        <v>254.12694970606668</v>
      </c>
      <c r="BJ14" s="62">
        <f t="shared" si="38"/>
        <v>319.62868041131082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6.5093333333333332</v>
      </c>
      <c r="N15" s="14">
        <f>IF('Données projet'!$A$36&gt;35,N14+M15-V14,IF(A15&lt;'Données projet'!$A$36,$K$205^A15,IF(A15='Données projet'!$A$36,'Données projet'!$B$36,N14+M15-V14)))</f>
        <v>8.2463754996354339</v>
      </c>
      <c r="O15" s="14">
        <f>N15*VLOOKUP('Données projet'!$B$9,Paramètres!$A$1:$I$89,3,0)*VLOOKUP('Données projet'!$B$9,Paramètres!$A$1:$I$89,5,0)</f>
        <v>3.8593037338293832</v>
      </c>
      <c r="P15" s="14">
        <f t="shared" si="33"/>
        <v>1.5198172924831568</v>
      </c>
      <c r="Q15" s="22">
        <f t="shared" si="2"/>
        <v>9.3686357874943393</v>
      </c>
      <c r="R15" s="62">
        <f t="shared" si="0"/>
        <v>302.70196912082764</v>
      </c>
      <c r="S15" s="62">
        <f ca="1">AVERAGE(OFFSET($R$3,0,0,'Données projet'!$E$9+1,1))-AVERAGE(OFFSET($H$3,0,0,'Données projet'!$E$9+1,1))</f>
        <v>228.57322051753096</v>
      </c>
      <c r="T15" s="62">
        <f t="shared" si="34"/>
        <v>168.91992124331932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287.69656598881124</v>
      </c>
      <c r="AO15" s="62">
        <f t="shared" si="36"/>
        <v>221.9773436301067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364.256720169272</v>
      </c>
      <c r="BI15" s="62">
        <f ca="1">AVERAGE(OFFSET($BH$3,0,0,'Données projet'!$E$11+1,1))-AVERAGE(OFFSET($H$3,0,0,'Données projet'!$E$11+1,1))</f>
        <v>254.12694970606668</v>
      </c>
      <c r="BJ15" s="62">
        <f t="shared" si="38"/>
        <v>319.62868041131082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6.5093333333333332</v>
      </c>
      <c r="N16" s="14">
        <f>IF('Données projet'!$A$36&gt;35,N15+M16-V15,IF(A16&lt;'Données projet'!$A$36,$K$205^A16,IF(A16='Données projet'!$A$36,'Données projet'!$B$36,N15+M16-V15)))</f>
        <v>9.831467897116827</v>
      </c>
      <c r="O16" s="14">
        <f>N16*VLOOKUP('Données projet'!$B$9,Paramètres!$A$1:$I$89,3,0)*VLOOKUP('Données projet'!$B$9,Paramètres!$A$1:$I$89,5,0)</f>
        <v>4.6011269758506748</v>
      </c>
      <c r="P16" s="14">
        <f t="shared" si="33"/>
        <v>1.7752474126385842</v>
      </c>
      <c r="Q16" s="22">
        <f t="shared" si="2"/>
        <v>11.105518726618792</v>
      </c>
      <c r="R16" s="62">
        <f t="shared" si="0"/>
        <v>304.43885205995213</v>
      </c>
      <c r="S16" s="62">
        <f ca="1">AVERAGE(OFFSET($R$3,0,0,'Données projet'!$E$9+1,1))-AVERAGE(OFFSET($H$3,0,0,'Données projet'!$E$9+1,1))</f>
        <v>228.57322051753096</v>
      </c>
      <c r="T16" s="62">
        <f t="shared" si="34"/>
        <v>168.91992124331932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287.69656598881124</v>
      </c>
      <c r="AO16" s="62">
        <f t="shared" si="36"/>
        <v>221.9773436301067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388.08476826475038</v>
      </c>
      <c r="BI16" s="62">
        <f ca="1">AVERAGE(OFFSET($BH$3,0,0,'Données projet'!$E$11+1,1))-AVERAGE(OFFSET($H$3,0,0,'Données projet'!$E$11+1,1))</f>
        <v>254.12694970606668</v>
      </c>
      <c r="BJ16" s="62">
        <f t="shared" si="38"/>
        <v>319.62868041131082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6.5093333333333332</v>
      </c>
      <c r="N17" s="14">
        <f>IF('Données projet'!$A$36&gt;35,N16+M17-V16,IF(A17&lt;'Données projet'!$A$36,$K$205^A17,IF(A17='Données projet'!$A$36,'Données projet'!$B$36,N16+M17-V16)))</f>
        <v>11.721241776621973</v>
      </c>
      <c r="O17" s="14">
        <f>N17*VLOOKUP('Données projet'!$B$9,Paramètres!$A$1:$I$89,3,0)*VLOOKUP('Données projet'!$B$9,Paramètres!$A$1:$I$89,5,0)</f>
        <v>5.4855411514590839</v>
      </c>
      <c r="P17" s="14">
        <f t="shared" si="33"/>
        <v>2.0736067365906181</v>
      </c>
      <c r="Q17" s="22">
        <f t="shared" si="2"/>
        <v>13.1655159050199</v>
      </c>
      <c r="R17" s="62">
        <f t="shared" si="0"/>
        <v>306.49884923835322</v>
      </c>
      <c r="S17" s="62">
        <f ca="1">AVERAGE(OFFSET($R$3,0,0,'Données projet'!$E$9+1,1))-AVERAGE(OFFSET($H$3,0,0,'Données projet'!$E$9+1,1))</f>
        <v>228.57322051753096</v>
      </c>
      <c r="T17" s="62">
        <f t="shared" si="34"/>
        <v>168.91992124331932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287.69656598881124</v>
      </c>
      <c r="AO17" s="62">
        <f t="shared" si="36"/>
        <v>221.9773436301067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419.94520785747511</v>
      </c>
      <c r="BI17" s="62">
        <f ca="1">AVERAGE(OFFSET($BH$3,0,0,'Données projet'!$E$11+1,1))-AVERAGE(OFFSET($H$3,0,0,'Données projet'!$E$11+1,1))</f>
        <v>254.12694970606668</v>
      </c>
      <c r="BJ17" s="62">
        <f t="shared" si="38"/>
        <v>319.62868041131082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6.5093333333333332</v>
      </c>
      <c r="N18" s="14">
        <f>IF('Données projet'!$A$36&gt;35,N17+M18-V17,IF(A18&lt;'Données projet'!$A$36,$K$205^A18,IF(A18='Données projet'!$A$36,'Données projet'!$B$36,N17+M18-V17)))</f>
        <v>13.974262055650758</v>
      </c>
      <c r="O18" s="14">
        <f>N18*VLOOKUP('Données projet'!$B$9,Paramètres!$A$1:$I$89,3,0)*VLOOKUP('Données projet'!$B$9,Paramètres!$A$1:$I$89,5,0)</f>
        <v>6.5399546420445542</v>
      </c>
      <c r="P18" s="14">
        <f t="shared" si="33"/>
        <v>2.4221102182275818</v>
      </c>
      <c r="Q18" s="22">
        <f t="shared" si="2"/>
        <v>15.608929631640637</v>
      </c>
      <c r="R18" s="62">
        <f t="shared" si="0"/>
        <v>308.94226296497396</v>
      </c>
      <c r="S18" s="62">
        <f ca="1">AVERAGE(OFFSET($R$3,0,0,'Données projet'!$E$9+1,1))-AVERAGE(OFFSET($H$3,0,0,'Données projet'!$E$9+1,1))</f>
        <v>228.57322051753096</v>
      </c>
      <c r="T18" s="62">
        <f t="shared" si="34"/>
        <v>168.91992124331932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287.69656598881124</v>
      </c>
      <c r="AO18" s="62">
        <f t="shared" si="36"/>
        <v>221.9773436301067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462.55410206940076</v>
      </c>
      <c r="BI18" s="62">
        <f ca="1">AVERAGE(OFFSET($BH$3,0,0,'Données projet'!$E$11+1,1))-AVERAGE(OFFSET($H$3,0,0,'Données projet'!$E$11+1,1))</f>
        <v>254.12694970606668</v>
      </c>
      <c r="BJ18" s="62">
        <f t="shared" si="38"/>
        <v>319.62868041131082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21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17.309567364584613</v>
      </c>
      <c r="BS18" s="24">
        <f t="shared" si="9"/>
        <v>17.309567364584613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6.5093333333333332</v>
      </c>
      <c r="N19" s="14">
        <f>IF('Données projet'!$A$36&gt;35,N18+M19-V18,IF(A19&lt;'Données projet'!$A$36,$K$205^A19,IF(A19='Données projet'!$A$36,'Données projet'!$B$36,N18+M19-V18)))</f>
        <v>16.660350816198225</v>
      </c>
      <c r="O19" s="14">
        <f>N19*VLOOKUP('Données projet'!$B$9,Paramètres!$A$1:$I$89,3,0)*VLOOKUP('Données projet'!$B$9,Paramètres!$A$1:$I$89,5,0)</f>
        <v>7.7970441819807697</v>
      </c>
      <c r="P19" s="14">
        <f t="shared" si="33"/>
        <v>2.8291854022852188</v>
      </c>
      <c r="Q19" s="22">
        <f t="shared" si="2"/>
        <v>18.507349859263261</v>
      </c>
      <c r="R19" s="62">
        <f t="shared" si="0"/>
        <v>311.8406831925966</v>
      </c>
      <c r="S19" s="62">
        <f ca="1">AVERAGE(OFFSET($R$3,0,0,'Données projet'!$E$9+1,1))-AVERAGE(OFFSET($H$3,0,0,'Données projet'!$E$9+1,1))</f>
        <v>228.57322051753096</v>
      </c>
      <c r="T19" s="62">
        <f t="shared" si="34"/>
        <v>168.91992124331932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287.69656598881124</v>
      </c>
      <c r="AO19" s="62">
        <f t="shared" si="36"/>
        <v>221.9773436301067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80.2</v>
      </c>
      <c r="BE19" s="14">
        <f>BD19*VLOOKUP('Données projet'!$B$11,Paramètres!$A$1:$I$89,3,0)*VLOOKUP('Données projet'!$B$11,Paramètres!$A$1:$I$89,5,0)</f>
        <v>70.062720000000013</v>
      </c>
      <c r="BF19" s="14">
        <f t="shared" si="37"/>
        <v>19.689032345957123</v>
      </c>
      <c r="BG19" s="22">
        <f t="shared" si="7"/>
        <v>156.31763533587534</v>
      </c>
      <c r="BH19" s="62">
        <f t="shared" si="8"/>
        <v>449.65096866920862</v>
      </c>
      <c r="BI19" s="62">
        <f ca="1">AVERAGE(OFFSET($BH$3,0,0,'Données projet'!$E$11+1,1))-AVERAGE(OFFSET($H$3,0,0,'Données projet'!$E$11+1,1))</f>
        <v>254.12694970606668</v>
      </c>
      <c r="BJ19" s="62">
        <f t="shared" si="38"/>
        <v>319.62868041131082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12.239712462903137</v>
      </c>
      <c r="BS19" s="24">
        <f t="shared" si="9"/>
        <v>12.239712462903137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6.5093333333333332</v>
      </c>
      <c r="N20" s="14">
        <f>IF('Données projet'!$A$36&gt;35,N19+M20-V19,IF(A20&lt;'Données projet'!$A$36,$K$205^A20,IF(A20='Données projet'!$A$36,'Données projet'!$B$36,N19+M20-V19)))</f>
        <v>19.862751121556158</v>
      </c>
      <c r="O20" s="14">
        <f>N20*VLOOKUP('Données projet'!$B$9,Paramètres!$A$1:$I$89,3,0)*VLOOKUP('Données projet'!$B$9,Paramètres!$A$1:$I$89,5,0)</f>
        <v>9.2957675248882818</v>
      </c>
      <c r="P20" s="14">
        <f t="shared" si="33"/>
        <v>3.3046762200446183</v>
      </c>
      <c r="Q20" s="22">
        <f t="shared" si="2"/>
        <v>21.945772855758133</v>
      </c>
      <c r="R20" s="62">
        <f t="shared" si="0"/>
        <v>315.27910618909146</v>
      </c>
      <c r="S20" s="62">
        <f ca="1">AVERAGE(OFFSET($R$3,0,0,'Données projet'!$E$9+1,1))-AVERAGE(OFFSET($H$3,0,0,'Données projet'!$E$9+1,1))</f>
        <v>228.57322051753096</v>
      </c>
      <c r="T20" s="62">
        <f t="shared" si="34"/>
        <v>168.91992124331932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287.69656598881124</v>
      </c>
      <c r="AO20" s="62">
        <f t="shared" si="36"/>
        <v>221.9773436301067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94.4</v>
      </c>
      <c r="BE20" s="14">
        <f>BD20*VLOOKUP('Données projet'!$B$11,Paramètres!$A$1:$I$89,3,0)*VLOOKUP('Données projet'!$B$11,Paramètres!$A$1:$I$89,5,0)</f>
        <v>82.467840000000024</v>
      </c>
      <c r="BF20" s="14">
        <f t="shared" si="37"/>
        <v>22.739512759227473</v>
      </c>
      <c r="BG20" s="22">
        <f t="shared" si="7"/>
        <v>183.23613938898788</v>
      </c>
      <c r="BH20" s="62">
        <f t="shared" si="8"/>
        <v>476.56947272232117</v>
      </c>
      <c r="BI20" s="62">
        <f ca="1">AVERAGE(OFFSET($BH$3,0,0,'Données projet'!$E$11+1,1))-AVERAGE(OFFSET($H$3,0,0,'Données projet'!$E$11+1,1))</f>
        <v>254.12694970606668</v>
      </c>
      <c r="BJ20" s="62">
        <f t="shared" si="38"/>
        <v>319.62868041131082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8.6547836822923081</v>
      </c>
      <c r="BS20" s="24">
        <f t="shared" si="9"/>
        <v>8.6547836822923081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6.5093333333333332</v>
      </c>
      <c r="N21" s="14">
        <f>IF('Données projet'!$A$36&gt;35,N20+M21-V20,IF(A21&lt;'Données projet'!$A$36,$K$205^A21,IF(A21='Données projet'!$A$36,'Données projet'!$B$36,N20+M21-V20)))</f>
        <v>23.680706755183994</v>
      </c>
      <c r="O21" s="14">
        <f>N21*VLOOKUP('Données projet'!$B$9,Paramètres!$A$1:$I$89,3,0)*VLOOKUP('Données projet'!$B$9,Paramètres!$A$1:$I$89,5,0)</f>
        <v>11.08257076142611</v>
      </c>
      <c r="P21" s="14">
        <f t="shared" si="33"/>
        <v>3.8600810362259259</v>
      </c>
      <c r="Q21" s="22">
        <f t="shared" si="2"/>
        <v>26.025118547577296</v>
      </c>
      <c r="R21" s="62">
        <f t="shared" si="0"/>
        <v>319.35845188091059</v>
      </c>
      <c r="S21" s="62">
        <f ca="1">AVERAGE(OFFSET($R$3,0,0,'Données projet'!$E$9+1,1))-AVERAGE(OFFSET($H$3,0,0,'Données projet'!$E$9+1,1))</f>
        <v>228.57322051753096</v>
      </c>
      <c r="T21" s="62">
        <f t="shared" si="34"/>
        <v>168.91992124331932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287.69656598881124</v>
      </c>
      <c r="AO21" s="62">
        <f t="shared" si="36"/>
        <v>221.9773436301067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108.60000000000001</v>
      </c>
      <c r="BE21" s="14">
        <f>BD21*VLOOKUP('Données projet'!$B$11,Paramètres!$A$1:$I$89,3,0)*VLOOKUP('Données projet'!$B$11,Paramètres!$A$1:$I$89,5,0)</f>
        <v>94.87296000000002</v>
      </c>
      <c r="BF21" s="14">
        <f t="shared" si="37"/>
        <v>25.736834760472274</v>
      </c>
      <c r="BG21" s="22">
        <f t="shared" si="7"/>
        <v>210.06205920782259</v>
      </c>
      <c r="BH21" s="62">
        <f t="shared" si="8"/>
        <v>503.3953925411559</v>
      </c>
      <c r="BI21" s="62">
        <f ca="1">AVERAGE(OFFSET($BH$3,0,0,'Données projet'!$E$11+1,1))-AVERAGE(OFFSET($H$3,0,0,'Données projet'!$E$11+1,1))</f>
        <v>254.12694970606668</v>
      </c>
      <c r="BJ21" s="62">
        <f t="shared" si="38"/>
        <v>319.62868041131082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6.1198562314515694</v>
      </c>
      <c r="BS21" s="24">
        <f t="shared" si="9"/>
        <v>6.1198562314515694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6.5093333333333332</v>
      </c>
      <c r="N22" s="14">
        <f>IF('Données projet'!$A$36&gt;35,N21+M22-V21,IF(A22&lt;'Données projet'!$A$36,$K$205^A22,IF(A22='Données projet'!$A$36,'Données projet'!$B$36,N21+M22-V21)))</f>
        <v>28.232537828882712</v>
      </c>
      <c r="O22" s="14">
        <f>N22*VLOOKUP('Données projet'!$B$9,Paramètres!$A$1:$I$89,3,0)*VLOOKUP('Données projet'!$B$9,Paramètres!$A$1:$I$89,5,0)</f>
        <v>13.21282770391711</v>
      </c>
      <c r="P22" s="14">
        <f t="shared" si="33"/>
        <v>4.5088307035506903</v>
      </c>
      <c r="Q22" s="22">
        <f t="shared" si="2"/>
        <v>30.865221726339751</v>
      </c>
      <c r="R22" s="62">
        <f t="shared" si="0"/>
        <v>324.19855505967308</v>
      </c>
      <c r="S22" s="62">
        <f ca="1">AVERAGE(OFFSET($R$3,0,0,'Données projet'!$E$9+1,1))-AVERAGE(OFFSET($H$3,0,0,'Données projet'!$E$9+1,1))</f>
        <v>228.57322051753096</v>
      </c>
      <c r="T22" s="62">
        <f t="shared" si="34"/>
        <v>168.91992124331932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287.69656598881124</v>
      </c>
      <c r="AO22" s="62">
        <f t="shared" si="36"/>
        <v>221.9773436301067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122.80000000000001</v>
      </c>
      <c r="BE22" s="14">
        <f>BD22*VLOOKUP('Données projet'!$B$11,Paramètres!$A$1:$I$89,3,0)*VLOOKUP('Données projet'!$B$11,Paramètres!$A$1:$I$89,5,0)</f>
        <v>107.27808000000003</v>
      </c>
      <c r="BF22" s="14">
        <f t="shared" si="37"/>
        <v>28.688746800886673</v>
      </c>
      <c r="BG22" s="22">
        <f t="shared" si="7"/>
        <v>236.80889001154432</v>
      </c>
      <c r="BH22" s="62">
        <f t="shared" si="8"/>
        <v>530.14222334487761</v>
      </c>
      <c r="BI22" s="62">
        <f ca="1">AVERAGE(OFFSET($BH$3,0,0,'Données projet'!$E$11+1,1))-AVERAGE(OFFSET($H$3,0,0,'Données projet'!$E$11+1,1))</f>
        <v>254.12694970606668</v>
      </c>
      <c r="BJ22" s="62">
        <f t="shared" si="38"/>
        <v>319.62868041131082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4.3273918411461549</v>
      </c>
      <c r="BS22" s="24">
        <f t="shared" si="9"/>
        <v>4.3273918411461549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6.5093333333333332</v>
      </c>
      <c r="N23" s="14">
        <f>IF('Données projet'!$A$36&gt;35,N22+M23-V22,IF(A23&lt;'Données projet'!$A$36,$K$205^A23,IF(A23='Données projet'!$A$36,'Données projet'!$B$36,N22+M23-V22)))</f>
        <v>33.659307574711804</v>
      </c>
      <c r="O23" s="14">
        <f>N23*VLOOKUP('Données projet'!$B$9,Paramètres!$A$1:$I$89,3,0)*VLOOKUP('Données projet'!$B$9,Paramètres!$A$1:$I$89,5,0)</f>
        <v>15.752555944965124</v>
      </c>
      <c r="P23" s="14">
        <f t="shared" si="33"/>
        <v>5.2666133489150813</v>
      </c>
      <c r="Q23" s="22">
        <f t="shared" si="2"/>
        <v>36.608386520174683</v>
      </c>
      <c r="R23" s="62">
        <f t="shared" si="0"/>
        <v>329.941719853508</v>
      </c>
      <c r="S23" s="62">
        <f ca="1">AVERAGE(OFFSET($R$3,0,0,'Données projet'!$E$9+1,1))-AVERAGE(OFFSET($H$3,0,0,'Données projet'!$E$9+1,1))</f>
        <v>228.57322051753096</v>
      </c>
      <c r="T23" s="62">
        <f t="shared" si="34"/>
        <v>168.91992124331932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287.69656598881124</v>
      </c>
      <c r="AO23" s="62">
        <f t="shared" si="36"/>
        <v>221.9773436301067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137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119.68320000000003</v>
      </c>
      <c r="BF23" s="14">
        <f t="shared" si="37"/>
        <v>31.601099532596194</v>
      </c>
      <c r="BG23" s="22">
        <f t="shared" si="7"/>
        <v>263.48682168593842</v>
      </c>
      <c r="BH23" s="62">
        <f t="shared" si="8"/>
        <v>556.82015501927174</v>
      </c>
      <c r="BI23" s="62">
        <f ca="1">AVERAGE(OFFSET($BH$3,0,0,'Données projet'!$E$11+1,1))-AVERAGE(OFFSET($H$3,0,0,'Données projet'!$E$11+1,1))</f>
        <v>254.12694970606668</v>
      </c>
      <c r="BJ23" s="62">
        <f t="shared" si="38"/>
        <v>319.62868041131082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0.215</v>
      </c>
      <c r="BN23" s="17">
        <f>IF(ISNA(VLOOKUP(A23,'Données projet'!$A$87:$I$107,6,0)),0%,VLOOKUP(A23,'Données projet'!$A$87:$I$107,6,0)*VLOOKUP('Données projet'!$B$11,Paramètres!$A$1:$I$89,7,0))</f>
        <v>0.215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8.9282563483120629</v>
      </c>
      <c r="BQ23" s="23">
        <f>EXP(-LN(2)/25)*BQ22+(1-EXP(-LN(2)/25))/(LN(2)/25)*Calculateur!BL23*Calculateur!BN23*VLOOKUP('Données projet'!$B$11,Paramètres!$A$1:$I$89,3,0)*0.475*44/12</f>
        <v>8.8931024011363835</v>
      </c>
      <c r="BR23" s="23">
        <f>EXP(-LN(2)/2)*BR22+(1-EXP(-LN(2)/2))/(LN(2)/2)*BL23*BO23*VLOOKUP('Données projet'!$B$11,Paramètres!$A$1:$I$89,3,0)*0.475*44/12</f>
        <v>3.0599281157257856</v>
      </c>
      <c r="BS23" s="24">
        <f t="shared" si="9"/>
        <v>20.881286865174232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6.5093333333333332</v>
      </c>
      <c r="N24" s="14">
        <f>IF('Données projet'!$A$36&gt;35,N23+M24-V23,IF(A24&lt;'Données projet'!$A$36,$K$205^A24,IF(A24='Données projet'!$A$36,'Données projet'!$B$36,N23+M24-V23)))</f>
        <v>40.129193956131395</v>
      </c>
      <c r="O24" s="14">
        <f>N24*VLOOKUP('Données projet'!$B$9,Paramètres!$A$1:$I$89,3,0)*VLOOKUP('Données projet'!$B$9,Paramètres!$A$1:$I$89,5,0)</f>
        <v>18.780462771469494</v>
      </c>
      <c r="P24" s="14">
        <f t="shared" si="33"/>
        <v>6.1517537451844344</v>
      </c>
      <c r="Q24" s="22">
        <f t="shared" si="2"/>
        <v>43.423610433172257</v>
      </c>
      <c r="R24" s="62">
        <f t="shared" si="0"/>
        <v>336.75694376650557</v>
      </c>
      <c r="S24" s="62">
        <f ca="1">AVERAGE(OFFSET($R$3,0,0,'Données projet'!$E$9+1,1))-AVERAGE(OFFSET($H$3,0,0,'Données projet'!$E$9+1,1))</f>
        <v>228.57322051753096</v>
      </c>
      <c r="T24" s="62">
        <f t="shared" si="34"/>
        <v>168.91992124331932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287.69656598881124</v>
      </c>
      <c r="AO24" s="62">
        <f t="shared" si="36"/>
        <v>221.9773436301067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107.80000000000001</v>
      </c>
      <c r="BE24" s="14">
        <f>BD24*VLOOKUP('Données projet'!$B$11,Paramètres!$A$1:$I$89,3,0)*VLOOKUP('Données projet'!$B$11,Paramètres!$A$1:$I$89,5,0)</f>
        <v>94.174080000000018</v>
      </c>
      <c r="BF24" s="14">
        <f t="shared" si="37"/>
        <v>25.569241067746205</v>
      </c>
      <c r="BG24" s="22">
        <f t="shared" si="7"/>
        <v>208.55295085965801</v>
      </c>
      <c r="BH24" s="62">
        <f t="shared" si="8"/>
        <v>501.8862841929913</v>
      </c>
      <c r="BI24" s="62">
        <f ca="1">AVERAGE(OFFSET($BH$3,0,0,'Données projet'!$E$11+1,1))-AVERAGE(OFFSET($H$3,0,0,'Données projet'!$E$11+1,1))</f>
        <v>254.12694970606668</v>
      </c>
      <c r="BJ24" s="62">
        <f t="shared" si="38"/>
        <v>319.62868041131082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8.7531786870203181</v>
      </c>
      <c r="BQ24" s="23">
        <f>EXP(-LN(2)/25)*BQ23+(1-EXP(-LN(2)/25))/(LN(2)/25)*Calculateur!BL24*Calculateur!BN24*VLOOKUP('Données projet'!$B$11,Paramètres!$A$1:$I$89,3,0)*0.475*44/12</f>
        <v>8.6499200483093794</v>
      </c>
      <c r="BR24" s="23">
        <f>EXP(-LN(2)/2)*BR23+(1-EXP(-LN(2)/2))/(LN(2)/2)*BL24*BO24*VLOOKUP('Données projet'!$B$11,Paramètres!$A$1:$I$89,3,0)*0.475*44/12</f>
        <v>2.1636959205730779</v>
      </c>
      <c r="BS24" s="24">
        <f t="shared" si="9"/>
        <v>19.566794655902775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6.5093333333333332</v>
      </c>
      <c r="N25" s="14">
        <f>IF('Données projet'!$A$36&gt;35,N24+M25-V24,IF(A25&lt;'Données projet'!$A$36,$K$205^A25,IF(A25='Données projet'!$A$36,'Données projet'!$B$36,N24+M25-V24)))</f>
        <v>47.84270157650743</v>
      </c>
      <c r="O25" s="14">
        <f>N25*VLOOKUP('Données projet'!$B$9,Paramètres!$A$1:$I$89,3,0)*VLOOKUP('Données projet'!$B$9,Paramètres!$A$1:$I$89,5,0)</f>
        <v>22.390384337805479</v>
      </c>
      <c r="P25" s="14">
        <f t="shared" si="33"/>
        <v>7.1856564426144116</v>
      </c>
      <c r="Q25" s="22">
        <f t="shared" si="2"/>
        <v>51.511604359231313</v>
      </c>
      <c r="R25" s="62">
        <f t="shared" si="0"/>
        <v>344.8449376925646</v>
      </c>
      <c r="S25" s="62">
        <f ca="1">AVERAGE(OFFSET($R$3,0,0,'Données projet'!$E$9+1,1))-AVERAGE(OFFSET($H$3,0,0,'Données projet'!$E$9+1,1))</f>
        <v>228.57322051753096</v>
      </c>
      <c r="T25" s="62">
        <f t="shared" si="34"/>
        <v>168.91992124331932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287.69656598881124</v>
      </c>
      <c r="AO25" s="62">
        <f t="shared" si="36"/>
        <v>221.9773436301067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121.60000000000001</v>
      </c>
      <c r="BE25" s="14">
        <f>BD25*VLOOKUP('Données projet'!$B$11,Paramètres!$A$1:$I$89,3,0)*VLOOKUP('Données projet'!$B$11,Paramètres!$A$1:$I$89,5,0)</f>
        <v>106.22976000000003</v>
      </c>
      <c r="BF25" s="14">
        <f t="shared" si="37"/>
        <v>28.440891625171492</v>
      </c>
      <c r="BG25" s="22">
        <f t="shared" si="7"/>
        <v>234.55138491384039</v>
      </c>
      <c r="BH25" s="62">
        <f t="shared" si="8"/>
        <v>527.88471824717374</v>
      </c>
      <c r="BI25" s="62">
        <f ca="1">AVERAGE(OFFSET($BH$3,0,0,'Données projet'!$E$11+1,1))-AVERAGE(OFFSET($H$3,0,0,'Données projet'!$E$11+1,1))</f>
        <v>254.12694970606668</v>
      </c>
      <c r="BJ25" s="62">
        <f t="shared" si="38"/>
        <v>319.62868041131082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8.5815341918796744</v>
      </c>
      <c r="BQ25" s="23">
        <f>EXP(-LN(2)/25)*BQ24+(1-EXP(-LN(2)/25))/(LN(2)/25)*Calculateur!BL25*Calculateur!BN25*VLOOKUP('Données projet'!$B$11,Paramètres!$A$1:$I$89,3,0)*0.475*44/12</f>
        <v>8.4133875297088334</v>
      </c>
      <c r="BR25" s="23">
        <f>EXP(-LN(2)/2)*BR24+(1-EXP(-LN(2)/2))/(LN(2)/2)*BL25*BO25*VLOOKUP('Données projet'!$B$11,Paramètres!$A$1:$I$89,3,0)*0.475*44/12</f>
        <v>1.529964057862893</v>
      </c>
      <c r="BS25" s="24">
        <f t="shared" si="9"/>
        <v>18.524885779451402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6.5093333333333332</v>
      </c>
      <c r="N26" s="14">
        <f>IF('Données projet'!$A$36&gt;35,N25+M26-V25,IF(A26&lt;'Données projet'!$A$36,$K$205^A26,IF(A26='Données projet'!$A$36,'Données projet'!$B$36,N25+M26-V25)))</f>
        <v>57.038875404299468</v>
      </c>
      <c r="O26" s="14">
        <f>N26*VLOOKUP('Données projet'!$B$9,Paramètres!$A$1:$I$89,3,0)*VLOOKUP('Données projet'!$B$9,Paramètres!$A$1:$I$89,5,0)</f>
        <v>26.694193689212153</v>
      </c>
      <c r="P26" s="14">
        <f t="shared" si="33"/>
        <v>8.3933233757454229</v>
      </c>
      <c r="Q26" s="22">
        <f t="shared" si="2"/>
        <v>61.110758888134434</v>
      </c>
      <c r="R26" s="62">
        <f t="shared" si="0"/>
        <v>354.44409222146777</v>
      </c>
      <c r="S26" s="62">
        <f ca="1">AVERAGE(OFFSET($R$3,0,0,'Données projet'!$E$9+1,1))-AVERAGE(OFFSET($H$3,0,0,'Données projet'!$E$9+1,1))</f>
        <v>228.57322051753096</v>
      </c>
      <c r="T26" s="62">
        <f t="shared" si="34"/>
        <v>168.91992124331932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287.69656598881124</v>
      </c>
      <c r="AO26" s="62">
        <f t="shared" si="36"/>
        <v>221.9773436301067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135.4</v>
      </c>
      <c r="BE26" s="14">
        <f>BD26*VLOOKUP('Données projet'!$B$11,Paramètres!$A$1:$I$89,3,0)*VLOOKUP('Données projet'!$B$11,Paramètres!$A$1:$I$89,5,0)</f>
        <v>118.28544000000002</v>
      </c>
      <c r="BF26" s="14">
        <f t="shared" si="37"/>
        <v>31.274772013169596</v>
      </c>
      <c r="BG26" s="22">
        <f t="shared" si="7"/>
        <v>260.48403592293715</v>
      </c>
      <c r="BH26" s="62">
        <f t="shared" si="8"/>
        <v>553.81736925627047</v>
      </c>
      <c r="BI26" s="62">
        <f ca="1">AVERAGE(OFFSET($BH$3,0,0,'Données projet'!$E$11+1,1))-AVERAGE(OFFSET($H$3,0,0,'Données projet'!$E$11+1,1))</f>
        <v>254.12694970606668</v>
      </c>
      <c r="BJ26" s="62">
        <f t="shared" si="38"/>
        <v>319.62868041131082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8.4132555405959355</v>
      </c>
      <c r="BQ26" s="23">
        <f>EXP(-LN(2)/25)*BQ25+(1-EXP(-LN(2)/25))/(LN(2)/25)*Calculateur!BL26*Calculateur!BN26*VLOOKUP('Données projet'!$B$11,Paramètres!$A$1:$I$89,3,0)*0.475*44/12</f>
        <v>8.1833230052681234</v>
      </c>
      <c r="BR26" s="23">
        <f>EXP(-LN(2)/2)*BR25+(1-EXP(-LN(2)/2))/(LN(2)/2)*BL26*BO26*VLOOKUP('Données projet'!$B$11,Paramètres!$A$1:$I$89,3,0)*0.475*44/12</f>
        <v>1.0818479602865392</v>
      </c>
      <c r="BS26" s="24">
        <f t="shared" si="9"/>
        <v>17.678426506150597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6.5093333333333332</v>
      </c>
      <c r="N27" s="14">
        <f>IF('Données projet'!$A$36&gt;35,N26+M27-V26,IF(A27&lt;'Données projet'!$A$36,$K$205^A27,IF(A27='Données projet'!$A$36,'Données projet'!$B$36,N26+M27-V26)))</f>
        <v>68.002708880987569</v>
      </c>
      <c r="O27" s="14">
        <f>N27*VLOOKUP('Données projet'!$B$9,Paramètres!$A$1:$I$89,3,0)*VLOOKUP('Données projet'!$B$9,Paramètres!$A$1:$I$89,5,0)</f>
        <v>31.825267756302182</v>
      </c>
      <c r="P27" s="14">
        <f t="shared" si="33"/>
        <v>9.803958462590094</v>
      </c>
      <c r="Q27" s="22">
        <f t="shared" si="2"/>
        <v>72.504235664570714</v>
      </c>
      <c r="R27" s="62">
        <f t="shared" si="0"/>
        <v>365.83756899790404</v>
      </c>
      <c r="S27" s="62">
        <f ca="1">AVERAGE(OFFSET($R$3,0,0,'Données projet'!$E$9+1,1))-AVERAGE(OFFSET($H$3,0,0,'Données projet'!$E$9+1,1))</f>
        <v>228.57322051753096</v>
      </c>
      <c r="T27" s="62">
        <f t="shared" si="34"/>
        <v>168.91992124331932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287.69656598881124</v>
      </c>
      <c r="AO27" s="62">
        <f t="shared" si="36"/>
        <v>221.9773436301067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149.20000000000002</v>
      </c>
      <c r="BE27" s="14">
        <f>BD27*VLOOKUP('Données projet'!$B$11,Paramètres!$A$1:$I$89,3,0)*VLOOKUP('Données projet'!$B$11,Paramètres!$A$1:$I$89,5,0)</f>
        <v>130.34112000000005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579.69170529754081</v>
      </c>
      <c r="BI27" s="62">
        <f ca="1">AVERAGE(OFFSET($BH$3,0,0,'Données projet'!$E$11+1,1))-AVERAGE(OFFSET($H$3,0,0,'Données projet'!$E$11+1,1))</f>
        <v>254.12694970606668</v>
      </c>
      <c r="BJ27" s="62">
        <f t="shared" si="38"/>
        <v>319.62868041131082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8.2482767310240277</v>
      </c>
      <c r="BQ27" s="23">
        <f>EXP(-LN(2)/25)*BQ26+(1-EXP(-LN(2)/25))/(LN(2)/25)*Calculateur!BL27*Calculateur!BN27*VLOOKUP('Données projet'!$B$11,Paramètres!$A$1:$I$89,3,0)*0.475*44/12</f>
        <v>7.9595496073468128</v>
      </c>
      <c r="BR27" s="23">
        <f>EXP(-LN(2)/2)*BR26+(1-EXP(-LN(2)/2))/(LN(2)/2)*BL27*BO27*VLOOKUP('Données projet'!$B$11,Paramètres!$A$1:$I$89,3,0)*0.475*44/12</f>
        <v>0.76498202893144662</v>
      </c>
      <c r="BS27" s="24">
        <f t="shared" si="9"/>
        <v>16.972808367302285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6.5093333333333332</v>
      </c>
      <c r="N28" s="14">
        <f>IF('Données projet'!$A$36&gt;35,N27+M28-V27,IF(A28&lt;'Données projet'!$A$36,$K$205^A28,IF(A28='Données projet'!$A$36,'Données projet'!$B$36,N27+M28-V27)))</f>
        <v>81.073975992236512</v>
      </c>
      <c r="O28" s="14">
        <f>N28*VLOOKUP('Données projet'!$B$9,Paramètres!$A$1:$I$89,3,0)*VLOOKUP('Données projet'!$B$9,Paramètres!$A$1:$I$89,5,0)</f>
        <v>37.942620764366687</v>
      </c>
      <c r="P28" s="14">
        <f t="shared" si="33"/>
        <v>11.451673816589436</v>
      </c>
      <c r="Q28" s="22">
        <f t="shared" si="2"/>
        <v>86.028396395165245</v>
      </c>
      <c r="R28" s="62">
        <f t="shared" si="0"/>
        <v>379.36172972849857</v>
      </c>
      <c r="S28" s="62">
        <f ca="1">AVERAGE(OFFSET($R$3,0,0,'Données projet'!$E$9+1,1))-AVERAGE(OFFSET($H$3,0,0,'Données projet'!$E$9+1,1))</f>
        <v>228.57322051753096</v>
      </c>
      <c r="T28" s="62">
        <f t="shared" si="34"/>
        <v>168.91992124331932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287.69656598881124</v>
      </c>
      <c r="AO28" s="62">
        <f t="shared" si="36"/>
        <v>221.9773436301067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15.34038764069177</v>
      </c>
      <c r="AX28" s="23">
        <f t="shared" si="6"/>
        <v>15.34038764069177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163.00000000000003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605.51373360546404</v>
      </c>
      <c r="BI28" s="62">
        <f ca="1">AVERAGE(OFFSET($BH$3,0,0,'Données projet'!$E$11+1,1))-AVERAGE(OFFSET($H$3,0,0,'Données projet'!$E$11+1,1))</f>
        <v>254.12694970606668</v>
      </c>
      <c r="BJ28" s="62">
        <f t="shared" si="38"/>
        <v>319.62868041131082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44</v>
      </c>
      <c r="BM28" s="17">
        <f>IF(ISNA(VLOOKUP(A28,'Données projet'!$A$87:$I$107,5,0)),0%,VLOOKUP(A28,'Données projet'!$A$87:$I$107,5,0)*VLOOKUP('Données projet'!$B$11,Paramètres!$A$1:$I$89,7,0))</f>
        <v>0.215</v>
      </c>
      <c r="BN28" s="17">
        <f>IF(ISNA(VLOOKUP(A28,'Données projet'!$A$87:$I$107,6,0)),0%,VLOOKUP(A28,'Données projet'!$A$87:$I$107,6,0)*VLOOKUP('Données projet'!$B$11,Paramètres!$A$1:$I$89,7,0))</f>
        <v>0.215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17.222423272158153</v>
      </c>
      <c r="BQ28" s="23">
        <f>EXP(-LN(2)/25)*BQ27+(1-EXP(-LN(2)/25))/(LN(2)/25)*Calculateur!BL28*Calculateur!BN28*VLOOKUP('Données projet'!$B$11,Paramètres!$A$1:$I$89,3,0)*0.475*44/12</f>
        <v>16.841814040805925</v>
      </c>
      <c r="BR28" s="23">
        <f>EXP(-LN(2)/2)*BR27+(1-EXP(-LN(2)/2))/(LN(2)/2)*BL28*BO28*VLOOKUP('Données projet'!$B$11,Paramètres!$A$1:$I$89,3,0)*0.475*44/12</f>
        <v>0.54092398014326959</v>
      </c>
      <c r="BS28" s="24">
        <f t="shared" si="9"/>
        <v>34.605161293107351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6.5093333333333332</v>
      </c>
      <c r="N29" s="14">
        <f>IF('Données projet'!$A$36&gt;35,N28+M29-V28,IF(A29&lt;'Données projet'!$A$36,$K$205^A29,IF(A29='Données projet'!$A$36,'Données projet'!$B$36,N28+M29-V28)))</f>
        <v>96.657761012038762</v>
      </c>
      <c r="O29" s="14">
        <f>N29*VLOOKUP('Données projet'!$B$9,Paramètres!$A$1:$I$89,3,0)*VLOOKUP('Données projet'!$B$9,Paramètres!$A$1:$I$89,5,0)</f>
        <v>45.235832153634135</v>
      </c>
      <c r="P29" s="14">
        <f t="shared" si="33"/>
        <v>13.376314649023318</v>
      </c>
      <c r="Q29" s="22">
        <f t="shared" si="2"/>
        <v>102.08282234796172</v>
      </c>
      <c r="R29" s="62">
        <f t="shared" si="0"/>
        <v>395.41615568129504</v>
      </c>
      <c r="S29" s="62">
        <f ca="1">AVERAGE(OFFSET($R$3,0,0,'Données projet'!$E$9+1,1))-AVERAGE(OFFSET($H$3,0,0,'Données projet'!$E$9+1,1))</f>
        <v>228.57322051753096</v>
      </c>
      <c r="T29" s="62">
        <f t="shared" si="34"/>
        <v>168.91992124331932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287.69656598881124</v>
      </c>
      <c r="AO29" s="62">
        <f t="shared" si="36"/>
        <v>221.9773436301067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10.847292126763454</v>
      </c>
      <c r="AX29" s="23">
        <f t="shared" si="6"/>
        <v>10.847292126763454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13.2</v>
      </c>
      <c r="BD29" s="13">
        <f>IF('Données projet'!$A$88&gt;35,BD28+BC29-BL28,IF(A29&lt;'Données projet'!$A$88,$BA$205^A29,IF(A29='Données projet'!$A$88,'Données projet'!$B$88,BD28+BC29-BL28)))</f>
        <v>132.20000000000002</v>
      </c>
      <c r="BE29" s="14">
        <f>BD29*VLOOKUP('Données projet'!$B$11,Paramètres!$A$1:$I$89,3,0)*VLOOKUP('Données projet'!$B$11,Paramètres!$A$1:$I$89,5,0)</f>
        <v>115.48992000000003</v>
      </c>
      <c r="BF29" s="14">
        <f t="shared" si="37"/>
        <v>30.620763442598491</v>
      </c>
      <c r="BG29" s="22">
        <f t="shared" si="7"/>
        <v>254.47610699585906</v>
      </c>
      <c r="BH29" s="62">
        <f t="shared" si="8"/>
        <v>547.8094403291924</v>
      </c>
      <c r="BI29" s="62">
        <f ca="1">AVERAGE(OFFSET($BH$3,0,0,'Données projet'!$E$11+1,1))-AVERAGE(OFFSET($H$3,0,0,'Données projet'!$E$11+1,1))</f>
        <v>254.12694970606668</v>
      </c>
      <c r="BJ29" s="62">
        <f t="shared" si="38"/>
        <v>319.62868041131082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16.884702056432079</v>
      </c>
      <c r="BQ29" s="23">
        <f>EXP(-LN(2)/25)*BQ28+(1-EXP(-LN(2)/25))/(LN(2)/25)*Calculateur!BL29*Calculateur!BN29*VLOOKUP('Données projet'!$B$11,Paramètres!$A$1:$I$89,3,0)*0.475*44/12</f>
        <v>16.381273750187578</v>
      </c>
      <c r="BR29" s="23">
        <f>EXP(-LN(2)/2)*BR28+(1-EXP(-LN(2)/2))/(LN(2)/2)*BL29*BO29*VLOOKUP('Données projet'!$B$11,Paramètres!$A$1:$I$89,3,0)*0.475*44/12</f>
        <v>0.38249101446572331</v>
      </c>
      <c r="BS29" s="24">
        <f t="shared" si="9"/>
        <v>33.648466821085378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6.5093333333333332</v>
      </c>
      <c r="N30" s="14">
        <f>IF('Données projet'!$A$36&gt;35,N29+M30-V29,IF(A30&lt;'Données projet'!$A$36,$K$205^A30,IF(A30='Données projet'!$A$36,'Données projet'!$B$36,N29+M30-V29)))</f>
        <v>115.23701224120353</v>
      </c>
      <c r="O30" s="14">
        <f>N30*VLOOKUP('Données projet'!$B$9,Paramètres!$A$1:$I$89,3,0)*VLOOKUP('Données projet'!$B$9,Paramètres!$A$1:$I$89,5,0)</f>
        <v>53.930921728883256</v>
      </c>
      <c r="P30" s="14">
        <f t="shared" si="33"/>
        <v>15.624422809744679</v>
      </c>
      <c r="Q30" s="22">
        <f t="shared" si="2"/>
        <v>121.14222507144363</v>
      </c>
      <c r="R30" s="62">
        <f t="shared" si="0"/>
        <v>414.47555840477696</v>
      </c>
      <c r="S30" s="62">
        <f ca="1">AVERAGE(OFFSET($R$3,0,0,'Données projet'!$E$9+1,1))-AVERAGE(OFFSET($H$3,0,0,'Données projet'!$E$9+1,1))</f>
        <v>228.57322051753096</v>
      </c>
      <c r="T30" s="62">
        <f t="shared" si="34"/>
        <v>168.91992124331932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287.69656598881124</v>
      </c>
      <c r="AO30" s="62">
        <f t="shared" si="36"/>
        <v>221.9773436301067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7.6701938203458866</v>
      </c>
      <c r="AX30" s="23">
        <f t="shared" si="6"/>
        <v>7.6701938203458866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13.2</v>
      </c>
      <c r="BD30" s="13">
        <f>IF('Données projet'!$A$88&gt;35,BD29+BC30-BL29,IF(A30&lt;'Données projet'!$A$88,$BA$205^A30,IF(A30='Données projet'!$A$88,'Données projet'!$B$88,BD29+BC30-BL29)))</f>
        <v>145.4</v>
      </c>
      <c r="BE30" s="14">
        <f>BD30*VLOOKUP('Données projet'!$B$11,Paramètres!$A$1:$I$89,3,0)*VLOOKUP('Données projet'!$B$11,Paramètres!$A$1:$I$89,5,0)</f>
        <v>127.02144000000001</v>
      </c>
      <c r="BF30" s="14">
        <f t="shared" si="37"/>
        <v>33.30717587066443</v>
      </c>
      <c r="BG30" s="22">
        <f t="shared" si="7"/>
        <v>279.23900597474056</v>
      </c>
      <c r="BH30" s="62">
        <f t="shared" si="8"/>
        <v>572.57233930807388</v>
      </c>
      <c r="BI30" s="62">
        <f ca="1">AVERAGE(OFFSET($BH$3,0,0,'Données projet'!$E$11+1,1))-AVERAGE(OFFSET($H$3,0,0,'Données projet'!$E$11+1,1))</f>
        <v>254.12694970606668</v>
      </c>
      <c r="BJ30" s="62">
        <f t="shared" si="38"/>
        <v>319.62868041131082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16.553603347756795</v>
      </c>
      <c r="BQ30" s="23">
        <f>EXP(-LN(2)/25)*BQ29+(1-EXP(-LN(2)/25))/(LN(2)/25)*Calculateur!BL30*Calculateur!BN30*VLOOKUP('Données projet'!$B$11,Paramètres!$A$1:$I$89,3,0)*0.475*44/12</f>
        <v>15.933326958034952</v>
      </c>
      <c r="BR30" s="23">
        <f>EXP(-LN(2)/2)*BR29+(1-EXP(-LN(2)/2))/(LN(2)/2)*BL30*BO30*VLOOKUP('Données projet'!$B$11,Paramètres!$A$1:$I$89,3,0)*0.475*44/12</f>
        <v>0.27046199007163479</v>
      </c>
      <c r="BS30" s="24">
        <f t="shared" si="9"/>
        <v>32.757392295863383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6.5093333333333332</v>
      </c>
      <c r="N31" s="14">
        <f>IF('Données projet'!$A$36&gt;35,N30+M31-V30,IF(A31&lt;'Données projet'!$A$36,$K$205^A31,IF(A31='Données projet'!$A$36,'Données projet'!$B$36,N30+M31-V30)))</f>
        <v>137.38750878602823</v>
      </c>
      <c r="O31" s="14">
        <f>N31*VLOOKUP('Données projet'!$B$9,Paramètres!$A$1:$I$89,3,0)*VLOOKUP('Données projet'!$B$9,Paramètres!$A$1:$I$89,5,0)</f>
        <v>64.29735411186121</v>
      </c>
      <c r="P31" s="14">
        <f t="shared" si="33"/>
        <v>18.250362266672195</v>
      </c>
      <c r="Q31" s="22">
        <f t="shared" si="2"/>
        <v>143.77060602594568</v>
      </c>
      <c r="R31" s="62">
        <f t="shared" si="0"/>
        <v>437.10393935927902</v>
      </c>
      <c r="S31" s="62">
        <f ca="1">AVERAGE(OFFSET($R$3,0,0,'Données projet'!$E$9+1,1))-AVERAGE(OFFSET($H$3,0,0,'Données projet'!$E$9+1,1))</f>
        <v>228.57322051753096</v>
      </c>
      <c r="T31" s="62">
        <f t="shared" si="34"/>
        <v>168.91992124331932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287.69656598881124</v>
      </c>
      <c r="AO31" s="62">
        <f t="shared" si="36"/>
        <v>221.9773436301067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5.4236460633817281</v>
      </c>
      <c r="AX31" s="23">
        <f t="shared" si="6"/>
        <v>5.4236460633817281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13.2</v>
      </c>
      <c r="BD31" s="13">
        <f>IF('Données projet'!$A$88&gt;35,BD30+BC31-BL30,IF(A31&lt;'Données projet'!$A$88,$BA$205^A31,IF(A31='Données projet'!$A$88,'Données projet'!$B$88,BD30+BC31-BL30)))</f>
        <v>158.6</v>
      </c>
      <c r="BE31" s="14">
        <f>BD31*VLOOKUP('Données projet'!$B$11,Paramètres!$A$1:$I$89,3,0)*VLOOKUP('Données projet'!$B$11,Paramètres!$A$1:$I$89,5,0)</f>
        <v>138.55296000000001</v>
      </c>
      <c r="BF31" s="14">
        <f t="shared" si="37"/>
        <v>35.965308766301796</v>
      </c>
      <c r="BG31" s="22">
        <f t="shared" si="7"/>
        <v>303.95265143464229</v>
      </c>
      <c r="BH31" s="62">
        <f t="shared" si="8"/>
        <v>597.28598476797561</v>
      </c>
      <c r="BI31" s="62">
        <f ca="1">AVERAGE(OFFSET($BH$3,0,0,'Données projet'!$E$11+1,1))-AVERAGE(OFFSET($H$3,0,0,'Données projet'!$E$11+1,1))</f>
        <v>254.12694970606668</v>
      </c>
      <c r="BJ31" s="62">
        <f t="shared" si="38"/>
        <v>319.62868041131082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16.228997282808361</v>
      </c>
      <c r="BQ31" s="23">
        <f>EXP(-LN(2)/25)*BQ30+(1-EXP(-LN(2)/25))/(LN(2)/25)*Calculateur!BL31*Calculateur!BN31*VLOOKUP('Données projet'!$B$11,Paramètres!$A$1:$I$89,3,0)*0.475*44/12</f>
        <v>15.497629294470238</v>
      </c>
      <c r="BR31" s="23">
        <f>EXP(-LN(2)/2)*BR30+(1-EXP(-LN(2)/2))/(LN(2)/2)*BL31*BO31*VLOOKUP('Données projet'!$B$11,Paramètres!$A$1:$I$89,3,0)*0.475*44/12</f>
        <v>0.19124550723286166</v>
      </c>
      <c r="BS31" s="24">
        <f t="shared" si="9"/>
        <v>31.917872084511462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6.5093333333333332</v>
      </c>
      <c r="N32" s="14">
        <f>IF('Données projet'!$A$36&gt;35,N31+M32-V31,IF(A32&lt;'Données projet'!$A$36,$K$205^A32,IF(A32='Données projet'!$A$36,'Données projet'!$B$36,N31+M32-V31)))</f>
        <v>163.79570420415698</v>
      </c>
      <c r="O32" s="14">
        <f>N32*VLOOKUP('Données projet'!$B$9,Paramètres!$A$1:$I$89,3,0)*VLOOKUP('Données projet'!$B$9,Paramètres!$A$1:$I$89,5,0)</f>
        <v>76.65638956754546</v>
      </c>
      <c r="P32" s="14">
        <f t="shared" si="33"/>
        <v>21.317633740494983</v>
      </c>
      <c r="Q32" s="22">
        <f t="shared" si="2"/>
        <v>170.63809059483708</v>
      </c>
      <c r="R32" s="62">
        <f t="shared" si="0"/>
        <v>463.9714239281704</v>
      </c>
      <c r="S32" s="62">
        <f ca="1">AVERAGE(OFFSET($R$3,0,0,'Données projet'!$E$9+1,1))-AVERAGE(OFFSET($H$3,0,0,'Données projet'!$E$9+1,1))</f>
        <v>228.57322051753096</v>
      </c>
      <c r="T32" s="62">
        <f t="shared" si="34"/>
        <v>168.91992124331932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287.69656598881124</v>
      </c>
      <c r="AO32" s="62">
        <f t="shared" si="36"/>
        <v>221.9773436301067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3.8350969101729437</v>
      </c>
      <c r="AX32" s="23">
        <f t="shared" si="6"/>
        <v>3.8350969101729437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13.2</v>
      </c>
      <c r="BD32" s="13">
        <f>IF('Données projet'!$A$88&gt;35,BD31+BC32-BL31,IF(A32&lt;'Données projet'!$A$88,$BA$205^A32,IF(A32='Données projet'!$A$88,'Données projet'!$B$88,BD31+BC32-BL31)))</f>
        <v>171.79999999999998</v>
      </c>
      <c r="BE32" s="14">
        <f>BD32*VLOOKUP('Données projet'!$B$11,Paramètres!$A$1:$I$89,3,0)*VLOOKUP('Données projet'!$B$11,Paramètres!$A$1:$I$89,5,0)</f>
        <v>150.08448000000001</v>
      </c>
      <c r="BF32" s="14">
        <f t="shared" si="37"/>
        <v>38.597783374841299</v>
      </c>
      <c r="BG32" s="22">
        <f t="shared" si="7"/>
        <v>328.62160871118198</v>
      </c>
      <c r="BH32" s="62">
        <f t="shared" si="8"/>
        <v>621.95494204451529</v>
      </c>
      <c r="BI32" s="62">
        <f ca="1">AVERAGE(OFFSET($BH$3,0,0,'Données projet'!$E$11+1,1))-AVERAGE(OFFSET($H$3,0,0,'Données projet'!$E$11+1,1))</f>
        <v>254.12694970606668</v>
      </c>
      <c r="BJ32" s="62">
        <f t="shared" si="38"/>
        <v>319.62868041131082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15.910756544803416</v>
      </c>
      <c r="BQ32" s="23">
        <f>EXP(-LN(2)/25)*BQ31+(1-EXP(-LN(2)/25))/(LN(2)/25)*Calculateur!BL32*Calculateur!BN32*VLOOKUP('Données projet'!$B$11,Paramètres!$A$1:$I$89,3,0)*0.475*44/12</f>
        <v>15.073845806428045</v>
      </c>
      <c r="BR32" s="23">
        <f>EXP(-LN(2)/2)*BR31+(1-EXP(-LN(2)/2))/(LN(2)/2)*BL32*BO32*VLOOKUP('Données projet'!$B$11,Paramètres!$A$1:$I$89,3,0)*0.475*44/12</f>
        <v>0.1352309950358174</v>
      </c>
      <c r="BS32" s="24">
        <f t="shared" si="9"/>
        <v>31.119833346267278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195.28</v>
      </c>
      <c r="L33" s="13">
        <f>VLOOKUP(A33,'Données projet'!$A$35:$I$55,9,0)</f>
        <v>6.5093333333333332</v>
      </c>
      <c r="M33" s="13">
        <f t="array" ref="M33">INDEX(L:L,MIN(IF(ISNUMBER(L33:L229),ROW(L33:L229),"")))</f>
        <v>6.5093333333333332</v>
      </c>
      <c r="N33" s="14">
        <f>IF('Données projet'!$A$36&gt;35,N32+M33-V32,IF(A33&lt;'Données projet'!$A$36,$K$205^A33,IF(A33='Données projet'!$A$36,'Données projet'!$B$36,N32+M33-V32)))</f>
        <v>195.28</v>
      </c>
      <c r="O33" s="14">
        <f>N33*VLOOKUP('Données projet'!$B$9,Paramètres!$A$1:$I$89,3,0)*VLOOKUP('Données projet'!$B$9,Paramètres!$A$1:$I$89,5,0)</f>
        <v>91.391040000000004</v>
      </c>
      <c r="P33" s="14">
        <f t="shared" si="33"/>
        <v>24.900410285211944</v>
      </c>
      <c r="Q33" s="22">
        <f t="shared" si="2"/>
        <v>202.54094258007748</v>
      </c>
      <c r="R33" s="62">
        <f t="shared" si="0"/>
        <v>495.87427591341077</v>
      </c>
      <c r="S33" s="62">
        <f ca="1">AVERAGE(OFFSET($R$3,0,0,'Données projet'!$E$9+1,1))-AVERAGE(OFFSET($H$3,0,0,'Données projet'!$E$9+1,1))</f>
        <v>228.57322051753096</v>
      </c>
      <c r="T33" s="62">
        <f t="shared" si="34"/>
        <v>168.91992124331932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287.69656598881124</v>
      </c>
      <c r="AO33" s="62">
        <f t="shared" si="36"/>
        <v>221.9773436301067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0.22500000000000001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6.0447398882791736</v>
      </c>
      <c r="AW33" s="23">
        <f>EXP(-LN(2)/2)*AW32+(1-EXP(-LN(2)/2))/(LN(2)/2)*AQ33*AT33*VLOOKUP('Données projet'!$B$10,Paramètres!$A$1:$I$89,3,0)*0.475*44/12</f>
        <v>14.222096568344917</v>
      </c>
      <c r="AX33" s="23">
        <f t="shared" si="6"/>
        <v>20.266836456624091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185</v>
      </c>
      <c r="BB33" s="13">
        <f>VLOOKUP(A33,'Données projet'!$A$87:$I$107,9,0)</f>
        <v>13.2</v>
      </c>
      <c r="BC33" s="13">
        <f t="array" ref="BC33">INDEX(BB:BB,MIN(IF(ISNUMBER(BB33:BB229),ROW(BB33:BB229),"")))</f>
        <v>13.2</v>
      </c>
      <c r="BD33" s="13">
        <f>IF('Données projet'!$A$88&gt;35,BD32+BC33-BL32,IF(A33&lt;'Données projet'!$A$88,$BA$205^A33,IF(A33='Données projet'!$A$88,'Données projet'!$B$88,BD32+BC33-BL32)))</f>
        <v>184.99999999999997</v>
      </c>
      <c r="BE33" s="14">
        <f>BD33*VLOOKUP('Données projet'!$B$11,Paramètres!$A$1:$I$89,3,0)*VLOOKUP('Données projet'!$B$11,Paramètres!$A$1:$I$89,5,0)</f>
        <v>161.61599999999999</v>
      </c>
      <c r="BF33" s="14">
        <f t="shared" si="37"/>
        <v>41.20679526204917</v>
      </c>
      <c r="BG33" s="22">
        <f t="shared" si="7"/>
        <v>353.24970174806896</v>
      </c>
      <c r="BH33" s="62">
        <f t="shared" si="8"/>
        <v>646.58303508140227</v>
      </c>
      <c r="BI33" s="62">
        <f ca="1">AVERAGE(OFFSET($BH$3,0,0,'Données projet'!$E$11+1,1))-AVERAGE(OFFSET($H$3,0,0,'Données projet'!$E$11+1,1))</f>
        <v>254.12694970606668</v>
      </c>
      <c r="BJ33" s="62">
        <f t="shared" si="38"/>
        <v>319.62868041131082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44</v>
      </c>
      <c r="BM33" s="17">
        <f>IF(ISNA(VLOOKUP(A33,'Données projet'!$A$87:$I$107,5,0)),0%,VLOOKUP(A33,'Données projet'!$A$87:$I$107,5,0)*VLOOKUP('Données projet'!$B$11,Paramètres!$A$1:$I$89,7,0))</f>
        <v>0.25800000000000001</v>
      </c>
      <c r="BN33" s="17">
        <f>IF(ISNA(VLOOKUP(A33,'Données projet'!$A$87:$I$107,6,0)),0%,VLOOKUP(A33,'Données projet'!$A$87:$I$107,6,0)*VLOOKUP('Données projet'!$B$11,Paramètres!$A$1:$I$89,7,0))</f>
        <v>0.17200000000000001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26.561824573816018</v>
      </c>
      <c r="BQ33" s="23">
        <f>EXP(-LN(2)/25)*BQ32+(1-EXP(-LN(2)/25))/(LN(2)/25)*Calculateur!BL33*Calculateur!BN33*VLOOKUP('Données projet'!$B$11,Paramètres!$A$1:$I$89,3,0)*0.475*44/12</f>
        <v>21.941585688989399</v>
      </c>
      <c r="BR33" s="23">
        <f>EXP(-LN(2)/2)*BR32+(1-EXP(-LN(2)/2))/(LN(2)/2)*BL33*BO33*VLOOKUP('Données projet'!$B$11,Paramètres!$A$1:$I$89,3,0)*0.475*44/12</f>
        <v>9.5622753616430828E-2</v>
      </c>
      <c r="BS33" s="24">
        <f t="shared" si="9"/>
        <v>48.599033016421849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16.895999999999997</v>
      </c>
      <c r="N34" s="14">
        <f>IF('Données projet'!$A$36&gt;35,N33+M34-V33,IF(A34&lt;'Données projet'!$A$36,$K$205^A34,IF(A34='Données projet'!$A$36,'Données projet'!$B$36,N33+M34-V33)))</f>
        <v>212.17599999999999</v>
      </c>
      <c r="O34" s="14">
        <f>N34*VLOOKUP('Données projet'!$B$9,Paramètres!$A$1:$I$89,3,0)*VLOOKUP('Données projet'!$B$9,Paramètres!$A$1:$I$89,5,0)</f>
        <v>99.298367999999996</v>
      </c>
      <c r="P34" s="14">
        <f t="shared" si="33"/>
        <v>26.794774963367491</v>
      </c>
      <c r="Q34" s="22">
        <f t="shared" si="2"/>
        <v>219.61222399453172</v>
      </c>
      <c r="R34" s="62">
        <f t="shared" si="0"/>
        <v>512.945557327865</v>
      </c>
      <c r="S34" s="62">
        <f ca="1">AVERAGE(OFFSET($R$3,0,0,'Données projet'!$E$9+1,1))-AVERAGE(OFFSET($H$3,0,0,'Données projet'!$E$9+1,1))</f>
        <v>228.57322051753096</v>
      </c>
      <c r="T34" s="62">
        <f t="shared" si="34"/>
        <v>168.91992124331932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287.69656598881124</v>
      </c>
      <c r="AO34" s="62">
        <f t="shared" si="36"/>
        <v>221.9773436301067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5.8794461581551243</v>
      </c>
      <c r="AW34" s="23">
        <f>EXP(-LN(2)/2)*AW33+(1-EXP(-LN(2)/2))/(LN(2)/2)*AQ34*AT34*VLOOKUP('Données projet'!$B$10,Paramètres!$A$1:$I$89,3,0)*0.475*44/12</f>
        <v>10.056540926166617</v>
      </c>
      <c r="AX34" s="23">
        <f t="shared" si="6"/>
        <v>15.935987084321741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</v>
      </c>
      <c r="BD34" s="13">
        <f>IF('Données projet'!$A$88&gt;35,BD33+BC34-BL33,IF(A34&lt;'Données projet'!$A$88,$BA$205^A34,IF(A34='Données projet'!$A$88,'Données projet'!$B$88,BD33+BC34-BL33)))</f>
        <v>152.99999999999997</v>
      </c>
      <c r="BE34" s="14">
        <f>BD34*VLOOKUP('Données projet'!$B$11,Paramètres!$A$1:$I$89,3,0)*VLOOKUP('Données projet'!$B$11,Paramètres!$A$1:$I$89,5,0)</f>
        <v>133.66079999999999</v>
      </c>
      <c r="BF34" s="14">
        <f t="shared" si="37"/>
        <v>34.840890682716747</v>
      </c>
      <c r="BG34" s="22">
        <f t="shared" si="7"/>
        <v>293.47377793906497</v>
      </c>
      <c r="BH34" s="62">
        <f t="shared" si="8"/>
        <v>586.80711127239829</v>
      </c>
      <c r="BI34" s="62">
        <f ca="1">AVERAGE(OFFSET($BH$3,0,0,'Données projet'!$E$11+1,1))-AVERAGE(OFFSET($H$3,0,0,'Données projet'!$E$11+1,1))</f>
        <v>254.12694970606668</v>
      </c>
      <c r="BJ34" s="62">
        <f t="shared" si="38"/>
        <v>319.62868041131082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26.040963395036748</v>
      </c>
      <c r="BQ34" s="23">
        <f>EXP(-LN(2)/25)*BQ33+(1-EXP(-LN(2)/25))/(LN(2)/25)*Calculateur!BL34*Calculateur!BN34*VLOOKUP('Données projet'!$B$11,Paramètres!$A$1:$I$89,3,0)*0.475*44/12</f>
        <v>21.34159187446614</v>
      </c>
      <c r="BR34" s="23">
        <f>EXP(-LN(2)/2)*BR33+(1-EXP(-LN(2)/2))/(LN(2)/2)*BL34*BO34*VLOOKUP('Données projet'!$B$11,Paramètres!$A$1:$I$89,3,0)*0.475*44/12</f>
        <v>6.7615497517908699E-2</v>
      </c>
      <c r="BS34" s="24">
        <f t="shared" si="9"/>
        <v>47.450170767020794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16.895999999999997</v>
      </c>
      <c r="N35" s="14">
        <f>IF('Données projet'!$A$36&gt;35,N34+M35-V34,IF(A35&lt;'Données projet'!$A$36,$K$205^A35,IF(A35='Données projet'!$A$36,'Données projet'!$B$36,N34+M35-V34)))</f>
        <v>229.07199999999997</v>
      </c>
      <c r="O35" s="14">
        <f>N35*VLOOKUP('Données projet'!$B$9,Paramètres!$A$1:$I$89,3,0)*VLOOKUP('Données projet'!$B$9,Paramètres!$A$1:$I$89,5,0)</f>
        <v>107.20569599999997</v>
      </c>
      <c r="P35" s="14">
        <f t="shared" si="33"/>
        <v>28.671642082436559</v>
      </c>
      <c r="Q35" s="22">
        <f t="shared" ref="Q35:Q66" si="53">(O35+P35)*0.475*44/12</f>
        <v>236.65303049357692</v>
      </c>
      <c r="R35" s="62">
        <f t="shared" si="0"/>
        <v>529.98636382691029</v>
      </c>
      <c r="S35" s="62">
        <f ca="1">AVERAGE(OFFSET($R$3,0,0,'Données projet'!$E$9+1,1))-AVERAGE(OFFSET($H$3,0,0,'Données projet'!$E$9+1,1))</f>
        <v>228.57322051753096</v>
      </c>
      <c r="T35" s="62">
        <f t="shared" si="34"/>
        <v>168.91992124331932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287.69656598881124</v>
      </c>
      <c r="AO35" s="62">
        <f t="shared" si="36"/>
        <v>221.9773436301067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5.7186723937737369</v>
      </c>
      <c r="AW35" s="23">
        <f>EXP(-LN(2)/2)*AW34+(1-EXP(-LN(2)/2))/(LN(2)/2)*AQ35*AT35*VLOOKUP('Données projet'!$B$10,Paramètres!$A$1:$I$89,3,0)*0.475*44/12</f>
        <v>7.1110482841724583</v>
      </c>
      <c r="AX35" s="23">
        <f t="shared" si="6"/>
        <v>12.829720677946195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</v>
      </c>
      <c r="BD35" s="13">
        <f>IF('Données projet'!$A$88&gt;35,BD34+BC35-BL34,IF(A35&lt;'Données projet'!$A$88,$BA$205^A35,IF(A35='Données projet'!$A$88,'Données projet'!$B$88,BD34+BC35-BL34)))</f>
        <v>164.99999999999997</v>
      </c>
      <c r="BE35" s="14">
        <f>BD35*VLOOKUP('Données projet'!$B$11,Paramètres!$A$1:$I$89,3,0)*VLOOKUP('Données projet'!$B$11,Paramètres!$A$1:$I$89,5,0)</f>
        <v>144.14400000000001</v>
      </c>
      <c r="BF35" s="14">
        <f t="shared" si="37"/>
        <v>37.244720006976252</v>
      </c>
      <c r="BG35" s="22">
        <f t="shared" si="7"/>
        <v>315.91868734548365</v>
      </c>
      <c r="BH35" s="62">
        <f t="shared" si="8"/>
        <v>609.25202067881696</v>
      </c>
      <c r="BI35" s="62">
        <f ca="1">AVERAGE(OFFSET($BH$3,0,0,'Données projet'!$E$11+1,1))-AVERAGE(OFFSET($H$3,0,0,'Données projet'!$E$11+1,1))</f>
        <v>254.12694970606668</v>
      </c>
      <c r="BJ35" s="62">
        <f t="shared" si="38"/>
        <v>319.62868041131082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25.53031598627939</v>
      </c>
      <c r="BQ35" s="23">
        <f>EXP(-LN(2)/25)*BQ34+(1-EXP(-LN(2)/25))/(LN(2)/25)*Calculateur!BL35*Calculateur!BN35*VLOOKUP('Données projet'!$B$11,Paramètres!$A$1:$I$89,3,0)*0.475*44/12</f>
        <v>20.758004922353322</v>
      </c>
      <c r="BR35" s="23">
        <f>EXP(-LN(2)/2)*BR34+(1-EXP(-LN(2)/2))/(LN(2)/2)*BL35*BO35*VLOOKUP('Données projet'!$B$11,Paramètres!$A$1:$I$89,3,0)*0.475*44/12</f>
        <v>4.7811376808215414E-2</v>
      </c>
      <c r="BS35" s="24">
        <f t="shared" si="9"/>
        <v>46.336132285440925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16.895999999999997</v>
      </c>
      <c r="N36" s="14">
        <f>IF('Données projet'!$A$36&gt;35,N35+M36-V35,IF(A36&lt;'Données projet'!$A$36,$K$205^A36,IF(A36='Données projet'!$A$36,'Données projet'!$B$36,N35+M36-V35)))</f>
        <v>245.96799999999996</v>
      </c>
      <c r="O36" s="14">
        <f>N36*VLOOKUP('Données projet'!$B$9,Paramètres!$A$1:$I$89,3,0)*VLOOKUP('Données projet'!$B$9,Paramètres!$A$1:$I$89,5,0)</f>
        <v>115.11302399999998</v>
      </c>
      <c r="P36" s="14">
        <f t="shared" si="33"/>
        <v>30.532448996635239</v>
      </c>
      <c r="Q36" s="22">
        <f t="shared" si="53"/>
        <v>253.66586546913962</v>
      </c>
      <c r="R36" s="62">
        <f t="shared" si="0"/>
        <v>546.99919880247296</v>
      </c>
      <c r="S36" s="62">
        <f ca="1">AVERAGE(OFFSET($R$3,0,0,'Données projet'!$E$9+1,1))-AVERAGE(OFFSET($H$3,0,0,'Données projet'!$E$9+1,1))</f>
        <v>228.57322051753096</v>
      </c>
      <c r="T36" s="62">
        <f t="shared" si="34"/>
        <v>168.91992124331932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287.69656598881124</v>
      </c>
      <c r="AO36" s="62">
        <f t="shared" si="36"/>
        <v>221.9773436301067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5.5622949964340833</v>
      </c>
      <c r="AW36" s="23">
        <f>EXP(-LN(2)/2)*AW35+(1-EXP(-LN(2)/2))/(LN(2)/2)*AQ36*AT36*VLOOKUP('Données projet'!$B$10,Paramètres!$A$1:$I$89,3,0)*0.475*44/12</f>
        <v>5.0282704630833086</v>
      </c>
      <c r="AX36" s="23">
        <f t="shared" si="6"/>
        <v>10.590565459517393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</v>
      </c>
      <c r="BD36" s="13">
        <f>IF('Données projet'!$A$88&gt;35,BD35+BC36-BL35,IF(A36&lt;'Données projet'!$A$88,$BA$205^A36,IF(A36='Données projet'!$A$88,'Données projet'!$B$88,BD35+BC36-BL35)))</f>
        <v>176.99999999999997</v>
      </c>
      <c r="BE36" s="14">
        <f>BD36*VLOOKUP('Données projet'!$B$11,Paramètres!$A$1:$I$89,3,0)*VLOOKUP('Données projet'!$B$11,Paramètres!$A$1:$I$89,5,0)</f>
        <v>154.62719999999999</v>
      </c>
      <c r="BF36" s="14">
        <f t="shared" si="37"/>
        <v>39.62826685000794</v>
      </c>
      <c r="BG36" s="22">
        <f t="shared" si="7"/>
        <v>338.32827143043045</v>
      </c>
      <c r="BH36" s="62">
        <f t="shared" si="8"/>
        <v>631.66160476376376</v>
      </c>
      <c r="BI36" s="62">
        <f ca="1">AVERAGE(OFFSET($BH$3,0,0,'Données projet'!$E$11+1,1))-AVERAGE(OFFSET($H$3,0,0,'Données projet'!$E$11+1,1))</f>
        <v>254.12694970606668</v>
      </c>
      <c r="BJ36" s="62">
        <f t="shared" si="38"/>
        <v>319.62868041131082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25.0296820617436</v>
      </c>
      <c r="BQ36" s="23">
        <f>EXP(-LN(2)/25)*BQ35+(1-EXP(-LN(2)/25))/(LN(2)/25)*Calculateur!BL36*Calculateur!BN36*VLOOKUP('Données projet'!$B$11,Paramètres!$A$1:$I$89,3,0)*0.475*44/12</f>
        <v>20.190376186135534</v>
      </c>
      <c r="BR36" s="23">
        <f>EXP(-LN(2)/2)*BR35+(1-EXP(-LN(2)/2))/(LN(2)/2)*BL36*BO36*VLOOKUP('Données projet'!$B$11,Paramètres!$A$1:$I$89,3,0)*0.475*44/12</f>
        <v>3.3807748758954349E-2</v>
      </c>
      <c r="BS36" s="24">
        <f t="shared" si="9"/>
        <v>45.253865996638091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16.895999999999997</v>
      </c>
      <c r="N37" s="14">
        <f>IF('Données projet'!$A$36&gt;35,N36+M37-V36,IF(A37&lt;'Données projet'!$A$36,$K$205^A37,IF(A37='Données projet'!$A$36,'Données projet'!$B$36,N36+M37-V36)))</f>
        <v>262.86399999999998</v>
      </c>
      <c r="O37" s="14">
        <f>N37*VLOOKUP('Données projet'!$B$9,Paramètres!$A$1:$I$89,3,0)*VLOOKUP('Données projet'!$B$9,Paramètres!$A$1:$I$89,5,0)</f>
        <v>123.02035199999999</v>
      </c>
      <c r="P37" s="14">
        <f t="shared" si="33"/>
        <v>32.378424412524012</v>
      </c>
      <c r="Q37" s="22">
        <f t="shared" si="53"/>
        <v>270.65286891847927</v>
      </c>
      <c r="R37" s="62">
        <f t="shared" si="0"/>
        <v>563.98620225181253</v>
      </c>
      <c r="S37" s="62">
        <f ca="1">AVERAGE(OFFSET($R$3,0,0,'Données projet'!$E$9+1,1))-AVERAGE(OFFSET($H$3,0,0,'Données projet'!$E$9+1,1))</f>
        <v>228.57322051753096</v>
      </c>
      <c r="T37" s="62">
        <f t="shared" si="34"/>
        <v>168.91992124331932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287.69656598881124</v>
      </c>
      <c r="AO37" s="62">
        <f t="shared" si="36"/>
        <v>221.9773436301067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5.4101937472482122</v>
      </c>
      <c r="AW37" s="23">
        <f>EXP(-LN(2)/2)*AW36+(1-EXP(-LN(2)/2))/(LN(2)/2)*AQ37*AT37*VLOOKUP('Données projet'!$B$10,Paramètres!$A$1:$I$89,3,0)*0.475*44/12</f>
        <v>3.5555241420862291</v>
      </c>
      <c r="AX37" s="23">
        <f t="shared" si="6"/>
        <v>8.9657178893344422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</v>
      </c>
      <c r="BD37" s="13">
        <f>IF('Données projet'!$A$88&gt;35,BD36+BC37-BL36,IF(A37&lt;'Données projet'!$A$88,$BA$205^A37,IF(A37='Données projet'!$A$88,'Données projet'!$B$88,BD36+BC37-BL36)))</f>
        <v>188.99999999999997</v>
      </c>
      <c r="BE37" s="14">
        <f>BD37*VLOOKUP('Données projet'!$B$11,Paramètres!$A$1:$I$89,3,0)*VLOOKUP('Données projet'!$B$11,Paramètres!$A$1:$I$89,5,0)</f>
        <v>165.1104</v>
      </c>
      <c r="BF37" s="14">
        <f t="shared" si="37"/>
        <v>41.993062739333446</v>
      </c>
      <c r="BG37" s="22">
        <f t="shared" si="7"/>
        <v>360.70519760433905</v>
      </c>
      <c r="BH37" s="62">
        <f t="shared" si="8"/>
        <v>654.03853093767236</v>
      </c>
      <c r="BI37" s="62">
        <f ca="1">AVERAGE(OFFSET($BH$3,0,0,'Données projet'!$E$11+1,1))-AVERAGE(OFFSET($H$3,0,0,'Données projet'!$E$11+1,1))</f>
        <v>254.12694970606668</v>
      </c>
      <c r="BJ37" s="62">
        <f t="shared" si="38"/>
        <v>319.62868041131082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24.538865263111415</v>
      </c>
      <c r="BQ37" s="23">
        <f>EXP(-LN(2)/25)*BQ36+(1-EXP(-LN(2)/25))/(LN(2)/25)*Calculateur!BL37*Calculateur!BN37*VLOOKUP('Données projet'!$B$11,Paramètres!$A$1:$I$89,3,0)*0.475*44/12</f>
        <v>19.638269287559922</v>
      </c>
      <c r="BR37" s="23">
        <f>EXP(-LN(2)/2)*BR36+(1-EXP(-LN(2)/2))/(LN(2)/2)*BL37*BO37*VLOOKUP('Données projet'!$B$11,Paramètres!$A$1:$I$89,3,0)*0.475*44/12</f>
        <v>2.3905688404107707E-2</v>
      </c>
      <c r="BS37" s="24">
        <f t="shared" si="9"/>
        <v>44.201040239075446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279.76</v>
      </c>
      <c r="L38" s="13">
        <f>VLOOKUP(A38,'Données projet'!$A$35:$I$55,9,0)</f>
        <v>16.895999999999997</v>
      </c>
      <c r="M38" s="13">
        <f t="array" ref="M38">INDEX(L:L,MIN(IF(ISNUMBER(L38:L234),ROW(L38:L234),"")))</f>
        <v>16.895999999999997</v>
      </c>
      <c r="N38" s="14">
        <f>IF('Données projet'!$A$36&gt;35,N37+M38-V37,IF(A38&lt;'Données projet'!$A$36,$K$205^A38,IF(A38='Données projet'!$A$36,'Données projet'!$B$36,N37+M38-V37)))</f>
        <v>279.76</v>
      </c>
      <c r="O38" s="14">
        <f>N38*VLOOKUP('Données projet'!$B$9,Paramètres!$A$1:$I$89,3,0)*VLOOKUP('Données projet'!$B$9,Paramètres!$A$1:$I$89,5,0)</f>
        <v>130.92768000000001</v>
      </c>
      <c r="P38" s="14">
        <f t="shared" si="33"/>
        <v>34.210630151715954</v>
      </c>
      <c r="Q38" s="22">
        <f t="shared" si="53"/>
        <v>287.6158901809053</v>
      </c>
      <c r="R38" s="62">
        <f t="shared" si="0"/>
        <v>580.94922351423861</v>
      </c>
      <c r="S38" s="62">
        <f ca="1">AVERAGE(OFFSET($R$3,0,0,'Données projet'!$E$9+1,1))-AVERAGE(OFFSET($H$3,0,0,'Données projet'!$E$9+1,1))</f>
        <v>228.57322051753096</v>
      </c>
      <c r="T38" s="62">
        <f t="shared" si="34"/>
        <v>168.91992124331932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287.69656598881124</v>
      </c>
      <c r="AO38" s="62">
        <f t="shared" si="36"/>
        <v>221.9773436301067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5.2622517147199854</v>
      </c>
      <c r="AW38" s="23">
        <f>EXP(-LN(2)/2)*AW37+(1-EXP(-LN(2)/2))/(LN(2)/2)*AQ38*AT38*VLOOKUP('Données projet'!$B$10,Paramètres!$A$1:$I$89,3,0)*0.475*44/12</f>
        <v>2.5141352315416543</v>
      </c>
      <c r="AX38" s="23">
        <f t="shared" si="6"/>
        <v>7.7763869462616402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</v>
      </c>
      <c r="BC38" s="13">
        <f t="array" ref="BC38">INDEX(BB:BB,MIN(IF(ISNUMBER(BB38:BB234),ROW(BB38:BB234),"")))</f>
        <v>12</v>
      </c>
      <c r="BD38" s="13">
        <f>IF('Données projet'!$A$88&gt;35,BD37+BC38-BL37,IF(A38&lt;'Données projet'!$A$88,$BA$205^A38,IF(A38='Données projet'!$A$88,'Données projet'!$B$88,BD37+BC38-BL37)))</f>
        <v>200.99999999999997</v>
      </c>
      <c r="BE38" s="14">
        <f>BD38*VLOOKUP('Données projet'!$B$11,Paramètres!$A$1:$I$89,3,0)*VLOOKUP('Données projet'!$B$11,Paramètres!$A$1:$I$89,5,0)</f>
        <v>175.59359999999998</v>
      </c>
      <c r="BF38" s="14">
        <f t="shared" si="37"/>
        <v>44.340433728638573</v>
      </c>
      <c r="BG38" s="22">
        <f t="shared" si="7"/>
        <v>383.05177541071208</v>
      </c>
      <c r="BH38" s="62">
        <f t="shared" si="8"/>
        <v>676.3851087440454</v>
      </c>
      <c r="BI38" s="62">
        <f ca="1">AVERAGE(OFFSET($BH$3,0,0,'Données projet'!$E$11+1,1))-AVERAGE(OFFSET($H$3,0,0,'Données projet'!$E$11+1,1))</f>
        <v>254.12694970606668</v>
      </c>
      <c r="BJ38" s="62">
        <f t="shared" si="38"/>
        <v>319.62868041131082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24.057673082531718</v>
      </c>
      <c r="BQ38" s="23">
        <f>EXP(-LN(2)/25)*BQ37+(1-EXP(-LN(2)/25))/(LN(2)/25)*Calculateur!BL38*Calculateur!BN38*VLOOKUP('Données projet'!$B$11,Paramètres!$A$1:$I$89,3,0)*0.475*44/12</f>
        <v>19.101259781159897</v>
      </c>
      <c r="BR38" s="23">
        <f>EXP(-LN(2)/2)*BR37+(1-EXP(-LN(2)/2))/(LN(2)/2)*BL38*BO38*VLOOKUP('Données projet'!$B$11,Paramètres!$A$1:$I$89,3,0)*0.475*44/12</f>
        <v>1.6903874379477175E-2</v>
      </c>
      <c r="BS38" s="24">
        <f t="shared" si="9"/>
        <v>43.175836738071098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299.33142857142855</v>
      </c>
      <c r="O39" s="14">
        <f>N39*VLOOKUP('Données projet'!$B$9,Paramètres!$A$1:$I$89,3,0)*VLOOKUP('Données projet'!$B$9,Paramètres!$A$1:$I$89,5,0)</f>
        <v>140.08710857142856</v>
      </c>
      <c r="P39" s="14">
        <f t="shared" si="33"/>
        <v>36.316960123042108</v>
      </c>
      <c r="Q39" s="22">
        <f t="shared" si="53"/>
        <v>307.23708630953638</v>
      </c>
      <c r="R39" s="62">
        <f t="shared" si="0"/>
        <v>600.57041964286964</v>
      </c>
      <c r="S39" s="62">
        <f ca="1">AVERAGE(OFFSET($R$3,0,0,'Données projet'!$E$9+1,1))-AVERAGE(OFFSET($H$3,0,0,'Données projet'!$E$9+1,1))</f>
        <v>228.57322051753096</v>
      </c>
      <c r="T39" s="62">
        <f t="shared" si="34"/>
        <v>168.91992124331932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287.69656598881124</v>
      </c>
      <c r="AO39" s="62">
        <f t="shared" si="36"/>
        <v>221.9773436301067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5.1183551648511765</v>
      </c>
      <c r="AW39" s="23">
        <f>EXP(-LN(2)/2)*AW38+(1-EXP(-LN(2)/2))/(LN(2)/2)*AQ39*AT39*VLOOKUP('Données projet'!$B$10,Paramètres!$A$1:$I$89,3,0)*0.475*44/12</f>
        <v>1.7777620710431146</v>
      </c>
      <c r="AX39" s="23">
        <f t="shared" si="6"/>
        <v>6.896117235894291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</v>
      </c>
      <c r="BD39" s="13">
        <f>IF('Données projet'!$A$88&gt;35,BD38+BC39-BL38,IF(A39&lt;'Données projet'!$A$88,$BA$205^A39,IF(A39='Données projet'!$A$88,'Données projet'!$B$88,BD38+BC39-BL38)))</f>
        <v>169.99999999999997</v>
      </c>
      <c r="BE39" s="14">
        <f>BD39*VLOOKUP('Données projet'!$B$11,Paramètres!$A$1:$I$89,3,0)*VLOOKUP('Données projet'!$B$11,Paramètres!$A$1:$I$89,5,0)</f>
        <v>148.512</v>
      </c>
      <c r="BF39" s="14">
        <f t="shared" si="37"/>
        <v>38.240236326053513</v>
      </c>
      <c r="BG39" s="22">
        <f t="shared" si="7"/>
        <v>325.26014493454323</v>
      </c>
      <c r="BH39" s="62">
        <f t="shared" si="8"/>
        <v>618.59347826787655</v>
      </c>
      <c r="BI39" s="62">
        <f ca="1">AVERAGE(OFFSET($BH$3,0,0,'Données projet'!$E$11+1,1))-AVERAGE(OFFSET($H$3,0,0,'Données projet'!$E$11+1,1))</f>
        <v>254.12694970606668</v>
      </c>
      <c r="BJ39" s="62">
        <f t="shared" si="38"/>
        <v>319.62868041131082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23.58591678711494</v>
      </c>
      <c r="BQ39" s="23">
        <f>EXP(-LN(2)/25)*BQ38+(1-EXP(-LN(2)/25))/(LN(2)/25)*Calculateur!BL39*Calculateur!BN39*VLOOKUP('Données projet'!$B$11,Paramètres!$A$1:$I$89,3,0)*0.475*44/12</f>
        <v>18.578934827952484</v>
      </c>
      <c r="BR39" s="23">
        <f>EXP(-LN(2)/2)*BR38+(1-EXP(-LN(2)/2))/(LN(2)/2)*BL39*BO39*VLOOKUP('Données projet'!$B$11,Paramètres!$A$1:$I$89,3,0)*0.475*44/12</f>
        <v>1.1952844202053853E-2</v>
      </c>
      <c r="BS39" s="24">
        <f t="shared" si="9"/>
        <v>42.176804459269476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318.9028571428571</v>
      </c>
      <c r="O40" s="14">
        <f>N40*VLOOKUP('Données projet'!$B$9,Paramètres!$A$1:$I$89,3,0)*VLOOKUP('Données projet'!$B$9,Paramètres!$A$1:$I$89,5,0)</f>
        <v>149.24653714285711</v>
      </c>
      <c r="P40" s="14">
        <f t="shared" si="33"/>
        <v>38.40730833189388</v>
      </c>
      <c r="Q40" s="22">
        <f t="shared" si="53"/>
        <v>326.83044753519135</v>
      </c>
      <c r="R40" s="62">
        <f t="shared" si="0"/>
        <v>620.16378086852467</v>
      </c>
      <c r="S40" s="62">
        <f ca="1">AVERAGE(OFFSET($R$3,0,0,'Données projet'!$E$9+1,1))-AVERAGE(OFFSET($H$3,0,0,'Données projet'!$E$9+1,1))</f>
        <v>228.57322051753096</v>
      </c>
      <c r="T40" s="62">
        <f t="shared" si="34"/>
        <v>168.91992124331932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287.69656598881124</v>
      </c>
      <c r="AO40" s="62">
        <f t="shared" si="36"/>
        <v>221.9773436301067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4.9783934737057214</v>
      </c>
      <c r="AW40" s="23">
        <f>EXP(-LN(2)/2)*AW39+(1-EXP(-LN(2)/2))/(LN(2)/2)*AQ40*AT40*VLOOKUP('Données projet'!$B$10,Paramètres!$A$1:$I$89,3,0)*0.475*44/12</f>
        <v>1.2570676157708272</v>
      </c>
      <c r="AX40" s="23">
        <f t="shared" si="6"/>
        <v>6.2354610894765488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</v>
      </c>
      <c r="BD40" s="13">
        <f>IF('Données projet'!$A$88&gt;35,BD39+BC40-BL39,IF(A40&lt;'Données projet'!$A$88,$BA$205^A40,IF(A40='Données projet'!$A$88,'Données projet'!$B$88,BD39+BC40-BL39)))</f>
        <v>180.99999999999997</v>
      </c>
      <c r="BE40" s="14">
        <f>BD40*VLOOKUP('Données projet'!$B$11,Paramètres!$A$1:$I$89,3,0)*VLOOKUP('Données projet'!$B$11,Paramètres!$A$1:$I$89,5,0)</f>
        <v>158.1216</v>
      </c>
      <c r="BF40" s="14">
        <f t="shared" si="37"/>
        <v>40.418546284954211</v>
      </c>
      <c r="BG40" s="22">
        <f t="shared" si="7"/>
        <v>345.79075477962851</v>
      </c>
      <c r="BH40" s="62">
        <f t="shared" si="8"/>
        <v>639.12408811296177</v>
      </c>
      <c r="BI40" s="62">
        <f ca="1">AVERAGE(OFFSET($BH$3,0,0,'Données projet'!$E$11+1,1))-AVERAGE(OFFSET($H$3,0,0,'Données projet'!$E$11+1,1))</f>
        <v>254.12694970606668</v>
      </c>
      <c r="BJ40" s="62">
        <f t="shared" si="38"/>
        <v>319.62868041131082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23.123411344908359</v>
      </c>
      <c r="BQ40" s="23">
        <f>EXP(-LN(2)/25)*BQ39+(1-EXP(-LN(2)/25))/(LN(2)/25)*Calculateur!BL40*Calculateur!BN40*VLOOKUP('Données projet'!$B$11,Paramètres!$A$1:$I$89,3,0)*0.475*44/12</f>
        <v>18.070892878058402</v>
      </c>
      <c r="BR40" s="23">
        <f>EXP(-LN(2)/2)*BR39+(1-EXP(-LN(2)/2))/(LN(2)/2)*BL40*BO40*VLOOKUP('Données projet'!$B$11,Paramètres!$A$1:$I$89,3,0)*0.475*44/12</f>
        <v>8.4519371897385873E-3</v>
      </c>
      <c r="BS40" s="24">
        <f t="shared" si="9"/>
        <v>41.202756160156504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338.47428571428566</v>
      </c>
      <c r="O41" s="14">
        <f>N41*VLOOKUP('Données projet'!$B$9,Paramètres!$A$1:$I$89,3,0)*VLOOKUP('Données projet'!$B$9,Paramètres!$A$1:$I$89,5,0)</f>
        <v>158.40596571428568</v>
      </c>
      <c r="P41" s="14">
        <f t="shared" si="33"/>
        <v>40.482767275652961</v>
      </c>
      <c r="Q41" s="22">
        <f t="shared" si="53"/>
        <v>346.39787662414318</v>
      </c>
      <c r="R41" s="62">
        <f t="shared" si="0"/>
        <v>639.73120995747649</v>
      </c>
      <c r="S41" s="62">
        <f ca="1">AVERAGE(OFFSET($R$3,0,0,'Données projet'!$E$9+1,1))-AVERAGE(OFFSET($H$3,0,0,'Données projet'!$E$9+1,1))</f>
        <v>228.57322051753096</v>
      </c>
      <c r="T41" s="62">
        <f t="shared" si="34"/>
        <v>168.91992124331932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287.69656598881124</v>
      </c>
      <c r="AO41" s="62">
        <f t="shared" si="36"/>
        <v>221.9773436301067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4.8422590423649039</v>
      </c>
      <c r="AW41" s="23">
        <f>EXP(-LN(2)/2)*AW40+(1-EXP(-LN(2)/2))/(LN(2)/2)*AQ41*AT41*VLOOKUP('Données projet'!$B$10,Paramètres!$A$1:$I$89,3,0)*0.475*44/12</f>
        <v>0.88888103552155728</v>
      </c>
      <c r="AX41" s="23">
        <f t="shared" si="6"/>
        <v>5.7311400778864616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</v>
      </c>
      <c r="BD41" s="13">
        <f>IF('Données projet'!$A$88&gt;35,BD40+BC41-BL40,IF(A41&lt;'Données projet'!$A$88,$BA$205^A41,IF(A41='Données projet'!$A$88,'Données projet'!$B$88,BD40+BC41-BL40)))</f>
        <v>191.99999999999997</v>
      </c>
      <c r="BE41" s="14">
        <f>BD41*VLOOKUP('Données projet'!$B$11,Paramètres!$A$1:$I$89,3,0)*VLOOKUP('Données projet'!$B$11,Paramètres!$A$1:$I$89,5,0)</f>
        <v>167.7312</v>
      </c>
      <c r="BF41" s="14">
        <f t="shared" si="37"/>
        <v>42.581491199832655</v>
      </c>
      <c r="BG41" s="22">
        <f t="shared" si="7"/>
        <v>366.29460383970854</v>
      </c>
      <c r="BH41" s="62">
        <f t="shared" si="8"/>
        <v>659.6279371730418</v>
      </c>
      <c r="BI41" s="62">
        <f ca="1">AVERAGE(OFFSET($BH$3,0,0,'Données projet'!$E$11+1,1))-AVERAGE(OFFSET($H$3,0,0,'Données projet'!$E$11+1,1))</f>
        <v>254.12694970606668</v>
      </c>
      <c r="BJ41" s="62">
        <f t="shared" si="38"/>
        <v>319.62868041131082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22.669975352322982</v>
      </c>
      <c r="BQ41" s="23">
        <f>EXP(-LN(2)/25)*BQ40+(1-EXP(-LN(2)/25))/(LN(2)/25)*Calculateur!BL41*Calculateur!BN41*VLOOKUP('Données projet'!$B$11,Paramètres!$A$1:$I$89,3,0)*0.475*44/12</f>
        <v>17.57674336200094</v>
      </c>
      <c r="BR41" s="23">
        <f>EXP(-LN(2)/2)*BR40+(1-EXP(-LN(2)/2))/(LN(2)/2)*BL41*BO41*VLOOKUP('Données projet'!$B$11,Paramètres!$A$1:$I$89,3,0)*0.475*44/12</f>
        <v>5.9764221010269267E-3</v>
      </c>
      <c r="BS41" s="24">
        <f t="shared" si="9"/>
        <v>40.252695136424947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358.04571428571421</v>
      </c>
      <c r="O42" s="14">
        <f>N42*VLOOKUP('Données projet'!$B$9,Paramètres!$A$1:$I$89,3,0)*VLOOKUP('Données projet'!$B$9,Paramètres!$A$1:$I$89,5,0)</f>
        <v>167.56539428571426</v>
      </c>
      <c r="P42" s="14">
        <f t="shared" si="33"/>
        <v>42.544295973339878</v>
      </c>
      <c r="Q42" s="22">
        <f t="shared" si="53"/>
        <v>365.94104386785261</v>
      </c>
      <c r="R42" s="62">
        <f t="shared" si="0"/>
        <v>659.27437720118587</v>
      </c>
      <c r="S42" s="62">
        <f ca="1">AVERAGE(OFFSET($R$3,0,0,'Données projet'!$E$9+1,1))-AVERAGE(OFFSET($H$3,0,0,'Données projet'!$E$9+1,1))</f>
        <v>228.57322051753096</v>
      </c>
      <c r="T42" s="62">
        <f t="shared" si="34"/>
        <v>168.91992124331932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287.69656598881124</v>
      </c>
      <c r="AO42" s="62">
        <f t="shared" si="36"/>
        <v>221.9773436301067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4.7098472142081</v>
      </c>
      <c r="AW42" s="23">
        <f>EXP(-LN(2)/2)*AW41+(1-EXP(-LN(2)/2))/(LN(2)/2)*AQ42*AT42*VLOOKUP('Données projet'!$B$10,Paramètres!$A$1:$I$89,3,0)*0.475*44/12</f>
        <v>0.62853380788541358</v>
      </c>
      <c r="AX42" s="23">
        <f t="shared" si="6"/>
        <v>5.3383810220935137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</v>
      </c>
      <c r="BD42" s="13">
        <f>IF('Données projet'!$A$88&gt;35,BD41+BC42-BL41,IF(A42&lt;'Données projet'!$A$88,$BA$205^A42,IF(A42='Données projet'!$A$88,'Données projet'!$B$88,BD41+BC42-BL41)))</f>
        <v>202.99999999999997</v>
      </c>
      <c r="BE42" s="14">
        <f>BD42*VLOOKUP('Données projet'!$B$11,Paramètres!$A$1:$I$89,3,0)*VLOOKUP('Données projet'!$B$11,Paramètres!$A$1:$I$89,5,0)</f>
        <v>177.3408</v>
      </c>
      <c r="BF42" s="14">
        <f t="shared" si="37"/>
        <v>44.730051658603102</v>
      </c>
      <c r="BG42" s="22">
        <f t="shared" si="7"/>
        <v>386.77339997206701</v>
      </c>
      <c r="BH42" s="62">
        <f t="shared" si="8"/>
        <v>680.10673330540033</v>
      </c>
      <c r="BI42" s="62">
        <f ca="1">AVERAGE(OFFSET($BH$3,0,0,'Données projet'!$E$11+1,1))-AVERAGE(OFFSET($H$3,0,0,'Données projet'!$E$11+1,1))</f>
        <v>254.12694970606668</v>
      </c>
      <c r="BJ42" s="62">
        <f t="shared" si="38"/>
        <v>319.62868041131082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22.225430962983559</v>
      </c>
      <c r="BQ42" s="23">
        <f>EXP(-LN(2)/25)*BQ41+(1-EXP(-LN(2)/25))/(LN(2)/25)*Calculateur!BL42*Calculateur!BN42*VLOOKUP('Données projet'!$B$11,Paramètres!$A$1:$I$89,3,0)*0.475*44/12</f>
        <v>17.096106390446263</v>
      </c>
      <c r="BR42" s="23">
        <f>EXP(-LN(2)/2)*BR41+(1-EXP(-LN(2)/2))/(LN(2)/2)*BL42*BO42*VLOOKUP('Données projet'!$B$11,Paramètres!$A$1:$I$89,3,0)*0.475*44/12</f>
        <v>4.2259685948692937E-3</v>
      </c>
      <c r="BS42" s="24">
        <f t="shared" si="9"/>
        <v>39.325763322024684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377.61714285714277</v>
      </c>
      <c r="O43" s="14">
        <f>N43*VLOOKUP('Données projet'!$B$9,Paramètres!$A$1:$I$89,3,0)*VLOOKUP('Données projet'!$B$9,Paramètres!$A$1:$I$89,5,0)</f>
        <v>176.72482285714281</v>
      </c>
      <c r="P43" s="14">
        <f t="shared" si="33"/>
        <v>44.59274267918078</v>
      </c>
      <c r="Q43" s="22">
        <f t="shared" si="53"/>
        <v>385.46142664243024</v>
      </c>
      <c r="R43" s="62">
        <f t="shared" si="0"/>
        <v>678.79475997576355</v>
      </c>
      <c r="S43" s="62">
        <f ca="1">AVERAGE(OFFSET($R$3,0,0,'Données projet'!$E$9+1,1))-AVERAGE(OFFSET($H$3,0,0,'Données projet'!$E$9+1,1))</f>
        <v>228.57322051753096</v>
      </c>
      <c r="T43" s="62">
        <f t="shared" si="34"/>
        <v>168.91992124331932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287.69656598881124</v>
      </c>
      <c r="AO43" s="62">
        <f t="shared" si="36"/>
        <v>221.9773436301067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4.5810561944554786</v>
      </c>
      <c r="AW43" s="23">
        <f>EXP(-LN(2)/2)*AW42+(1-EXP(-LN(2)/2))/(LN(2)/2)*AQ43*AT43*VLOOKUP('Données projet'!$B$10,Paramètres!$A$1:$I$89,3,0)*0.475*44/12</f>
        <v>0.44444051776077864</v>
      </c>
      <c r="AX43" s="23">
        <f t="shared" si="6"/>
        <v>5.025496712216257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214</v>
      </c>
      <c r="BB43" s="13">
        <f>VLOOKUP(A43,'Données projet'!$A$87:$I$107,9,0)</f>
        <v>11</v>
      </c>
      <c r="BC43" s="13">
        <f t="array" ref="BC43">INDEX(BB:BB,MIN(IF(ISNUMBER(BB43:BB239),ROW(BB43:BB239),"")))</f>
        <v>11</v>
      </c>
      <c r="BD43" s="13">
        <f>IF('Données projet'!$A$88&gt;35,BD42+BC43-BL42,IF(A43&lt;'Données projet'!$A$88,$BA$205^A43,IF(A43='Données projet'!$A$88,'Données projet'!$B$88,BD42+BC43-BL42)))</f>
        <v>213.99999999999997</v>
      </c>
      <c r="BE43" s="14">
        <f>BD43*VLOOKUP('Données projet'!$B$11,Paramètres!$A$1:$I$89,3,0)*VLOOKUP('Données projet'!$B$11,Paramètres!$A$1:$I$89,5,0)</f>
        <v>186.9504</v>
      </c>
      <c r="BF43" s="14">
        <f t="shared" si="37"/>
        <v>46.865095976617653</v>
      </c>
      <c r="BG43" s="22">
        <f t="shared" si="7"/>
        <v>407.22865549260905</v>
      </c>
      <c r="BH43" s="62">
        <f t="shared" si="8"/>
        <v>700.56198882594231</v>
      </c>
      <c r="BI43" s="62">
        <f ca="1">AVERAGE(OFFSET($BH$3,0,0,'Données projet'!$E$11+1,1))-AVERAGE(OFFSET($H$3,0,0,'Données projet'!$E$11+1,1))</f>
        <v>254.12694970606668</v>
      </c>
      <c r="BJ43" s="62">
        <f t="shared" si="38"/>
        <v>319.62868041131082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39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21.789603817973777</v>
      </c>
      <c r="BQ43" s="23">
        <f>EXP(-LN(2)/25)*BQ42+(1-EXP(-LN(2)/25))/(LN(2)/25)*Calculateur!BL43*Calculateur!BN43*VLOOKUP('Données projet'!$B$11,Paramètres!$A$1:$I$89,3,0)*0.475*44/12</f>
        <v>16.628612462154347</v>
      </c>
      <c r="BR43" s="23">
        <f>EXP(-LN(2)/2)*BR42+(1-EXP(-LN(2)/2))/(LN(2)/2)*BL43*BO43*VLOOKUP('Données projet'!$B$11,Paramètres!$A$1:$I$89,3,0)*0.475*44/12</f>
        <v>2.9882110505134634E-3</v>
      </c>
      <c r="BS43" s="24">
        <f t="shared" si="9"/>
        <v>38.421204491178635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397.18857142857132</v>
      </c>
      <c r="O44" s="14">
        <f>N44*VLOOKUP('Données projet'!$B$9,Paramètres!$A$1:$I$89,3,0)*VLOOKUP('Données projet'!$B$9,Paramètres!$A$1:$I$89,5,0)</f>
        <v>185.88425142857139</v>
      </c>
      <c r="P44" s="14">
        <f t="shared" si="33"/>
        <v>46.628862753142343</v>
      </c>
      <c r="Q44" s="22">
        <f t="shared" si="53"/>
        <v>404.9603405331514</v>
      </c>
      <c r="R44" s="62">
        <f t="shared" si="0"/>
        <v>698.29367386648471</v>
      </c>
      <c r="S44" s="62">
        <f ca="1">AVERAGE(OFFSET($R$3,0,0,'Données projet'!$E$9+1,1))-AVERAGE(OFFSET($H$3,0,0,'Données projet'!$E$9+1,1))</f>
        <v>228.57322051753096</v>
      </c>
      <c r="T44" s="62">
        <f t="shared" si="34"/>
        <v>168.91992124331932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287.69656598881124</v>
      </c>
      <c r="AO44" s="62">
        <f t="shared" si="36"/>
        <v>221.9773436301067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4.4557869719108183</v>
      </c>
      <c r="AW44" s="23">
        <f>EXP(-LN(2)/2)*AW43+(1-EXP(-LN(2)/2))/(LN(2)/2)*AQ44*AT44*VLOOKUP('Données projet'!$B$10,Paramètres!$A$1:$I$89,3,0)*0.475*44/12</f>
        <v>0.31426690394270679</v>
      </c>
      <c r="AX44" s="23">
        <f t="shared" si="6"/>
        <v>4.7700538758535247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184.79999999999998</v>
      </c>
      <c r="BE44" s="14">
        <f>BD44*VLOOKUP('Données projet'!$B$11,Paramètres!$A$1:$I$89,3,0)*VLOOKUP('Données projet'!$B$11,Paramètres!$A$1:$I$89,5,0)</f>
        <v>161.44128000000001</v>
      </c>
      <c r="BF44" s="14">
        <f t="shared" si="37"/>
        <v>41.167430271655704</v>
      </c>
      <c r="BG44" s="22">
        <f t="shared" si="7"/>
        <v>352.87683705646697</v>
      </c>
      <c r="BH44" s="62">
        <f t="shared" si="8"/>
        <v>646.21017038980028</v>
      </c>
      <c r="BI44" s="62">
        <f ca="1">AVERAGE(OFFSET($BH$3,0,0,'Données projet'!$E$11+1,1))-AVERAGE(OFFSET($H$3,0,0,'Données projet'!$E$11+1,1))</f>
        <v>254.12694970606668</v>
      </c>
      <c r="BJ44" s="62">
        <f t="shared" si="38"/>
        <v>319.62868041131082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21.362322977449328</v>
      </c>
      <c r="BQ44" s="23">
        <f>EXP(-LN(2)/25)*BQ43+(1-EXP(-LN(2)/25))/(LN(2)/25)*Calculateur!BL44*Calculateur!BN44*VLOOKUP('Données projet'!$B$11,Paramètres!$A$1:$I$89,3,0)*0.475*44/12</f>
        <v>16.173902179916013</v>
      </c>
      <c r="BR44" s="23">
        <f>EXP(-LN(2)/2)*BR43+(1-EXP(-LN(2)/2))/(LN(2)/2)*BL44*BO44*VLOOKUP('Données projet'!$B$11,Paramètres!$A$1:$I$89,3,0)*0.475*44/12</f>
        <v>2.1129842974346468E-3</v>
      </c>
      <c r="BS44" s="24">
        <f t="shared" si="9"/>
        <v>37.53833814166277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416.76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416.75999999999988</v>
      </c>
      <c r="O45" s="14">
        <f>N45*VLOOKUP('Données projet'!$B$9,Paramètres!$A$1:$I$89,3,0)*VLOOKUP('Données projet'!$B$9,Paramètres!$A$1:$I$89,5,0)</f>
        <v>195.04367999999994</v>
      </c>
      <c r="P45" s="14">
        <f t="shared" si="33"/>
        <v>48.65333290919024</v>
      </c>
      <c r="Q45" s="22">
        <f t="shared" si="53"/>
        <v>424.43896415017292</v>
      </c>
      <c r="R45" s="62">
        <f t="shared" si="0"/>
        <v>717.77229748350624</v>
      </c>
      <c r="S45" s="62">
        <f ca="1">AVERAGE(OFFSET($R$3,0,0,'Données projet'!$E$9+1,1))-AVERAGE(OFFSET($H$3,0,0,'Données projet'!$E$9+1,1))</f>
        <v>228.57322051753096</v>
      </c>
      <c r="T45" s="62">
        <f t="shared" si="34"/>
        <v>168.91992124331932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182.39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287.69656598881124</v>
      </c>
      <c r="AO45" s="62">
        <f t="shared" si="36"/>
        <v>221.9773436301067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4.3339432428442644</v>
      </c>
      <c r="AW45" s="23">
        <f>EXP(-LN(2)/2)*AW44+(1-EXP(-LN(2)/2))/(LN(2)/2)*AQ45*AT45*VLOOKUP('Données projet'!$B$10,Paramètres!$A$1:$I$89,3,0)*0.475*44/12</f>
        <v>0.22222025888038932</v>
      </c>
      <c r="AX45" s="23">
        <f t="shared" si="6"/>
        <v>4.5561635017246536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194.6</v>
      </c>
      <c r="BE45" s="14">
        <f>BD45*VLOOKUP('Données projet'!$B$11,Paramètres!$A$1:$I$89,3,0)*VLOOKUP('Données projet'!$B$11,Paramètres!$A$1:$I$89,5,0)</f>
        <v>170.00256000000002</v>
      </c>
      <c r="BF45" s="14">
        <f t="shared" si="37"/>
        <v>43.090596939649579</v>
      </c>
      <c r="BG45" s="22">
        <f t="shared" si="7"/>
        <v>371.1372483365563</v>
      </c>
      <c r="BH45" s="62">
        <f t="shared" si="8"/>
        <v>664.47058166988961</v>
      </c>
      <c r="BI45" s="62">
        <f ca="1">AVERAGE(OFFSET($BH$3,0,0,'Données projet'!$E$11+1,1))-AVERAGE(OFFSET($H$3,0,0,'Données projet'!$E$11+1,1))</f>
        <v>254.12694970606668</v>
      </c>
      <c r="BJ45" s="62">
        <f t="shared" si="38"/>
        <v>319.62868041131082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20.943420853591984</v>
      </c>
      <c r="BQ45" s="23">
        <f>EXP(-LN(2)/25)*BQ44+(1-EXP(-LN(2)/25))/(LN(2)/25)*Calculateur!BL45*Calculateur!BN45*VLOOKUP('Données projet'!$B$11,Paramètres!$A$1:$I$89,3,0)*0.475*44/12</f>
        <v>15.731625974257661</v>
      </c>
      <c r="BR45" s="23">
        <f>EXP(-LN(2)/2)*BR44+(1-EXP(-LN(2)/2))/(LN(2)/2)*BL45*BO45*VLOOKUP('Données projet'!$B$11,Paramètres!$A$1:$I$89,3,0)*0.475*44/12</f>
        <v>1.4941055252567317E-3</v>
      </c>
      <c r="BS45" s="24">
        <f t="shared" si="9"/>
        <v>36.676540933374895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255.68</v>
      </c>
      <c r="L46" s="13">
        <f>VLOOKUP(A46,'Données projet'!$A$35:$I$55,9,0)</f>
        <v>21.310000000000002</v>
      </c>
      <c r="M46" s="13">
        <f t="array" ref="M46">INDEX(L:L,MIN(IF(ISNUMBER(L46:L242),ROW(L46:L242),"")))</f>
        <v>21.310000000000002</v>
      </c>
      <c r="N46" s="14">
        <f>IF('Données projet'!$A$36&gt;35,N45+M46-V45,IF(A46&lt;'Données projet'!$A$36,$K$205^A46,IF(A46='Données projet'!$A$36,'Données projet'!$B$36,N45+M46-V45)))</f>
        <v>255.67999999999989</v>
      </c>
      <c r="O46" s="14">
        <f>N46*VLOOKUP('Données projet'!$B$9,Paramètres!$A$1:$I$89,3,0)*VLOOKUP('Données projet'!$B$9,Paramètres!$A$1:$I$89,5,0)</f>
        <v>119.65823999999994</v>
      </c>
      <c r="P46" s="14">
        <f t="shared" si="33"/>
        <v>31.595276160231307</v>
      </c>
      <c r="Q46" s="22">
        <f t="shared" si="53"/>
        <v>263.43320731240277</v>
      </c>
      <c r="R46" s="62">
        <f t="shared" si="0"/>
        <v>556.76654064573609</v>
      </c>
      <c r="S46" s="62">
        <f ca="1">AVERAGE(OFFSET($R$3,0,0,'Données projet'!$E$9+1,1))-AVERAGE(OFFSET($H$3,0,0,'Données projet'!$E$9+1,1))</f>
        <v>228.57322051753096</v>
      </c>
      <c r="T46" s="62">
        <f t="shared" si="34"/>
        <v>168.91992124331932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287.69656598881124</v>
      </c>
      <c r="AO46" s="62">
        <f t="shared" si="36"/>
        <v>221.9773436301067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4.2154313369565184</v>
      </c>
      <c r="AW46" s="23">
        <f>EXP(-LN(2)/2)*AW45+(1-EXP(-LN(2)/2))/(LN(2)/2)*AQ46*AT46*VLOOKUP('Données projet'!$B$10,Paramètres!$A$1:$I$89,3,0)*0.475*44/12</f>
        <v>0.15713345197135339</v>
      </c>
      <c r="AX46" s="23">
        <f t="shared" si="6"/>
        <v>4.372564788927872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204.4</v>
      </c>
      <c r="BE46" s="14">
        <f>BD46*VLOOKUP('Données projet'!$B$11,Paramètres!$A$1:$I$89,3,0)*VLOOKUP('Données projet'!$B$11,Paramètres!$A$1:$I$89,5,0)</f>
        <v>178.56384000000003</v>
      </c>
      <c r="BF46" s="14">
        <f t="shared" si="37"/>
        <v>45.002518212442588</v>
      </c>
      <c r="BG46" s="22">
        <f t="shared" si="7"/>
        <v>389.37807388667096</v>
      </c>
      <c r="BH46" s="62">
        <f t="shared" si="8"/>
        <v>682.71140722000428</v>
      </c>
      <c r="BI46" s="62">
        <f ca="1">AVERAGE(OFFSET($BH$3,0,0,'Données projet'!$E$11+1,1))-AVERAGE(OFFSET($H$3,0,0,'Données projet'!$E$11+1,1))</f>
        <v>254.12694970606668</v>
      </c>
      <c r="BJ46" s="62">
        <f t="shared" si="38"/>
        <v>319.62868041131082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20.532733144878417</v>
      </c>
      <c r="BQ46" s="23">
        <f>EXP(-LN(2)/25)*BQ45+(1-EXP(-LN(2)/25))/(LN(2)/25)*Calculateur!BL46*Calculateur!BN46*VLOOKUP('Données projet'!$B$11,Paramètres!$A$1:$I$89,3,0)*0.475*44/12</f>
        <v>15.301443834701329</v>
      </c>
      <c r="BR46" s="23">
        <f>EXP(-LN(2)/2)*BR45+(1-EXP(-LN(2)/2))/(LN(2)/2)*BL46*BO46*VLOOKUP('Données projet'!$B$11,Paramètres!$A$1:$I$89,3,0)*0.475*44/12</f>
        <v>1.0564921487173234E-3</v>
      </c>
      <c r="BS46" s="24">
        <f t="shared" si="9"/>
        <v>35.835233471728465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17.596666666666664</v>
      </c>
      <c r="N47" s="14">
        <f>IF('Données projet'!$A$36&gt;35,N46+M47-V46,IF(A47&lt;'Données projet'!$A$36,$K$205^A47,IF(A47='Données projet'!$A$36,'Données projet'!$B$36,N46+M47-V46)))</f>
        <v>273.27666666666653</v>
      </c>
      <c r="O47" s="14">
        <f>N47*VLOOKUP('Données projet'!$B$9,Paramètres!$A$1:$I$89,3,0)*VLOOKUP('Données projet'!$B$9,Paramètres!$A$1:$I$89,5,0)</f>
        <v>127.89347999999994</v>
      </c>
      <c r="P47" s="14">
        <f t="shared" si="33"/>
        <v>33.509142571930816</v>
      </c>
      <c r="Q47" s="22">
        <f t="shared" si="53"/>
        <v>281.10956764611268</v>
      </c>
      <c r="R47" s="62">
        <f t="shared" si="0"/>
        <v>574.44290097944599</v>
      </c>
      <c r="S47" s="62">
        <f ca="1">AVERAGE(OFFSET($R$3,0,0,'Données projet'!$E$9+1,1))-AVERAGE(OFFSET($H$3,0,0,'Données projet'!$E$9+1,1))</f>
        <v>228.57322051753096</v>
      </c>
      <c r="T47" s="62">
        <f t="shared" si="34"/>
        <v>168.91992124331932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287.69656598881124</v>
      </c>
      <c r="AO47" s="62">
        <f t="shared" si="36"/>
        <v>221.9773436301067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4.1001601453675427</v>
      </c>
      <c r="AW47" s="23">
        <f>EXP(-LN(2)/2)*AW46+(1-EXP(-LN(2)/2))/(LN(2)/2)*AQ47*AT47*VLOOKUP('Données projet'!$B$10,Paramètres!$A$1:$I$89,3,0)*0.475*44/12</f>
        <v>0.11111012944019466</v>
      </c>
      <c r="AX47" s="23">
        <f t="shared" si="6"/>
        <v>4.2112702748077373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214.20000000000002</v>
      </c>
      <c r="BE47" s="14">
        <f>BD47*VLOOKUP('Données projet'!$B$11,Paramètres!$A$1:$I$89,3,0)*VLOOKUP('Données projet'!$B$11,Paramètres!$A$1:$I$89,5,0)</f>
        <v>187.12512000000004</v>
      </c>
      <c r="BF47" s="14">
        <f t="shared" si="37"/>
        <v>46.903794805770545</v>
      </c>
      <c r="BG47" s="22">
        <f t="shared" si="7"/>
        <v>407.60035995338376</v>
      </c>
      <c r="BH47" s="62">
        <f t="shared" si="8"/>
        <v>700.93369328671702</v>
      </c>
      <c r="BI47" s="62">
        <f ca="1">AVERAGE(OFFSET($BH$3,0,0,'Données projet'!$E$11+1,1))-AVERAGE(OFFSET($H$3,0,0,'Données projet'!$E$11+1,1))</f>
        <v>254.12694970606668</v>
      </c>
      <c r="BJ47" s="62">
        <f t="shared" si="38"/>
        <v>319.62868041131082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20.130098771637954</v>
      </c>
      <c r="BQ47" s="23">
        <f>EXP(-LN(2)/25)*BQ46+(1-EXP(-LN(2)/25))/(LN(2)/25)*Calculateur!BL47*Calculateur!BN47*VLOOKUP('Données projet'!$B$11,Paramètres!$A$1:$I$89,3,0)*0.475*44/12</f>
        <v>14.883025048373462</v>
      </c>
      <c r="BR47" s="23">
        <f>EXP(-LN(2)/2)*BR46+(1-EXP(-LN(2)/2))/(LN(2)/2)*BL47*BO47*VLOOKUP('Données projet'!$B$11,Paramètres!$A$1:$I$89,3,0)*0.475*44/12</f>
        <v>7.4705276262836584E-4</v>
      </c>
      <c r="BS47" s="24">
        <f t="shared" si="9"/>
        <v>35.013870872774042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17.596666666666664</v>
      </c>
      <c r="N48" s="14">
        <f>IF('Données projet'!$A$36&gt;35,N47+M48-V47,IF(A48&lt;'Données projet'!$A$36,$K$205^A48,IF(A48='Données projet'!$A$36,'Données projet'!$B$36,N47+M48-V47)))</f>
        <v>290.87333333333322</v>
      </c>
      <c r="O48" s="14">
        <f>N48*VLOOKUP('Données projet'!$B$9,Paramètres!$A$1:$I$89,3,0)*VLOOKUP('Données projet'!$B$9,Paramètres!$A$1:$I$89,5,0)</f>
        <v>136.12871999999996</v>
      </c>
      <c r="P48" s="14">
        <f t="shared" si="33"/>
        <v>35.408707445510458</v>
      </c>
      <c r="Q48" s="22">
        <f t="shared" si="53"/>
        <v>298.76101946759735</v>
      </c>
      <c r="R48" s="62">
        <f t="shared" si="0"/>
        <v>592.09435280093066</v>
      </c>
      <c r="S48" s="62">
        <f ca="1">AVERAGE(OFFSET($R$3,0,0,'Données projet'!$E$9+1,1))-AVERAGE(OFFSET($H$3,0,0,'Données projet'!$E$9+1,1))</f>
        <v>228.57322051753096</v>
      </c>
      <c r="T48" s="62">
        <f t="shared" si="34"/>
        <v>168.91992124331932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287.69656598881124</v>
      </c>
      <c r="AO48" s="62">
        <f t="shared" si="36"/>
        <v>221.9773436301067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3.9880410505744162</v>
      </c>
      <c r="AW48" s="23">
        <f>EXP(-LN(2)/2)*AW47+(1-EXP(-LN(2)/2))/(LN(2)/2)*AQ48*AT48*VLOOKUP('Données projet'!$B$10,Paramètres!$A$1:$I$89,3,0)*0.475*44/12</f>
        <v>7.8566725985676697E-2</v>
      </c>
      <c r="AX48" s="23">
        <f t="shared" si="6"/>
        <v>4.066607776560093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224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224.00000000000003</v>
      </c>
      <c r="BE48" s="14">
        <f>BD48*VLOOKUP('Données projet'!$B$11,Paramètres!$A$1:$I$89,3,0)*VLOOKUP('Données projet'!$B$11,Paramètres!$A$1:$I$89,5,0)</f>
        <v>195.68640000000005</v>
      </c>
      <c r="BF48" s="14">
        <f t="shared" si="37"/>
        <v>48.794969360985156</v>
      </c>
      <c r="BG48" s="22">
        <f t="shared" si="7"/>
        <v>425.80505163704925</v>
      </c>
      <c r="BH48" s="62">
        <f t="shared" si="8"/>
        <v>719.1383849703825</v>
      </c>
      <c r="BI48" s="62">
        <f ca="1">AVERAGE(OFFSET($BH$3,0,0,'Données projet'!$E$11+1,1))-AVERAGE(OFFSET($H$3,0,0,'Données projet'!$E$11+1,1))</f>
        <v>254.12694970606668</v>
      </c>
      <c r="BJ48" s="62">
        <f t="shared" si="38"/>
        <v>319.62868041131082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36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19.73535981287402</v>
      </c>
      <c r="BQ48" s="23">
        <f>EXP(-LN(2)/25)*BQ47+(1-EXP(-LN(2)/25))/(LN(2)/25)*Calculateur!BL48*Calculateur!BN48*VLOOKUP('Données projet'!$B$11,Paramètres!$A$1:$I$89,3,0)*0.475*44/12</f>
        <v>14.476047945761417</v>
      </c>
      <c r="BR48" s="23">
        <f>EXP(-LN(2)/2)*BR47+(1-EXP(-LN(2)/2))/(LN(2)/2)*BL48*BO48*VLOOKUP('Données projet'!$B$11,Paramètres!$A$1:$I$89,3,0)*0.475*44/12</f>
        <v>5.2824607435866171E-4</v>
      </c>
      <c r="BS48" s="24">
        <f t="shared" si="9"/>
        <v>34.211936004709798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17.596666666666664</v>
      </c>
      <c r="N49" s="14">
        <f>IF('Données projet'!$A$36&gt;35,N48+M49-V48,IF(A49&lt;'Données projet'!$A$36,$K$205^A49,IF(A49='Données projet'!$A$36,'Données projet'!$B$36,N48+M49-V48)))</f>
        <v>308.46999999999991</v>
      </c>
      <c r="O49" s="14">
        <f>N49*VLOOKUP('Données projet'!$B$9,Paramètres!$A$1:$I$89,3,0)*VLOOKUP('Données projet'!$B$9,Paramètres!$A$1:$I$89,5,0)</f>
        <v>144.36395999999996</v>
      </c>
      <c r="P49" s="14">
        <f t="shared" si="33"/>
        <v>37.294934491884128</v>
      </c>
      <c r="Q49" s="22">
        <f t="shared" si="53"/>
        <v>316.38924124003148</v>
      </c>
      <c r="R49" s="62">
        <f t="shared" si="0"/>
        <v>609.7225745733648</v>
      </c>
      <c r="S49" s="62">
        <f ca="1">AVERAGE(OFFSET($R$3,0,0,'Données projet'!$E$9+1,1))-AVERAGE(OFFSET($H$3,0,0,'Données projet'!$E$9+1,1))</f>
        <v>228.57322051753096</v>
      </c>
      <c r="T49" s="62">
        <f t="shared" si="34"/>
        <v>168.91992124331932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287.69656598881124</v>
      </c>
      <c r="AO49" s="62">
        <f t="shared" si="36"/>
        <v>221.9773436301067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3.8789878583244946</v>
      </c>
      <c r="AW49" s="23">
        <f>EXP(-LN(2)/2)*AW48+(1-EXP(-LN(2)/2))/(LN(2)/2)*AQ49*AT49*VLOOKUP('Données projet'!$B$10,Paramètres!$A$1:$I$89,3,0)*0.475*44/12</f>
        <v>5.555506472009733E-2</v>
      </c>
      <c r="AX49" s="23">
        <f t="shared" si="6"/>
        <v>3.9345429230445919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196.60000000000002</v>
      </c>
      <c r="BE49" s="14">
        <f>BD49*VLOOKUP('Données projet'!$B$11,Paramètres!$A$1:$I$89,3,0)*VLOOKUP('Données projet'!$B$11,Paramètres!$A$1:$I$89,5,0)</f>
        <v>171.74976000000004</v>
      </c>
      <c r="BF49" s="14">
        <f t="shared" si="37"/>
        <v>43.481677757882629</v>
      </c>
      <c r="BG49" s="22">
        <f t="shared" si="7"/>
        <v>374.8614207616456</v>
      </c>
      <c r="BH49" s="62">
        <f t="shared" si="8"/>
        <v>668.19475409497886</v>
      </c>
      <c r="BI49" s="62">
        <f ca="1">AVERAGE(OFFSET($BH$3,0,0,'Données projet'!$E$11+1,1))-AVERAGE(OFFSET($H$3,0,0,'Données projet'!$E$11+1,1))</f>
        <v>254.12694970606668</v>
      </c>
      <c r="BJ49" s="62">
        <f t="shared" si="38"/>
        <v>319.62868041131082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19.348361444324453</v>
      </c>
      <c r="BQ49" s="23">
        <f>EXP(-LN(2)/25)*BQ48+(1-EXP(-LN(2)/25))/(LN(2)/25)*Calculateur!BL49*Calculateur!BN49*VLOOKUP('Données projet'!$B$11,Paramètres!$A$1:$I$89,3,0)*0.475*44/12</f>
        <v>14.080199653422294</v>
      </c>
      <c r="BR49" s="23">
        <f>EXP(-LN(2)/2)*BR48+(1-EXP(-LN(2)/2))/(LN(2)/2)*BL49*BO49*VLOOKUP('Données projet'!$B$11,Paramètres!$A$1:$I$89,3,0)*0.475*44/12</f>
        <v>3.7352638131418292E-4</v>
      </c>
      <c r="BS49" s="24">
        <f t="shared" si="9"/>
        <v>33.428934624128068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17.596666666666664</v>
      </c>
      <c r="N50" s="14">
        <f>IF('Données projet'!$A$36&gt;35,N49+M50-V49,IF(A50&lt;'Données projet'!$A$36,$K$205^A50,IF(A50='Données projet'!$A$36,'Données projet'!$B$36,N49+M50-V49)))</f>
        <v>326.06666666666661</v>
      </c>
      <c r="O50" s="14">
        <f>N50*VLOOKUP('Données projet'!$B$9,Paramètres!$A$1:$I$89,3,0)*VLOOKUP('Données projet'!$B$9,Paramètres!$A$1:$I$89,5,0)</f>
        <v>152.59919999999997</v>
      </c>
      <c r="P50" s="14">
        <f t="shared" si="33"/>
        <v>39.168671261962366</v>
      </c>
      <c r="Q50" s="22">
        <f t="shared" si="53"/>
        <v>333.99570911458437</v>
      </c>
      <c r="R50" s="62">
        <f t="shared" si="0"/>
        <v>627.32904244791769</v>
      </c>
      <c r="S50" s="62">
        <f ca="1">AVERAGE(OFFSET($R$3,0,0,'Données projet'!$E$9+1,1))-AVERAGE(OFFSET($H$3,0,0,'Données projet'!$E$9+1,1))</f>
        <v>228.57322051753096</v>
      </c>
      <c r="T50" s="62">
        <f t="shared" si="34"/>
        <v>168.91992124331932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287.69656598881124</v>
      </c>
      <c r="AO50" s="62">
        <f t="shared" si="36"/>
        <v>221.9773436301067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3.7729167313515055</v>
      </c>
      <c r="AW50" s="23">
        <f>EXP(-LN(2)/2)*AW49+(1-EXP(-LN(2)/2))/(LN(2)/2)*AQ50*AT50*VLOOKUP('Données projet'!$B$10,Paramètres!$A$1:$I$89,3,0)*0.475*44/12</f>
        <v>3.9283362992838348E-2</v>
      </c>
      <c r="AX50" s="23">
        <f t="shared" si="6"/>
        <v>3.8122000943443437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205.20000000000002</v>
      </c>
      <c r="BE50" s="14">
        <f>BD50*VLOOKUP('Données projet'!$B$11,Paramètres!$A$1:$I$89,3,0)*VLOOKUP('Données projet'!$B$11,Paramètres!$A$1:$I$89,5,0)</f>
        <v>179.26272000000003</v>
      </c>
      <c r="BF50" s="14">
        <f t="shared" si="37"/>
        <v>45.158115787467153</v>
      </c>
      <c r="BG50" s="22">
        <f t="shared" si="7"/>
        <v>390.86628899650532</v>
      </c>
      <c r="BH50" s="62">
        <f t="shared" si="8"/>
        <v>684.19962232983858</v>
      </c>
      <c r="BI50" s="62">
        <f ca="1">AVERAGE(OFFSET($BH$3,0,0,'Données projet'!$E$11+1,1))-AVERAGE(OFFSET($H$3,0,0,'Données projet'!$E$11+1,1))</f>
        <v>254.12694970606668</v>
      </c>
      <c r="BJ50" s="62">
        <f t="shared" si="38"/>
        <v>319.62868041131082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18.968951877736448</v>
      </c>
      <c r="BQ50" s="23">
        <f>EXP(-LN(2)/25)*BQ49+(1-EXP(-LN(2)/25))/(LN(2)/25)*Calculateur!BL50*Calculateur!BN50*VLOOKUP('Données projet'!$B$11,Paramètres!$A$1:$I$89,3,0)*0.475*44/12</f>
        <v>13.695175853453943</v>
      </c>
      <c r="BR50" s="23">
        <f>EXP(-LN(2)/2)*BR49+(1-EXP(-LN(2)/2))/(LN(2)/2)*BL50*BO50*VLOOKUP('Données projet'!$B$11,Paramètres!$A$1:$I$89,3,0)*0.475*44/12</f>
        <v>2.6412303717933085E-4</v>
      </c>
      <c r="BS50" s="24">
        <f t="shared" si="9"/>
        <v>32.664391854227567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17.596666666666664</v>
      </c>
      <c r="N51" s="14">
        <f>IF('Données projet'!$A$36&gt;35,N50+M51-V50,IF(A51&lt;'Données projet'!$A$36,$K$205^A51,IF(A51='Données projet'!$A$36,'Données projet'!$B$36,N50+M51-V50)))</f>
        <v>343.6633333333333</v>
      </c>
      <c r="O51" s="14">
        <f>N51*VLOOKUP('Données projet'!$B$9,Paramètres!$A$1:$I$89,3,0)*VLOOKUP('Données projet'!$B$9,Paramètres!$A$1:$I$89,5,0)</f>
        <v>160.83444</v>
      </c>
      <c r="P51" s="14">
        <f t="shared" si="33"/>
        <v>41.030668661458968</v>
      </c>
      <c r="Q51" s="22">
        <f t="shared" si="53"/>
        <v>351.58173091870771</v>
      </c>
      <c r="R51" s="62">
        <f t="shared" si="0"/>
        <v>644.91506425204102</v>
      </c>
      <c r="S51" s="62">
        <f ca="1">AVERAGE(OFFSET($R$3,0,0,'Données projet'!$E$9+1,1))-AVERAGE(OFFSET($H$3,0,0,'Données projet'!$E$9+1,1))</f>
        <v>228.57322051753096</v>
      </c>
      <c r="T51" s="62">
        <f t="shared" si="34"/>
        <v>168.91992124331932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287.69656598881124</v>
      </c>
      <c r="AO51" s="62">
        <f t="shared" si="36"/>
        <v>221.9773436301067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3.6697461249236309</v>
      </c>
      <c r="AW51" s="23">
        <f>EXP(-LN(2)/2)*AW50+(1-EXP(-LN(2)/2))/(LN(2)/2)*AQ51*AT51*VLOOKUP('Données projet'!$B$10,Paramètres!$A$1:$I$89,3,0)*0.475*44/12</f>
        <v>2.7777532360048665E-2</v>
      </c>
      <c r="AX51" s="23">
        <f t="shared" si="6"/>
        <v>3.6975236572836798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213.8</v>
      </c>
      <c r="BE51" s="14">
        <f>BD51*VLOOKUP('Données projet'!$B$11,Paramètres!$A$1:$I$89,3,0)*VLOOKUP('Données projet'!$B$11,Paramètres!$A$1:$I$89,5,0)</f>
        <v>186.77568000000005</v>
      </c>
      <c r="BF51" s="14">
        <f t="shared" si="37"/>
        <v>46.826392937381165</v>
      </c>
      <c r="BG51" s="22">
        <f t="shared" si="7"/>
        <v>406.85694369927228</v>
      </c>
      <c r="BH51" s="62">
        <f t="shared" si="8"/>
        <v>700.19027703260554</v>
      </c>
      <c r="BI51" s="62">
        <f ca="1">AVERAGE(OFFSET($BH$3,0,0,'Données projet'!$E$11+1,1))-AVERAGE(OFFSET($H$3,0,0,'Données projet'!$E$11+1,1))</f>
        <v>254.12694970606668</v>
      </c>
      <c r="BJ51" s="62">
        <f t="shared" si="38"/>
        <v>319.62868041131082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18.596982301332247</v>
      </c>
      <c r="BQ51" s="23">
        <f>EXP(-LN(2)/25)*BQ50+(1-EXP(-LN(2)/25))/(LN(2)/25)*Calculateur!BL51*Calculateur!BN51*VLOOKUP('Données projet'!$B$11,Paramètres!$A$1:$I$89,3,0)*0.475*44/12</f>
        <v>13.320680549543248</v>
      </c>
      <c r="BR51" s="23">
        <f>EXP(-LN(2)/2)*BR50+(1-EXP(-LN(2)/2))/(LN(2)/2)*BL51*BO51*VLOOKUP('Données projet'!$B$11,Paramètres!$A$1:$I$89,3,0)*0.475*44/12</f>
        <v>1.8676319065709146E-4</v>
      </c>
      <c r="BS51" s="24">
        <f t="shared" si="9"/>
        <v>31.917849614066153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361.26</v>
      </c>
      <c r="L52" s="13">
        <f>VLOOKUP(A52,'Données projet'!$A$35:$I$55,9,0)</f>
        <v>17.596666666666664</v>
      </c>
      <c r="M52" s="13">
        <f t="array" ref="M52">INDEX(L:L,MIN(IF(ISNUMBER(L52:L248),ROW(L52:L248),"")))</f>
        <v>17.596666666666664</v>
      </c>
      <c r="N52" s="14">
        <f>IF('Données projet'!$A$36&gt;35,N51+M52-V51,IF(A52&lt;'Données projet'!$A$36,$K$205^A52,IF(A52='Données projet'!$A$36,'Données projet'!$B$36,N51+M52-V51)))</f>
        <v>361.26</v>
      </c>
      <c r="O52" s="14">
        <f>N52*VLOOKUP('Données projet'!$B$9,Paramètres!$A$1:$I$89,3,0)*VLOOKUP('Données projet'!$B$9,Paramètres!$A$1:$I$89,5,0)</f>
        <v>169.06968000000001</v>
      </c>
      <c r="P52" s="14">
        <f t="shared" si="33"/>
        <v>42.881596355037587</v>
      </c>
      <c r="Q52" s="22">
        <f t="shared" si="53"/>
        <v>369.14847298502377</v>
      </c>
      <c r="R52" s="62">
        <f t="shared" si="0"/>
        <v>662.48180631835703</v>
      </c>
      <c r="S52" s="62">
        <f ca="1">AVERAGE(OFFSET($R$3,0,0,'Données projet'!$E$9+1,1))-AVERAGE(OFFSET($H$3,0,0,'Données projet'!$E$9+1,1))</f>
        <v>228.57322051753096</v>
      </c>
      <c r="T52" s="62">
        <f t="shared" si="34"/>
        <v>168.91992124331932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100.16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287.69656598881124</v>
      </c>
      <c r="AO52" s="62">
        <f t="shared" si="36"/>
        <v>221.9773436301067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3.569396724154033</v>
      </c>
      <c r="AW52" s="23">
        <f>EXP(-LN(2)/2)*AW51+(1-EXP(-LN(2)/2))/(LN(2)/2)*AQ52*AT52*VLOOKUP('Données projet'!$B$10,Paramètres!$A$1:$I$89,3,0)*0.475*44/12</f>
        <v>1.9641681496419174E-2</v>
      </c>
      <c r="AX52" s="23">
        <f t="shared" si="6"/>
        <v>3.5890384056504523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222.4</v>
      </c>
      <c r="BE52" s="14">
        <f>BD52*VLOOKUP('Données projet'!$B$11,Paramètres!$A$1:$I$89,3,0)*VLOOKUP('Données projet'!$B$11,Paramètres!$A$1:$I$89,5,0)</f>
        <v>194.28864000000002</v>
      </c>
      <c r="BF52" s="14">
        <f t="shared" si="37"/>
        <v>48.486875029770822</v>
      </c>
      <c r="BG52" s="22">
        <f t="shared" si="7"/>
        <v>422.83402201018413</v>
      </c>
      <c r="BH52" s="62">
        <f t="shared" si="8"/>
        <v>716.16735534351744</v>
      </c>
      <c r="BI52" s="62">
        <f ca="1">AVERAGE(OFFSET($BH$3,0,0,'Données projet'!$E$11+1,1))-AVERAGE(OFFSET($H$3,0,0,'Données projet'!$E$11+1,1))</f>
        <v>254.12694970606668</v>
      </c>
      <c r="BJ52" s="62">
        <f t="shared" si="38"/>
        <v>319.62868041131082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18.232306821442293</v>
      </c>
      <c r="BQ52" s="23">
        <f>EXP(-LN(2)/25)*BQ51+(1-EXP(-LN(2)/25))/(LN(2)/25)*Calculateur!BL52*Calculateur!BN52*VLOOKUP('Données projet'!$B$11,Paramètres!$A$1:$I$89,3,0)*0.475*44/12</f>
        <v>12.956425839411843</v>
      </c>
      <c r="BR52" s="23">
        <f>EXP(-LN(2)/2)*BR51+(1-EXP(-LN(2)/2))/(LN(2)/2)*BL52*BO52*VLOOKUP('Données projet'!$B$11,Paramètres!$A$1:$I$89,3,0)*0.475*44/12</f>
        <v>1.3206151858966543E-4</v>
      </c>
      <c r="BS52" s="24">
        <f t="shared" si="9"/>
        <v>31.188864722372724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277.5</v>
      </c>
      <c r="L53" s="13">
        <f>VLOOKUP(A53,'Données projet'!$A$35:$I$55,9,0)</f>
        <v>16.399999999999977</v>
      </c>
      <c r="M53" s="13">
        <f t="array" ref="M53">INDEX(L:L,MIN(IF(ISNUMBER(L53:L249),ROW(L53:L249),"")))</f>
        <v>16.399999999999977</v>
      </c>
      <c r="N53" s="14">
        <f>IF('Données projet'!$A$36&gt;35,N52+M53-V52,IF(A53&lt;'Données projet'!$A$36,$K$205^A53,IF(A53='Données projet'!$A$36,'Données projet'!$B$36,N52+M53-V52)))</f>
        <v>277.5</v>
      </c>
      <c r="O53" s="14">
        <f>N53*VLOOKUP('Données projet'!$B$9,Paramètres!$A$1:$I$89,3,0)*VLOOKUP('Données projet'!$B$9,Paramètres!$A$1:$I$89,5,0)</f>
        <v>129.87</v>
      </c>
      <c r="P53" s="14">
        <f t="shared" si="33"/>
        <v>33.966318400312318</v>
      </c>
      <c r="Q53" s="22">
        <f t="shared" si="53"/>
        <v>285.34825454721067</v>
      </c>
      <c r="R53" s="62">
        <f t="shared" si="0"/>
        <v>578.68158788054393</v>
      </c>
      <c r="S53" s="62">
        <f ca="1">AVERAGE(OFFSET($R$3,0,0,'Données projet'!$E$9+1,1))-AVERAGE(OFFSET($H$3,0,0,'Données projet'!$E$9+1,1))</f>
        <v>228.57322051753096</v>
      </c>
      <c r="T53" s="62">
        <f t="shared" si="34"/>
        <v>168.91992124331932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287.69656598881124</v>
      </c>
      <c r="AO53" s="62">
        <f t="shared" si="36"/>
        <v>221.9773436301067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3.4717913830256251</v>
      </c>
      <c r="AW53" s="23">
        <f>EXP(-LN(2)/2)*AW52+(1-EXP(-LN(2)/2))/(LN(2)/2)*AQ53*AT53*VLOOKUP('Données projet'!$B$10,Paramètres!$A$1:$I$89,3,0)*0.475*44/12</f>
        <v>1.3888766180024333E-2</v>
      </c>
      <c r="AX53" s="23">
        <f t="shared" si="6"/>
        <v>3.4856801492056495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231</v>
      </c>
      <c r="BE53" s="14">
        <f>BD53*VLOOKUP('Données projet'!$B$11,Paramètres!$A$1:$I$89,3,0)*VLOOKUP('Données projet'!$B$11,Paramètres!$A$1:$I$89,5,0)</f>
        <v>201.80160000000004</v>
      </c>
      <c r="BF53" s="14">
        <f t="shared" si="37"/>
        <v>50.139897992681668</v>
      </c>
      <c r="BG53" s="22">
        <f t="shared" si="7"/>
        <v>438.79810900392067</v>
      </c>
      <c r="BH53" s="62">
        <f t="shared" si="8"/>
        <v>732.13144233725393</v>
      </c>
      <c r="BI53" s="62">
        <f ca="1">AVERAGE(OFFSET($BH$3,0,0,'Données projet'!$E$11+1,1))-AVERAGE(OFFSET($H$3,0,0,'Données projet'!$E$11+1,1))</f>
        <v>254.12694970606668</v>
      </c>
      <c r="BJ53" s="62">
        <f t="shared" si="38"/>
        <v>319.62868041131082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17.8747824052829</v>
      </c>
      <c r="BQ53" s="23">
        <f>EXP(-LN(2)/25)*BQ52+(1-EXP(-LN(2)/25))/(LN(2)/25)*Calculateur!BL53*Calculateur!BN53*VLOOKUP('Données projet'!$B$11,Paramètres!$A$1:$I$89,3,0)*0.475*44/12</f>
        <v>12.602131693484303</v>
      </c>
      <c r="BR53" s="23">
        <f>EXP(-LN(2)/2)*BR52+(1-EXP(-LN(2)/2))/(LN(2)/2)*BL53*BO53*VLOOKUP('Données projet'!$B$11,Paramètres!$A$1:$I$89,3,0)*0.475*44/12</f>
        <v>9.338159532854573E-5</v>
      </c>
      <c r="BS53" s="24">
        <f t="shared" si="9"/>
        <v>30.477007480362531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17.034999999999997</v>
      </c>
      <c r="N54" s="14">
        <f>IF('Données projet'!$A$36&gt;35,N53+M54-V53,IF(A54&lt;'Données projet'!$A$36,$K$205^A54,IF(A54='Données projet'!$A$36,'Données projet'!$B$36,N53+M54-V53)))</f>
        <v>294.53499999999997</v>
      </c>
      <c r="O54" s="14">
        <f>N54*VLOOKUP('Données projet'!$B$9,Paramètres!$A$1:$I$89,3,0)*VLOOKUP('Données projet'!$B$9,Paramètres!$A$1:$I$89,5,0)</f>
        <v>137.84237999999999</v>
      </c>
      <c r="P54" s="14">
        <f t="shared" si="33"/>
        <v>35.802279141153015</v>
      </c>
      <c r="Q54" s="22">
        <f t="shared" si="53"/>
        <v>302.43111467084145</v>
      </c>
      <c r="R54" s="62">
        <f t="shared" si="0"/>
        <v>595.76444800417471</v>
      </c>
      <c r="S54" s="62">
        <f ca="1">AVERAGE(OFFSET($R$3,0,0,'Données projet'!$E$9+1,1))-AVERAGE(OFFSET($H$3,0,0,'Données projet'!$E$9+1,1))</f>
        <v>228.57322051753096</v>
      </c>
      <c r="T54" s="62">
        <f t="shared" si="34"/>
        <v>168.91992124331932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287.69656598881124</v>
      </c>
      <c r="AO54" s="62">
        <f t="shared" si="36"/>
        <v>221.9773436301067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3.3768550650832152</v>
      </c>
      <c r="AW54" s="23">
        <f>EXP(-LN(2)/2)*AW53+(1-EXP(-LN(2)/2))/(LN(2)/2)*AQ54*AT54*VLOOKUP('Données projet'!$B$10,Paramètres!$A$1:$I$89,3,0)*0.475*44/12</f>
        <v>9.8208407482095871E-3</v>
      </c>
      <c r="AX54" s="23">
        <f t="shared" si="6"/>
        <v>3.3866759058314249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</v>
      </c>
      <c r="BE54" s="14">
        <f>BD54*VLOOKUP('Données projet'!$B$11,Paramètres!$A$1:$I$89,3,0)*VLOOKUP('Données projet'!$B$11,Paramètres!$A$1:$I$89,5,0)</f>
        <v>179.78688000000002</v>
      </c>
      <c r="BF54" s="14">
        <f t="shared" si="37"/>
        <v>45.274767624296935</v>
      </c>
      <c r="BG54" s="22">
        <f t="shared" si="7"/>
        <v>391.9823696123172</v>
      </c>
      <c r="BH54" s="62">
        <f t="shared" si="8"/>
        <v>685.31570294565051</v>
      </c>
      <c r="BI54" s="62">
        <f ca="1">AVERAGE(OFFSET($BH$3,0,0,'Données projet'!$E$11+1,1))-AVERAGE(OFFSET($H$3,0,0,'Données projet'!$E$11+1,1))</f>
        <v>254.12694970606668</v>
      </c>
      <c r="BJ54" s="62">
        <f t="shared" si="38"/>
        <v>319.62868041131082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17.524268824856033</v>
      </c>
      <c r="BQ54" s="23">
        <f>EXP(-LN(2)/25)*BQ53+(1-EXP(-LN(2)/25))/(LN(2)/25)*Calculateur!BL54*Calculateur!BN54*VLOOKUP('Données projet'!$B$11,Paramètres!$A$1:$I$89,3,0)*0.475*44/12</f>
        <v>12.257525739608671</v>
      </c>
      <c r="BR54" s="23">
        <f>EXP(-LN(2)/2)*BR53+(1-EXP(-LN(2)/2))/(LN(2)/2)*BL54*BO54*VLOOKUP('Données projet'!$B$11,Paramètres!$A$1:$I$89,3,0)*0.475*44/12</f>
        <v>6.6030759294832714E-5</v>
      </c>
      <c r="BS54" s="24">
        <f t="shared" si="9"/>
        <v>29.781860595224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17.034999999999997</v>
      </c>
      <c r="N55" s="14">
        <f>IF('Données projet'!$A$36&gt;35,N54+M55-V54,IF(A55&lt;'Données projet'!$A$36,$K$205^A55,IF(A55='Données projet'!$A$36,'Données projet'!$B$36,N54+M55-V54)))</f>
        <v>311.56999999999994</v>
      </c>
      <c r="O55" s="14">
        <f>N55*VLOOKUP('Données projet'!$B$9,Paramètres!$A$1:$I$89,3,0)*VLOOKUP('Données projet'!$B$9,Paramètres!$A$1:$I$89,5,0)</f>
        <v>145.81475999999998</v>
      </c>
      <c r="P55" s="14">
        <f t="shared" si="33"/>
        <v>37.625914051925029</v>
      </c>
      <c r="Q55" s="22">
        <f t="shared" si="53"/>
        <v>319.4925073071027</v>
      </c>
      <c r="R55" s="62">
        <f t="shared" si="0"/>
        <v>612.82584064043601</v>
      </c>
      <c r="S55" s="62">
        <f ca="1">AVERAGE(OFFSET($R$3,0,0,'Données projet'!$E$9+1,1))-AVERAGE(OFFSET($H$3,0,0,'Données projet'!$E$9+1,1))</f>
        <v>228.57322051753096</v>
      </c>
      <c r="T55" s="62">
        <f t="shared" si="34"/>
        <v>168.91992124331932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287.69656598881124</v>
      </c>
      <c r="AO55" s="62">
        <f t="shared" si="36"/>
        <v>221.9773436301067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3.2845147857474246</v>
      </c>
      <c r="AW55" s="23">
        <f>EXP(-LN(2)/2)*AW54+(1-EXP(-LN(2)/2))/(LN(2)/2)*AQ55*AT55*VLOOKUP('Données projet'!$B$10,Paramètres!$A$1:$I$89,3,0)*0.475*44/12</f>
        <v>6.9443830900121663E-3</v>
      </c>
      <c r="AX55" s="23">
        <f t="shared" si="6"/>
        <v>3.2914591688374366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213.60000000000002</v>
      </c>
      <c r="BE55" s="14">
        <f>BD55*VLOOKUP('Données projet'!$B$11,Paramètres!$A$1:$I$89,3,0)*VLOOKUP('Données projet'!$B$11,Paramètres!$A$1:$I$89,5,0)</f>
        <v>186.60096000000004</v>
      </c>
      <c r="BF55" s="14">
        <f t="shared" si="37"/>
        <v>46.787685683664144</v>
      </c>
      <c r="BG55" s="22">
        <f t="shared" si="7"/>
        <v>406.4852245657151</v>
      </c>
      <c r="BH55" s="62">
        <f t="shared" si="8"/>
        <v>699.81855789904841</v>
      </c>
      <c r="BI55" s="62">
        <f ca="1">AVERAGE(OFFSET($BH$3,0,0,'Données projet'!$E$11+1,1))-AVERAGE(OFFSET($H$3,0,0,'Données projet'!$E$11+1,1))</f>
        <v>254.12694970606668</v>
      </c>
      <c r="BJ55" s="62">
        <f t="shared" si="38"/>
        <v>319.62868041131082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17.180628601949163</v>
      </c>
      <c r="BQ55" s="23">
        <f>EXP(-LN(2)/25)*BQ54+(1-EXP(-LN(2)/25))/(LN(2)/25)*Calculateur!BL55*Calculateur!BN55*VLOOKUP('Données projet'!$B$11,Paramètres!$A$1:$I$89,3,0)*0.475*44/12</f>
        <v>11.922343053663807</v>
      </c>
      <c r="BR55" s="23">
        <f>EXP(-LN(2)/2)*BR54+(1-EXP(-LN(2)/2))/(LN(2)/2)*BL55*BO55*VLOOKUP('Données projet'!$B$11,Paramètres!$A$1:$I$89,3,0)*0.475*44/12</f>
        <v>4.6690797664272865E-5</v>
      </c>
      <c r="BS55" s="24">
        <f t="shared" si="9"/>
        <v>29.103018346410632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17.034999999999997</v>
      </c>
      <c r="N56" s="14">
        <f>IF('Données projet'!$A$36&gt;35,N55+M56-V55,IF(A56&lt;'Données projet'!$A$36,$K$205^A56,IF(A56='Données projet'!$A$36,'Données projet'!$B$36,N55+M56-V55)))</f>
        <v>328.6049999999999</v>
      </c>
      <c r="O56" s="14">
        <f>N56*VLOOKUP('Données projet'!$B$9,Paramètres!$A$1:$I$89,3,0)*VLOOKUP('Données projet'!$B$9,Paramètres!$A$1:$I$89,5,0)</f>
        <v>153.78713999999997</v>
      </c>
      <c r="P56" s="14">
        <f t="shared" si="33"/>
        <v>39.437973866071921</v>
      </c>
      <c r="Q56" s="22">
        <f t="shared" si="53"/>
        <v>336.53373998340851</v>
      </c>
      <c r="R56" s="62">
        <f t="shared" si="0"/>
        <v>629.86707331674188</v>
      </c>
      <c r="S56" s="62">
        <f ca="1">AVERAGE(OFFSET($R$3,0,0,'Données projet'!$E$9+1,1))-AVERAGE(OFFSET($H$3,0,0,'Données projet'!$E$9+1,1))</f>
        <v>228.57322051753096</v>
      </c>
      <c r="T56" s="62">
        <f t="shared" si="34"/>
        <v>168.91992124331932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287.69656598881124</v>
      </c>
      <c r="AO56" s="62">
        <f t="shared" si="36"/>
        <v>221.9773436301067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3.1946995562060354</v>
      </c>
      <c r="AW56" s="23">
        <f>EXP(-LN(2)/2)*AW55+(1-EXP(-LN(2)/2))/(LN(2)/2)*AQ56*AT56*VLOOKUP('Données projet'!$B$10,Paramètres!$A$1:$I$89,3,0)*0.475*44/12</f>
        <v>4.9104203741047936E-3</v>
      </c>
      <c r="AX56" s="23">
        <f t="shared" si="6"/>
        <v>3.19960997658014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221.40000000000003</v>
      </c>
      <c r="BE56" s="14">
        <f>BD56*VLOOKUP('Données projet'!$B$11,Paramètres!$A$1:$I$89,3,0)*VLOOKUP('Données projet'!$B$11,Paramètres!$A$1:$I$89,5,0)</f>
        <v>193.41504000000006</v>
      </c>
      <c r="BF56" s="14">
        <f t="shared" si="37"/>
        <v>48.294185132315114</v>
      </c>
      <c r="BG56" s="22">
        <f t="shared" si="7"/>
        <v>420.97690043878225</v>
      </c>
      <c r="BH56" s="62">
        <f t="shared" si="8"/>
        <v>714.31023377211557</v>
      </c>
      <c r="BI56" s="62">
        <f ca="1">AVERAGE(OFFSET($BH$3,0,0,'Données projet'!$E$11+1,1))-AVERAGE(OFFSET($H$3,0,0,'Données projet'!$E$11+1,1))</f>
        <v>254.12694970606668</v>
      </c>
      <c r="BJ56" s="62">
        <f t="shared" si="38"/>
        <v>319.62868041131082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16.843726954213658</v>
      </c>
      <c r="BQ56" s="23">
        <f>EXP(-LN(2)/25)*BQ55+(1-EXP(-LN(2)/25))/(LN(2)/25)*Calculateur!BL56*Calculateur!BN56*VLOOKUP('Données projet'!$B$11,Paramètres!$A$1:$I$89,3,0)*0.475*44/12</f>
        <v>11.596325955892599</v>
      </c>
      <c r="BR56" s="23">
        <f>EXP(-LN(2)/2)*BR55+(1-EXP(-LN(2)/2))/(LN(2)/2)*BL56*BO56*VLOOKUP('Données projet'!$B$11,Paramètres!$A$1:$I$89,3,0)*0.475*44/12</f>
        <v>3.3015379647416357E-5</v>
      </c>
      <c r="BS56" s="24">
        <f t="shared" si="9"/>
        <v>28.440085925485903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17.034999999999997</v>
      </c>
      <c r="N57" s="14">
        <f>IF('Données projet'!$A$36&gt;35,N56+M57-V56,IF(A57&lt;'Données projet'!$A$36,$K$205^A57,IF(A57='Données projet'!$A$36,'Données projet'!$B$36,N56+M57-V56)))</f>
        <v>345.63999999999987</v>
      </c>
      <c r="O57" s="14">
        <f>N57*VLOOKUP('Données projet'!$B$9,Paramètres!$A$1:$I$89,3,0)*VLOOKUP('Données projet'!$B$9,Paramètres!$A$1:$I$89,5,0)</f>
        <v>161.75951999999995</v>
      </c>
      <c r="P57" s="14">
        <f t="shared" si="33"/>
        <v>41.239127084112248</v>
      </c>
      <c r="Q57" s="22">
        <f t="shared" si="53"/>
        <v>353.55597700482872</v>
      </c>
      <c r="R57" s="62">
        <f t="shared" si="0"/>
        <v>646.88931033816198</v>
      </c>
      <c r="S57" s="62">
        <f ca="1">AVERAGE(OFFSET($R$3,0,0,'Données projet'!$E$9+1,1))-AVERAGE(OFFSET($H$3,0,0,'Données projet'!$E$9+1,1))</f>
        <v>228.57322051753096</v>
      </c>
      <c r="T57" s="62">
        <f t="shared" si="34"/>
        <v>168.91992124331932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287.69656598881124</v>
      </c>
      <c r="AO57" s="62">
        <f t="shared" si="36"/>
        <v>221.9773436301067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3.1073403288396335</v>
      </c>
      <c r="AW57" s="23">
        <f>EXP(-LN(2)/2)*AW56+(1-EXP(-LN(2)/2))/(LN(2)/2)*AQ57*AT57*VLOOKUP('Données projet'!$B$10,Paramètres!$A$1:$I$89,3,0)*0.475*44/12</f>
        <v>3.4721915450060831E-3</v>
      </c>
      <c r="AX57" s="23">
        <f t="shared" si="6"/>
        <v>3.1108125203846395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229.20000000000005</v>
      </c>
      <c r="BE57" s="14">
        <f>BD57*VLOOKUP('Données projet'!$B$11,Paramètres!$A$1:$I$89,3,0)*VLOOKUP('Données projet'!$B$11,Paramètres!$A$1:$I$89,5,0)</f>
        <v>200.22912000000005</v>
      </c>
      <c r="BF57" s="14">
        <f t="shared" si="37"/>
        <v>49.794518010766353</v>
      </c>
      <c r="BG57" s="22">
        <f t="shared" si="7"/>
        <v>435.45783620208476</v>
      </c>
      <c r="BH57" s="62">
        <f t="shared" si="8"/>
        <v>728.79116953541802</v>
      </c>
      <c r="BI57" s="62">
        <f ca="1">AVERAGE(OFFSET($BH$3,0,0,'Données projet'!$E$11+1,1))-AVERAGE(OFFSET($H$3,0,0,'Données projet'!$E$11+1,1))</f>
        <v>254.12694970606668</v>
      </c>
      <c r="BJ57" s="62">
        <f t="shared" si="38"/>
        <v>319.62868041131082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16.513431742300529</v>
      </c>
      <c r="BQ57" s="23">
        <f>EXP(-LN(2)/25)*BQ56+(1-EXP(-LN(2)/25))/(LN(2)/25)*Calculateur!BL57*Calculateur!BN57*VLOOKUP('Données projet'!$B$11,Paramètres!$A$1:$I$89,3,0)*0.475*44/12</f>
        <v>11.279223812804437</v>
      </c>
      <c r="BR57" s="23">
        <f>EXP(-LN(2)/2)*BR56+(1-EXP(-LN(2)/2))/(LN(2)/2)*BL57*BO57*VLOOKUP('Données projet'!$B$11,Paramètres!$A$1:$I$89,3,0)*0.475*44/12</f>
        <v>2.3345398832136433E-5</v>
      </c>
      <c r="BS57" s="24">
        <f t="shared" si="9"/>
        <v>27.792678900503798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17.034999999999997</v>
      </c>
      <c r="N58" s="14">
        <f>IF('Données projet'!$A$36&gt;35,N57+M58-V57,IF(A58&lt;'Données projet'!$A$36,$K$205^A58,IF(A58='Données projet'!$A$36,'Données projet'!$B$36,N57+M58-V57)))</f>
        <v>362.67499999999984</v>
      </c>
      <c r="O58" s="14">
        <f>N58*VLOOKUP('Données projet'!$B$9,Paramètres!$A$1:$I$89,3,0)*VLOOKUP('Données projet'!$B$9,Paramètres!$A$1:$I$89,5,0)</f>
        <v>169.73189999999991</v>
      </c>
      <c r="P58" s="14">
        <f t="shared" si="33"/>
        <v>43.029972589331059</v>
      </c>
      <c r="Q58" s="22">
        <f t="shared" si="53"/>
        <v>370.56026142641809</v>
      </c>
      <c r="R58" s="62">
        <f t="shared" si="0"/>
        <v>663.89359475975141</v>
      </c>
      <c r="S58" s="62">
        <f ca="1">AVERAGE(OFFSET($R$3,0,0,'Données projet'!$E$9+1,1))-AVERAGE(OFFSET($H$3,0,0,'Données projet'!$E$9+1,1))</f>
        <v>228.57322051753096</v>
      </c>
      <c r="T58" s="62">
        <f t="shared" si="34"/>
        <v>168.91992124331932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287.69656598881124</v>
      </c>
      <c r="AO58" s="62">
        <f t="shared" si="36"/>
        <v>221.9773436301067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3.0223699441395877</v>
      </c>
      <c r="AW58" s="23">
        <f>EXP(-LN(2)/2)*AW57+(1-EXP(-LN(2)/2))/(LN(2)/2)*AQ58*AT58*VLOOKUP('Données projet'!$B$10,Paramètres!$A$1:$I$89,3,0)*0.475*44/12</f>
        <v>2.4552101870523968E-3</v>
      </c>
      <c r="AX58" s="23">
        <f t="shared" si="6"/>
        <v>3.0248251543266402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237.00000000000006</v>
      </c>
      <c r="BE58" s="14">
        <f>BD58*VLOOKUP('Données projet'!$B$11,Paramètres!$A$1:$I$89,3,0)*VLOOKUP('Données projet'!$B$11,Paramètres!$A$1:$I$89,5,0)</f>
        <v>207.0432000000001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743.26177258706298</v>
      </c>
      <c r="BI58" s="62">
        <f ca="1">AVERAGE(OFFSET($BH$3,0,0,'Données projet'!$E$11+1,1))-AVERAGE(OFFSET($H$3,0,0,'Données projet'!$E$11+1,1))</f>
        <v>254.12694970606668</v>
      </c>
      <c r="BJ58" s="62">
        <f t="shared" si="38"/>
        <v>319.62868041131082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16.189613418032831</v>
      </c>
      <c r="BQ58" s="23">
        <f>EXP(-LN(2)/25)*BQ57+(1-EXP(-LN(2)/25))/(LN(2)/25)*Calculateur!BL58*Calculateur!BN58*VLOOKUP('Données projet'!$B$11,Paramètres!$A$1:$I$89,3,0)*0.475*44/12</f>
        <v>10.970792844494698</v>
      </c>
      <c r="BR58" s="23">
        <f>EXP(-LN(2)/2)*BR57+(1-EXP(-LN(2)/2))/(LN(2)/2)*BL58*BO58*VLOOKUP('Données projet'!$B$11,Paramètres!$A$1:$I$89,3,0)*0.475*44/12</f>
        <v>1.6507689823708178E-5</v>
      </c>
      <c r="BS58" s="24">
        <f t="shared" si="9"/>
        <v>27.160422770217355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379.71</v>
      </c>
      <c r="L59" s="13">
        <f>VLOOKUP(A59,'Données projet'!$A$35:$I$55,9,0)</f>
        <v>17.034999999999997</v>
      </c>
      <c r="M59" s="13">
        <f t="array" ref="M59">INDEX(L:L,MIN(IF(ISNUMBER(L59:L255),ROW(L59:L255),"")))</f>
        <v>17.034999999999997</v>
      </c>
      <c r="N59" s="14">
        <f>IF('Données projet'!$A$36&gt;35,N58+M59-V58,IF(A59&lt;'Données projet'!$A$36,$K$205^A59,IF(A59='Données projet'!$A$36,'Données projet'!$B$36,N58+M59-V58)))</f>
        <v>379.70999999999981</v>
      </c>
      <c r="O59" s="14">
        <f>N59*VLOOKUP('Données projet'!$B$9,Paramètres!$A$1:$I$89,3,0)*VLOOKUP('Données projet'!$B$9,Paramètres!$A$1:$I$89,5,0)</f>
        <v>177.70427999999993</v>
      </c>
      <c r="P59" s="14">
        <f t="shared" si="33"/>
        <v>44.811049826105538</v>
      </c>
      <c r="Q59" s="22">
        <f t="shared" si="53"/>
        <v>387.54753278046701</v>
      </c>
      <c r="R59" s="62">
        <f t="shared" si="0"/>
        <v>680.88086611380027</v>
      </c>
      <c r="S59" s="62">
        <f ca="1">AVERAGE(OFFSET($R$3,0,0,'Données projet'!$E$9+1,1))-AVERAGE(OFFSET($H$3,0,0,'Données projet'!$E$9+1,1))</f>
        <v>228.57322051753096</v>
      </c>
      <c r="T59" s="62">
        <f t="shared" si="34"/>
        <v>168.91992124331932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79.39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287.69656598881124</v>
      </c>
      <c r="AO59" s="62">
        <f t="shared" si="36"/>
        <v>221.9773436301067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2.939723079077563</v>
      </c>
      <c r="AW59" s="23">
        <f>EXP(-LN(2)/2)*AW58+(1-EXP(-LN(2)/2))/(LN(2)/2)*AQ59*AT59*VLOOKUP('Données projet'!$B$10,Paramètres!$A$1:$I$89,3,0)*0.475*44/12</f>
        <v>1.7360957725030416E-3</v>
      </c>
      <c r="AX59" s="23">
        <f t="shared" si="6"/>
        <v>2.941459174850066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214.80000000000007</v>
      </c>
      <c r="BE59" s="14">
        <f>BD59*VLOOKUP('Données projet'!$B$11,Paramètres!$A$1:$I$89,3,0)*VLOOKUP('Données projet'!$B$11,Paramètres!$A$1:$I$89,5,0)</f>
        <v>187.64928000000009</v>
      </c>
      <c r="BF59" s="14">
        <f t="shared" si="37"/>
        <v>47.019866076567546</v>
      </c>
      <c r="BG59" s="22">
        <f t="shared" si="7"/>
        <v>408.71542941668866</v>
      </c>
      <c r="BH59" s="62">
        <f t="shared" si="8"/>
        <v>702.04876275002198</v>
      </c>
      <c r="BI59" s="62">
        <f ca="1">AVERAGE(OFFSET($BH$3,0,0,'Données projet'!$E$11+1,1))-AVERAGE(OFFSET($H$3,0,0,'Données projet'!$E$11+1,1))</f>
        <v>254.12694970606668</v>
      </c>
      <c r="BJ59" s="62">
        <f t="shared" si="38"/>
        <v>319.62868041131082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15.872144973594347</v>
      </c>
      <c r="BQ59" s="23">
        <f>EXP(-LN(2)/25)*BQ58+(1-EXP(-LN(2)/25))/(LN(2)/25)*Calculateur!BL59*Calculateur!BN59*VLOOKUP('Données projet'!$B$11,Paramètres!$A$1:$I$89,3,0)*0.475*44/12</f>
        <v>10.670795937233068</v>
      </c>
      <c r="BR59" s="23">
        <f>EXP(-LN(2)/2)*BR58+(1-EXP(-LN(2)/2))/(LN(2)/2)*BL59*BO59*VLOOKUP('Données projet'!$B$11,Paramètres!$A$1:$I$89,3,0)*0.475*44/12</f>
        <v>1.1672699416068216E-5</v>
      </c>
      <c r="BS59" s="24">
        <f t="shared" si="9"/>
        <v>26.54295258352683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316.45</v>
      </c>
      <c r="L60" s="13">
        <f>VLOOKUP(A60,'Données projet'!$A$35:$I$55,9,0)</f>
        <v>16.129999999999995</v>
      </c>
      <c r="M60" s="13">
        <f t="array" ref="M60">INDEX(L:L,MIN(IF(ISNUMBER(L60:L256),ROW(L60:L256),"")))</f>
        <v>16.129999999999995</v>
      </c>
      <c r="N60" s="14">
        <f>IF('Données projet'!$A$36&gt;35,N59+M60-V59,IF(A60&lt;'Données projet'!$A$36,$K$205^A60,IF(A60='Données projet'!$A$36,'Données projet'!$B$36,N59+M60-V59)))</f>
        <v>316.44999999999982</v>
      </c>
      <c r="O60" s="14">
        <f>N60*VLOOKUP('Données projet'!$B$9,Paramètres!$A$1:$I$89,3,0)*VLOOKUP('Données projet'!$B$9,Paramètres!$A$1:$I$89,5,0)</f>
        <v>148.09859999999992</v>
      </c>
      <c r="P60" s="14">
        <f t="shared" si="33"/>
        <v>38.146165355224731</v>
      </c>
      <c r="Q60" s="22">
        <f t="shared" si="53"/>
        <v>324.37629966034956</v>
      </c>
      <c r="R60" s="62">
        <f t="shared" si="0"/>
        <v>617.70963299368282</v>
      </c>
      <c r="S60" s="62">
        <f ca="1">AVERAGE(OFFSET($R$3,0,0,'Données projet'!$E$9+1,1))-AVERAGE(OFFSET($H$3,0,0,'Données projet'!$E$9+1,1))</f>
        <v>228.57322051753096</v>
      </c>
      <c r="T60" s="62">
        <f t="shared" si="34"/>
        <v>168.91992124331932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287.69656598881124</v>
      </c>
      <c r="AO60" s="62">
        <f t="shared" si="36"/>
        <v>221.9773436301067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2.8593361968868694</v>
      </c>
      <c r="AW60" s="23">
        <f>EXP(-LN(2)/2)*AW59+(1-EXP(-LN(2)/2))/(LN(2)/2)*AQ60*AT60*VLOOKUP('Données projet'!$B$10,Paramètres!$A$1:$I$89,3,0)*0.475*44/12</f>
        <v>1.2276050935261984E-3</v>
      </c>
      <c r="AX60" s="23">
        <f t="shared" si="6"/>
        <v>2.8605638019803954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221.60000000000008</v>
      </c>
      <c r="BE60" s="14">
        <f>BD60*VLOOKUP('Données projet'!$B$11,Paramètres!$A$1:$I$89,3,0)*VLOOKUP('Données projet'!$B$11,Paramètres!$A$1:$I$89,5,0)</f>
        <v>193.5897600000001</v>
      </c>
      <c r="BF60" s="14">
        <f t="shared" si="37"/>
        <v>48.332731202087089</v>
      </c>
      <c r="BG60" s="22">
        <f t="shared" si="7"/>
        <v>421.34833884363525</v>
      </c>
      <c r="BH60" s="62">
        <f t="shared" si="8"/>
        <v>714.6816721769685</v>
      </c>
      <c r="BI60" s="62">
        <f ca="1">AVERAGE(OFFSET($BH$3,0,0,'Données projet'!$E$11+1,1))-AVERAGE(OFFSET($H$3,0,0,'Données projet'!$E$11+1,1))</f>
        <v>254.12694970606668</v>
      </c>
      <c r="BJ60" s="62">
        <f t="shared" si="38"/>
        <v>319.62868041131082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15.560901891714671</v>
      </c>
      <c r="BQ60" s="23">
        <f>EXP(-LN(2)/25)*BQ59+(1-EXP(-LN(2)/25))/(LN(2)/25)*Calculateur!BL60*Calculateur!BN60*VLOOKUP('Données projet'!$B$11,Paramètres!$A$1:$I$89,3,0)*0.475*44/12</f>
        <v>10.379002461176659</v>
      </c>
      <c r="BR60" s="23">
        <f>EXP(-LN(2)/2)*BR59+(1-EXP(-LN(2)/2))/(LN(2)/2)*BL60*BO60*VLOOKUP('Données projet'!$B$11,Paramètres!$A$1:$I$89,3,0)*0.475*44/12</f>
        <v>8.2538449118540892E-6</v>
      </c>
      <c r="BS60" s="24">
        <f t="shared" si="9"/>
        <v>25.939912606736243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16.673333333333336</v>
      </c>
      <c r="N61" s="14">
        <f>IF('Données projet'!$A$36&gt;35,N60+M61-V60,IF(A61&lt;'Données projet'!$A$36,$K$205^A61,IF(A61='Données projet'!$A$36,'Données projet'!$B$36,N60+M61-V60)))</f>
        <v>333.12333333333316</v>
      </c>
      <c r="O61" s="14">
        <f>N61*VLOOKUP('Données projet'!$B$9,Paramètres!$A$1:$I$89,3,0)*VLOOKUP('Données projet'!$B$9,Paramètres!$A$1:$I$89,5,0)</f>
        <v>155.90171999999993</v>
      </c>
      <c r="P61" s="14">
        <f t="shared" si="33"/>
        <v>39.916745580345044</v>
      </c>
      <c r="Q61" s="22">
        <f t="shared" si="53"/>
        <v>341.05049421910081</v>
      </c>
      <c r="R61" s="62">
        <f t="shared" si="0"/>
        <v>634.38382755243413</v>
      </c>
      <c r="S61" s="62">
        <f ca="1">AVERAGE(OFFSET($R$3,0,0,'Données projet'!$E$9+1,1))-AVERAGE(OFFSET($H$3,0,0,'Données projet'!$E$9+1,1))</f>
        <v>228.57322051753096</v>
      </c>
      <c r="T61" s="62">
        <f t="shared" si="34"/>
        <v>168.91992124331932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287.69656598881124</v>
      </c>
      <c r="AO61" s="62">
        <f t="shared" si="36"/>
        <v>221.9773436301067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2.7811474982170425</v>
      </c>
      <c r="AW61" s="23">
        <f>EXP(-LN(2)/2)*AW60+(1-EXP(-LN(2)/2))/(LN(2)/2)*AQ61*AT61*VLOOKUP('Données projet'!$B$10,Paramètres!$A$1:$I$89,3,0)*0.475*44/12</f>
        <v>8.6804788625152078E-4</v>
      </c>
      <c r="AX61" s="23">
        <f t="shared" si="6"/>
        <v>2.782015546103294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228.40000000000009</v>
      </c>
      <c r="BE61" s="14">
        <f>BD61*VLOOKUP('Données projet'!$B$11,Paramètres!$A$1:$I$89,3,0)*VLOOKUP('Données projet'!$B$11,Paramètres!$A$1:$I$89,5,0)</f>
        <v>199.53024000000011</v>
      </c>
      <c r="BF61" s="14">
        <f t="shared" si="37"/>
        <v>49.640914570461312</v>
      </c>
      <c r="BG61" s="22">
        <f t="shared" si="7"/>
        <v>433.97309421022027</v>
      </c>
      <c r="BH61" s="62">
        <f t="shared" si="8"/>
        <v>727.30642754355358</v>
      </c>
      <c r="BI61" s="62">
        <f ca="1">AVERAGE(OFFSET($BH$3,0,0,'Données projet'!$E$11+1,1))-AVERAGE(OFFSET($H$3,0,0,'Données projet'!$E$11+1,1))</f>
        <v>254.12694970606668</v>
      </c>
      <c r="BJ61" s="62">
        <f t="shared" si="38"/>
        <v>319.62868041131082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15.255762096831122</v>
      </c>
      <c r="BQ61" s="23">
        <f>EXP(-LN(2)/25)*BQ60+(1-EXP(-LN(2)/25))/(LN(2)/25)*Calculateur!BL61*Calculateur!BN61*VLOOKUP('Données projet'!$B$11,Paramètres!$A$1:$I$89,3,0)*0.475*44/12</f>
        <v>10.095188093067765</v>
      </c>
      <c r="BR61" s="23">
        <f>EXP(-LN(2)/2)*BR60+(1-EXP(-LN(2)/2))/(LN(2)/2)*BL61*BO61*VLOOKUP('Données projet'!$B$11,Paramètres!$A$1:$I$89,3,0)*0.475*44/12</f>
        <v>5.8363497080341081E-6</v>
      </c>
      <c r="BS61" s="24">
        <f t="shared" si="9"/>
        <v>25.350956026248596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16.673333333333336</v>
      </c>
      <c r="N62" s="14">
        <f>IF('Données projet'!$A$36&gt;35,N61+M62-V61,IF(A62&lt;'Données projet'!$A$36,$K$205^A62,IF(A62='Données projet'!$A$36,'Données projet'!$B$36,N61+M62-V61)))</f>
        <v>349.79666666666651</v>
      </c>
      <c r="O62" s="14">
        <f>N62*VLOOKUP('Données projet'!$B$9,Paramètres!$A$1:$I$89,3,0)*VLOOKUP('Données projet'!$B$9,Paramètres!$A$1:$I$89,5,0)</f>
        <v>163.70483999999993</v>
      </c>
      <c r="P62" s="14">
        <f t="shared" si="33"/>
        <v>41.677035862529486</v>
      </c>
      <c r="Q62" s="22">
        <f t="shared" si="53"/>
        <v>357.70676712723872</v>
      </c>
      <c r="R62" s="62">
        <f t="shared" si="0"/>
        <v>651.04010046057203</v>
      </c>
      <c r="S62" s="62">
        <f ca="1">AVERAGE(OFFSET($R$3,0,0,'Données projet'!$E$9+1,1))-AVERAGE(OFFSET($H$3,0,0,'Données projet'!$E$9+1,1))</f>
        <v>228.57322051753096</v>
      </c>
      <c r="T62" s="62">
        <f t="shared" si="34"/>
        <v>168.91992124331932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287.69656598881124</v>
      </c>
      <c r="AO62" s="62">
        <f t="shared" si="36"/>
        <v>221.9773436301067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2.705096873624107</v>
      </c>
      <c r="AW62" s="23">
        <f>EXP(-LN(2)/2)*AW61+(1-EXP(-LN(2)/2))/(LN(2)/2)*AQ62*AT62*VLOOKUP('Données projet'!$B$10,Paramètres!$A$1:$I$89,3,0)*0.475*44/12</f>
        <v>6.138025467630992E-4</v>
      </c>
      <c r="AX62" s="23">
        <f t="shared" si="6"/>
        <v>2.7057106761708702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235.2000000000001</v>
      </c>
      <c r="BE62" s="14">
        <f>BD62*VLOOKUP('Données projet'!$B$11,Paramètres!$A$1:$I$89,3,0)*VLOOKUP('Données projet'!$B$11,Paramètres!$A$1:$I$89,5,0)</f>
        <v>205.47072000000011</v>
      </c>
      <c r="BF62" s="14">
        <f t="shared" si="37"/>
        <v>50.944571570352757</v>
      </c>
      <c r="BG62" s="22">
        <f t="shared" si="7"/>
        <v>446.58996615169781</v>
      </c>
      <c r="BH62" s="62">
        <f t="shared" si="8"/>
        <v>739.92329948503107</v>
      </c>
      <c r="BI62" s="62">
        <f ca="1">AVERAGE(OFFSET($BH$3,0,0,'Données projet'!$E$11+1,1))-AVERAGE(OFFSET($H$3,0,0,'Données projet'!$E$11+1,1))</f>
        <v>254.12694970606668</v>
      </c>
      <c r="BJ62" s="62">
        <f t="shared" si="38"/>
        <v>319.62868041131082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14.95660590720834</v>
      </c>
      <c r="BQ62" s="23">
        <f>EXP(-LN(2)/25)*BQ61+(1-EXP(-LN(2)/25))/(LN(2)/25)*Calculateur!BL62*Calculateur!BN62*VLOOKUP('Données projet'!$B$11,Paramètres!$A$1:$I$89,3,0)*0.475*44/12</f>
        <v>9.8191346437799591</v>
      </c>
      <c r="BR62" s="23">
        <f>EXP(-LN(2)/2)*BR61+(1-EXP(-LN(2)/2))/(LN(2)/2)*BL62*BO62*VLOOKUP('Données projet'!$B$11,Paramètres!$A$1:$I$89,3,0)*0.475*44/12</f>
        <v>4.1269224559270446E-6</v>
      </c>
      <c r="BS62" s="24">
        <f t="shared" si="9"/>
        <v>24.775744677910755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16.673333333333336</v>
      </c>
      <c r="N63" s="14">
        <f>IF('Données projet'!$A$36&gt;35,N62+M63-V62,IF(A63&lt;'Données projet'!$A$36,$K$205^A63,IF(A63='Données projet'!$A$36,'Données projet'!$B$36,N62+M63-V62)))</f>
        <v>366.46999999999986</v>
      </c>
      <c r="O63" s="14">
        <f>N63*VLOOKUP('Données projet'!$B$9,Paramètres!$A$1:$I$89,3,0)*VLOOKUP('Données projet'!$B$9,Paramètres!$A$1:$I$89,5,0)</f>
        <v>171.50795999999994</v>
      </c>
      <c r="P63" s="14">
        <f t="shared" si="33"/>
        <v>43.427582678770712</v>
      </c>
      <c r="Q63" s="22">
        <f t="shared" si="53"/>
        <v>374.34607016552553</v>
      </c>
      <c r="R63" s="62">
        <f t="shared" si="0"/>
        <v>667.67940349885885</v>
      </c>
      <c r="S63" s="62">
        <f ca="1">AVERAGE(OFFSET($R$3,0,0,'Données projet'!$E$9+1,1))-AVERAGE(OFFSET($H$3,0,0,'Données projet'!$E$9+1,1))</f>
        <v>228.57322051753096</v>
      </c>
      <c r="T63" s="62">
        <f t="shared" si="34"/>
        <v>168.91992124331932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287.69656598881124</v>
      </c>
      <c r="AO63" s="62">
        <f t="shared" si="36"/>
        <v>221.9773436301067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2.6311258573599936</v>
      </c>
      <c r="AW63" s="23">
        <f>EXP(-LN(2)/2)*AW62+(1-EXP(-LN(2)/2))/(LN(2)/2)*AQ63*AT63*VLOOKUP('Données projet'!$B$10,Paramètres!$A$1:$I$89,3,0)*0.475*44/12</f>
        <v>4.3402394312576039E-4</v>
      </c>
      <c r="AX63" s="23">
        <f t="shared" si="6"/>
        <v>2.6315598813031196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242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242.00000000000011</v>
      </c>
      <c r="BE63" s="14">
        <f>BD63*VLOOKUP('Données projet'!$B$11,Paramètres!$A$1:$I$89,3,0)*VLOOKUP('Données projet'!$B$11,Paramètres!$A$1:$I$89,5,0)</f>
        <v>211.41120000000012</v>
      </c>
      <c r="BF63" s="14">
        <f t="shared" si="37"/>
        <v>52.243848094411206</v>
      </c>
      <c r="BG63" s="22">
        <f t="shared" si="7"/>
        <v>459.19920876443302</v>
      </c>
      <c r="BH63" s="62">
        <f t="shared" si="8"/>
        <v>752.53254209776628</v>
      </c>
      <c r="BI63" s="62">
        <f ca="1">AVERAGE(OFFSET($BH$3,0,0,'Données projet'!$E$11+1,1))-AVERAGE(OFFSET($H$3,0,0,'Données projet'!$E$11+1,1))</f>
        <v>254.12694970606668</v>
      </c>
      <c r="BJ63" s="62">
        <f t="shared" si="38"/>
        <v>319.62868041131082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14.663315987996803</v>
      </c>
      <c r="BQ63" s="23">
        <f>EXP(-LN(2)/25)*BQ62+(1-EXP(-LN(2)/25))/(LN(2)/25)*Calculateur!BL63*Calculateur!BN63*VLOOKUP('Données projet'!$B$11,Paramètres!$A$1:$I$89,3,0)*0.475*44/12</f>
        <v>9.5506298905799465</v>
      </c>
      <c r="BR63" s="23">
        <f>EXP(-LN(2)/2)*BR62+(1-EXP(-LN(2)/2))/(LN(2)/2)*BL63*BO63*VLOOKUP('Données projet'!$B$11,Paramètres!$A$1:$I$89,3,0)*0.475*44/12</f>
        <v>2.9181748540170541E-6</v>
      </c>
      <c r="BS63" s="24">
        <f t="shared" si="9"/>
        <v>24.213948796751605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16.673333333333336</v>
      </c>
      <c r="N64" s="14">
        <f>IF('Données projet'!$A$36&gt;35,N63+M64-V63,IF(A64&lt;'Données projet'!$A$36,$K$205^A64,IF(A64='Données projet'!$A$36,'Données projet'!$B$36,N63+M64-V63)))</f>
        <v>383.1433333333332</v>
      </c>
      <c r="O64" s="14">
        <f>N64*VLOOKUP('Données projet'!$B$9,Paramètres!$A$1:$I$89,3,0)*VLOOKUP('Données projet'!$B$9,Paramètres!$A$1:$I$89,5,0)</f>
        <v>179.31107999999995</v>
      </c>
      <c r="P64" s="14">
        <f t="shared" si="33"/>
        <v>45.16887996897394</v>
      </c>
      <c r="Q64" s="22">
        <f t="shared" si="53"/>
        <v>390.9692636126295</v>
      </c>
      <c r="R64" s="62">
        <f t="shared" si="0"/>
        <v>684.30259694596282</v>
      </c>
      <c r="S64" s="62">
        <f ca="1">AVERAGE(OFFSET($R$3,0,0,'Données projet'!$E$9+1,1))-AVERAGE(OFFSET($H$3,0,0,'Données projet'!$E$9+1,1))</f>
        <v>228.57322051753096</v>
      </c>
      <c r="T64" s="62">
        <f t="shared" si="34"/>
        <v>168.91992124331932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287.69656598881124</v>
      </c>
      <c r="AO64" s="62">
        <f t="shared" si="36"/>
        <v>221.9773436301067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2.5591775824255891</v>
      </c>
      <c r="AW64" s="23">
        <f>EXP(-LN(2)/2)*AW63+(1-EXP(-LN(2)/2))/(LN(2)/2)*AQ64*AT64*VLOOKUP('Données projet'!$B$10,Paramètres!$A$1:$I$89,3,0)*0.475*44/12</f>
        <v>3.069012733815496E-4</v>
      </c>
      <c r="AX64" s="23">
        <f t="shared" si="6"/>
        <v>2.5594844836989705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222.00000000000011</v>
      </c>
      <c r="BE64" s="14">
        <f>BD64*VLOOKUP('Données projet'!$B$11,Paramètres!$A$1:$I$89,3,0)*VLOOKUP('Données projet'!$B$11,Paramètres!$A$1:$I$89,5,0)</f>
        <v>193.93920000000014</v>
      </c>
      <c r="BF64" s="14">
        <f t="shared" si="37"/>
        <v>48.409811198069384</v>
      </c>
      <c r="BG64" s="22">
        <f t="shared" si="7"/>
        <v>422.09119450330439</v>
      </c>
      <c r="BH64" s="62">
        <f t="shared" si="8"/>
        <v>715.42452783663771</v>
      </c>
      <c r="BI64" s="62">
        <f ca="1">AVERAGE(OFFSET($BH$3,0,0,'Données projet'!$E$11+1,1))-AVERAGE(OFFSET($H$3,0,0,'Données projet'!$E$11+1,1))</f>
        <v>254.12694970606668</v>
      </c>
      <c r="BJ64" s="62">
        <f t="shared" si="38"/>
        <v>319.62868041131082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14.375777305211818</v>
      </c>
      <c r="BQ64" s="23">
        <f>EXP(-LN(2)/25)*BQ63+(1-EXP(-LN(2)/25))/(LN(2)/25)*Calculateur!BL64*Calculateur!BN64*VLOOKUP('Données projet'!$B$11,Paramètres!$A$1:$I$89,3,0)*0.475*44/12</f>
        <v>9.2894674139762401</v>
      </c>
      <c r="BR64" s="23">
        <f>EXP(-LN(2)/2)*BR63+(1-EXP(-LN(2)/2))/(LN(2)/2)*BL64*BO64*VLOOKUP('Données projet'!$B$11,Paramètres!$A$1:$I$89,3,0)*0.475*44/12</f>
        <v>2.0634612279635223E-6</v>
      </c>
      <c r="BS64" s="24">
        <f t="shared" si="9"/>
        <v>23.665246782649287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16.673333333333336</v>
      </c>
      <c r="N65" s="14">
        <f>IF('Données projet'!$A$36&gt;35,N64+M65-V64,IF(A65&lt;'Données projet'!$A$36,$K$205^A65,IF(A65='Données projet'!$A$36,'Données projet'!$B$36,N64+M65-V64)))</f>
        <v>399.81666666666655</v>
      </c>
      <c r="O65" s="14">
        <f>N65*VLOOKUP('Données projet'!$B$9,Paramètres!$A$1:$I$89,3,0)*VLOOKUP('Données projet'!$B$9,Paramètres!$A$1:$I$89,5,0)</f>
        <v>187.11419999999993</v>
      </c>
      <c r="P65" s="14">
        <f t="shared" si="33"/>
        <v>46.901376252207641</v>
      </c>
      <c r="Q65" s="22">
        <f t="shared" si="53"/>
        <v>407.57712863926145</v>
      </c>
      <c r="R65" s="62">
        <f t="shared" si="0"/>
        <v>700.9104619725947</v>
      </c>
      <c r="S65" s="62">
        <f ca="1">AVERAGE(OFFSET($R$3,0,0,'Données projet'!$E$9+1,1))-AVERAGE(OFFSET($H$3,0,0,'Données projet'!$E$9+1,1))</f>
        <v>228.57322051753096</v>
      </c>
      <c r="T65" s="62">
        <f t="shared" si="34"/>
        <v>168.91992124331932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287.69656598881124</v>
      </c>
      <c r="AO65" s="62">
        <f t="shared" si="36"/>
        <v>221.9773436301067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2.4891967368528616</v>
      </c>
      <c r="AW65" s="23">
        <f>EXP(-LN(2)/2)*AW64+(1-EXP(-LN(2)/2))/(LN(2)/2)*AQ65*AT65*VLOOKUP('Données projet'!$B$10,Paramètres!$A$1:$I$89,3,0)*0.475*44/12</f>
        <v>2.170119715628802E-4</v>
      </c>
      <c r="AX65" s="23">
        <f t="shared" si="6"/>
        <v>2.4894137488244246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228.00000000000011</v>
      </c>
      <c r="BE65" s="14">
        <f>BD65*VLOOKUP('Données projet'!$B$11,Paramètres!$A$1:$I$89,3,0)*VLOOKUP('Données projet'!$B$11,Paramètres!$A$1:$I$89,5,0)</f>
        <v>199.18080000000012</v>
      </c>
      <c r="BF65" s="14">
        <f t="shared" si="37"/>
        <v>49.564089376413726</v>
      </c>
      <c r="BG65" s="22">
        <f t="shared" si="7"/>
        <v>433.2306823305874</v>
      </c>
      <c r="BH65" s="62">
        <f t="shared" si="8"/>
        <v>726.56401566392071</v>
      </c>
      <c r="BI65" s="62">
        <f ca="1">AVERAGE(OFFSET($BH$3,0,0,'Données projet'!$E$11+1,1))-AVERAGE(OFFSET($H$3,0,0,'Données projet'!$E$11+1,1))</f>
        <v>254.12694970606668</v>
      </c>
      <c r="BJ65" s="62">
        <f t="shared" si="38"/>
        <v>319.62868041131082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14.093877080614966</v>
      </c>
      <c r="BQ65" s="23">
        <f>EXP(-LN(2)/25)*BQ64+(1-EXP(-LN(2)/25))/(LN(2)/25)*Calculateur!BL65*Calculateur!BN65*VLOOKUP('Données projet'!$B$11,Paramètres!$A$1:$I$89,3,0)*0.475*44/12</f>
        <v>9.0354464390291991</v>
      </c>
      <c r="BR65" s="23">
        <f>EXP(-LN(2)/2)*BR64+(1-EXP(-LN(2)/2))/(LN(2)/2)*BL65*BO65*VLOOKUP('Données projet'!$B$11,Paramètres!$A$1:$I$89,3,0)*0.475*44/12</f>
        <v>1.459087427008527E-6</v>
      </c>
      <c r="BS65" s="24">
        <f t="shared" si="9"/>
        <v>23.129324978731596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416.49</v>
      </c>
      <c r="L66" s="13">
        <f>VLOOKUP(A66,'Données projet'!$A$35:$I$55,9,0)</f>
        <v>16.673333333333336</v>
      </c>
      <c r="M66" s="13">
        <f t="array" ref="M66">INDEX(L:L,MIN(IF(ISNUMBER(L66:L262),ROW(L66:L262),"")))</f>
        <v>16.673333333333336</v>
      </c>
      <c r="N66" s="14">
        <f>IF('Données projet'!$A$36&gt;35,N65+M66-V65,IF(A66&lt;'Données projet'!$A$36,$K$205^A66,IF(A66='Données projet'!$A$36,'Données projet'!$B$36,N65+M66-V65)))</f>
        <v>416.4899999999999</v>
      </c>
      <c r="O66" s="14">
        <f>N66*VLOOKUP('Données projet'!$B$9,Paramètres!$A$1:$I$89,3,0)*VLOOKUP('Données projet'!$B$9,Paramètres!$A$1:$I$89,5,0)</f>
        <v>194.91731999999996</v>
      </c>
      <c r="P66" s="14">
        <f t="shared" si="33"/>
        <v>48.625480522444235</v>
      </c>
      <c r="Q66" s="22">
        <f t="shared" si="53"/>
        <v>424.17037757659028</v>
      </c>
      <c r="R66" s="62">
        <f t="shared" si="0"/>
        <v>717.5037109099236</v>
      </c>
      <c r="S66" s="62">
        <f ca="1">AVERAGE(OFFSET($R$3,0,0,'Données projet'!$E$9+1,1))-AVERAGE(OFFSET($H$3,0,0,'Données projet'!$E$9+1,1))</f>
        <v>228.57322051753096</v>
      </c>
      <c r="T66" s="62">
        <f t="shared" si="34"/>
        <v>168.91992124331932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79.099999999999994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287.69656598881124</v>
      </c>
      <c r="AO66" s="62">
        <f t="shared" si="36"/>
        <v>221.9773436301067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2.4211295211824528</v>
      </c>
      <c r="AW66" s="23">
        <f>EXP(-LN(2)/2)*AW65+(1-EXP(-LN(2)/2))/(LN(2)/2)*AQ66*AT66*VLOOKUP('Données projet'!$B$10,Paramètres!$A$1:$I$89,3,0)*0.475*44/12</f>
        <v>1.534506366907748E-4</v>
      </c>
      <c r="AX66" s="23">
        <f t="shared" si="6"/>
        <v>2.4212829718191435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234.00000000000011</v>
      </c>
      <c r="BE66" s="14">
        <f>BD66*VLOOKUP('Données projet'!$B$11,Paramètres!$A$1:$I$89,3,0)*VLOOKUP('Données projet'!$B$11,Paramètres!$A$1:$I$89,5,0)</f>
        <v>204.42240000000012</v>
      </c>
      <c r="BF66" s="14">
        <f t="shared" si="37"/>
        <v>50.714836797527312</v>
      </c>
      <c r="BG66" s="22">
        <f t="shared" si="7"/>
        <v>444.36402075569362</v>
      </c>
      <c r="BH66" s="62">
        <f t="shared" si="8"/>
        <v>737.69735408902693</v>
      </c>
      <c r="BI66" s="62">
        <f ca="1">AVERAGE(OFFSET($BH$3,0,0,'Données projet'!$E$11+1,1))-AVERAGE(OFFSET($H$3,0,0,'Données projet'!$E$11+1,1))</f>
        <v>254.12694970606668</v>
      </c>
      <c r="BJ66" s="62">
        <f t="shared" si="38"/>
        <v>319.62868041131082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13.817504747480301</v>
      </c>
      <c r="BQ66" s="23">
        <f>EXP(-LN(2)/25)*BQ65+(1-EXP(-LN(2)/25))/(LN(2)/25)*Calculateur!BL66*Calculateur!BN66*VLOOKUP('Données projet'!$B$11,Paramètres!$A$1:$I$89,3,0)*0.475*44/12</f>
        <v>8.7883716810004682</v>
      </c>
      <c r="BR66" s="23">
        <f>EXP(-LN(2)/2)*BR65+(1-EXP(-LN(2)/2))/(LN(2)/2)*BL66*BO66*VLOOKUP('Données projet'!$B$11,Paramètres!$A$1:$I$89,3,0)*0.475*44/12</f>
        <v>1.0317306139817611E-6</v>
      </c>
      <c r="BS66" s="24">
        <f t="shared" si="9"/>
        <v>22.605877460211385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353.22</v>
      </c>
      <c r="L67" s="13">
        <f>VLOOKUP(A67,'Données projet'!$A$35:$I$55,9,0)</f>
        <v>15.830000000000041</v>
      </c>
      <c r="M67" s="13">
        <f t="array" ref="M67">INDEX(L:L,MIN(IF(ISNUMBER(L67:L263),ROW(L67:L263),"")))</f>
        <v>15.830000000000041</v>
      </c>
      <c r="N67" s="14">
        <f>IF('Données projet'!$A$36&gt;35,N66+M67-V66,IF(A67&lt;'Données projet'!$A$36,$K$205^A67,IF(A67='Données projet'!$A$36,'Données projet'!$B$36,N66+M67-V66)))</f>
        <v>353.21999999999991</v>
      </c>
      <c r="O67" s="14">
        <f>N67*VLOOKUP('Données projet'!$B$9,Paramètres!$A$1:$I$89,3,0)*VLOOKUP('Données projet'!$B$9,Paramètres!$A$1:$I$89,5,0)</f>
        <v>165.30695999999998</v>
      </c>
      <c r="P67" s="14">
        <f t="shared" si="33"/>
        <v>42.037232382813684</v>
      </c>
      <c r="Q67" s="22">
        <f t="shared" ref="Q67:Q98" si="54">(O67+P67)*0.475*44/12</f>
        <v>361.12446840006714</v>
      </c>
      <c r="R67" s="62">
        <f t="shared" ref="R67:R130" si="55">Q67+(I67+J67)*44/12</f>
        <v>654.4578017334004</v>
      </c>
      <c r="S67" s="62">
        <f ca="1">AVERAGE(OFFSET($R$3,0,0,'Données projet'!$E$9+1,1))-AVERAGE(OFFSET($H$3,0,0,'Données projet'!$E$9+1,1))</f>
        <v>228.57322051753096</v>
      </c>
      <c r="T67" s="62">
        <f t="shared" si="34"/>
        <v>168.91992124331932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287.69656598881124</v>
      </c>
      <c r="AO67" s="62">
        <f t="shared" si="36"/>
        <v>221.9773436301067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2.3549236071040509</v>
      </c>
      <c r="AW67" s="23">
        <f>EXP(-LN(2)/2)*AW66+(1-EXP(-LN(2)/2))/(LN(2)/2)*AQ67*AT67*VLOOKUP('Données projet'!$B$10,Paramètres!$A$1:$I$89,3,0)*0.475*44/12</f>
        <v>1.085059857814401E-4</v>
      </c>
      <c r="AX67" s="23">
        <f t="shared" si="6"/>
        <v>2.3550321130898322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240.00000000000011</v>
      </c>
      <c r="BE67" s="14">
        <f>BD67*VLOOKUP('Données projet'!$B$11,Paramètres!$A$1:$I$89,3,0)*VLOOKUP('Données projet'!$B$11,Paramètres!$A$1:$I$89,5,0)</f>
        <v>209.6640000000001</v>
      </c>
      <c r="BF67" s="14">
        <f t="shared" si="37"/>
        <v>51.862154403304537</v>
      </c>
      <c r="BG67" s="22">
        <f t="shared" si="7"/>
        <v>455.49138558575561</v>
      </c>
      <c r="BH67" s="62">
        <f t="shared" si="8"/>
        <v>748.82471891908892</v>
      </c>
      <c r="BI67" s="62">
        <f ca="1">AVERAGE(OFFSET($BH$3,0,0,'Données projet'!$E$11+1,1))-AVERAGE(OFFSET($H$3,0,0,'Données projet'!$E$11+1,1))</f>
        <v>254.12694970606668</v>
      </c>
      <c r="BJ67" s="62">
        <f t="shared" si="38"/>
        <v>319.62868041131082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13.546551907227927</v>
      </c>
      <c r="BQ67" s="23">
        <f>EXP(-LN(2)/25)*BQ66+(1-EXP(-LN(2)/25))/(LN(2)/25)*Calculateur!BL67*Calculateur!BN67*VLOOKUP('Données projet'!$B$11,Paramètres!$A$1:$I$89,3,0)*0.475*44/12</f>
        <v>8.5480531952231296</v>
      </c>
      <c r="BR67" s="23">
        <f>EXP(-LN(2)/2)*BR66+(1-EXP(-LN(2)/2))/(LN(2)/2)*BL67*BO67*VLOOKUP('Données projet'!$B$11,Paramètres!$A$1:$I$89,3,0)*0.475*44/12</f>
        <v>7.2954371350426352E-7</v>
      </c>
      <c r="BS67" s="24">
        <f t="shared" si="9"/>
        <v>22.09460583199477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16.081428571428571</v>
      </c>
      <c r="N68" s="14">
        <f>IF('Données projet'!$A$36&gt;35,N67+M68-V67,IF(A68&lt;'Données projet'!$A$36,$K$205^A68,IF(A68='Données projet'!$A$36,'Données projet'!$B$36,N67+M68-V67)))</f>
        <v>369.30142857142846</v>
      </c>
      <c r="O68" s="14">
        <f>N68*VLOOKUP('Données projet'!$B$9,Paramètres!$A$1:$I$89,3,0)*VLOOKUP('Données projet'!$B$9,Paramètres!$A$1:$I$89,5,0)</f>
        <v>172.83306857142853</v>
      </c>
      <c r="P68" s="14">
        <f t="shared" si="33"/>
        <v>43.723925064552304</v>
      </c>
      <c r="Q68" s="22">
        <f t="shared" si="54"/>
        <v>377.17009724933331</v>
      </c>
      <c r="R68" s="62">
        <f t="shared" si="55"/>
        <v>670.50343058266662</v>
      </c>
      <c r="S68" s="62">
        <f ca="1">AVERAGE(OFFSET($R$3,0,0,'Données projet'!$E$9+1,1))-AVERAGE(OFFSET($H$3,0,0,'Données projet'!$E$9+1,1))</f>
        <v>228.57322051753096</v>
      </c>
      <c r="T68" s="62">
        <f t="shared" si="34"/>
        <v>168.91992124331932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287.69656598881124</v>
      </c>
      <c r="AO68" s="62">
        <f t="shared" si="36"/>
        <v>221.9773436301067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2.2905280972277402</v>
      </c>
      <c r="AW68" s="23">
        <f>EXP(-LN(2)/2)*AW67+(1-EXP(-LN(2)/2))/(LN(2)/2)*AQ68*AT68*VLOOKUP('Données projet'!$B$10,Paramètres!$A$1:$I$89,3,0)*0.475*44/12</f>
        <v>7.6725318345387399E-5</v>
      </c>
      <c r="AX68" s="23">
        <f t="shared" ref="AX68:AX131" si="60">SUM(AU68:AW68)</f>
        <v>2.2906048225460856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246.00000000000011</v>
      </c>
      <c r="BE68" s="14">
        <f>BD68*VLOOKUP('Données projet'!$B$11,Paramètres!$A$1:$I$89,3,0)*VLOOKUP('Données projet'!$B$11,Paramètres!$A$1:$I$89,5,0)</f>
        <v>214.90560000000013</v>
      </c>
      <c r="BF68" s="14">
        <f t="shared" si="37"/>
        <v>53.006137800892375</v>
      </c>
      <c r="BG68" s="22">
        <f t="shared" ref="BG68:BG131" si="61">(BE68+BF68)*0.475*44/12</f>
        <v>466.61294333655451</v>
      </c>
      <c r="BH68" s="62">
        <f t="shared" ref="BH68:BH131" si="62">BG68+(AY68+AZ68)*44/12</f>
        <v>759.94627666988777</v>
      </c>
      <c r="BI68" s="62">
        <f ca="1">AVERAGE(OFFSET($BH$3,0,0,'Données projet'!$E$11+1,1))-AVERAGE(OFFSET($H$3,0,0,'Données projet'!$E$11+1,1))</f>
        <v>254.12694970606668</v>
      </c>
      <c r="BJ68" s="62">
        <f t="shared" si="38"/>
        <v>319.62868041131082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13.28091228690799</v>
      </c>
      <c r="BQ68" s="23">
        <f>EXP(-LN(2)/25)*BQ67+(1-EXP(-LN(2)/25))/(LN(2)/25)*Calculateur!BL68*Calculateur!BN68*VLOOKUP('Données projet'!$B$11,Paramètres!$A$1:$I$89,3,0)*0.475*44/12</f>
        <v>8.3143062310771718</v>
      </c>
      <c r="BR68" s="23">
        <f>EXP(-LN(2)/2)*BR67+(1-EXP(-LN(2)/2))/(LN(2)/2)*BL68*BO68*VLOOKUP('Données projet'!$B$11,Paramètres!$A$1:$I$89,3,0)*0.475*44/12</f>
        <v>5.1586530699088057E-7</v>
      </c>
      <c r="BS68" s="24">
        <f t="shared" ref="BS68:BS131" si="63">SUM(BP68:BR68)</f>
        <v>21.595219033850466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16.081428571428571</v>
      </c>
      <c r="N69" s="14">
        <f>IF('Données projet'!$A$36&gt;35,N68+M69-V68,IF(A69&lt;'Données projet'!$A$36,$K$205^A69,IF(A69='Données projet'!$A$36,'Données projet'!$B$36,N68+M69-V68)))</f>
        <v>385.38285714285701</v>
      </c>
      <c r="O69" s="14">
        <f>N69*VLOOKUP('Données projet'!$B$9,Paramètres!$A$1:$I$89,3,0)*VLOOKUP('Données projet'!$B$9,Paramètres!$A$1:$I$89,5,0)</f>
        <v>180.35917714285708</v>
      </c>
      <c r="P69" s="14">
        <f t="shared" ref="P69:P132" si="87">EXP(-1.0587+0.8836*LN(O69)+0.284)</f>
        <v>45.402087189989615</v>
      </c>
      <c r="Q69" s="22">
        <f t="shared" si="54"/>
        <v>393.2008687130413</v>
      </c>
      <c r="R69" s="62">
        <f t="shared" si="55"/>
        <v>686.53420204637462</v>
      </c>
      <c r="S69" s="62">
        <f ca="1">AVERAGE(OFFSET($R$3,0,0,'Données projet'!$E$9+1,1))-AVERAGE(OFFSET($H$3,0,0,'Données projet'!$E$9+1,1))</f>
        <v>228.57322051753096</v>
      </c>
      <c r="T69" s="62">
        <f t="shared" ref="T69:T132" si="88">$T$3</f>
        <v>168.91992124331932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287.69656598881124</v>
      </c>
      <c r="AO69" s="62">
        <f t="shared" ref="AO69:AO132" si="90">$AO$3</f>
        <v>221.9773436301067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2.22789348595541</v>
      </c>
      <c r="AW69" s="23">
        <f>EXP(-LN(2)/2)*AW68+(1-EXP(-LN(2)/2))/(LN(2)/2)*AQ69*AT69*VLOOKUP('Données projet'!$B$10,Paramètres!$A$1:$I$89,3,0)*0.475*44/12</f>
        <v>5.4252992890720049E-5</v>
      </c>
      <c r="AX69" s="23">
        <f t="shared" si="60"/>
        <v>2.2279477389483007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228.2000000000001</v>
      </c>
      <c r="BE69" s="14">
        <f>BD69*VLOOKUP('Données projet'!$B$11,Paramètres!$A$1:$I$89,3,0)*VLOOKUP('Données projet'!$B$11,Paramètres!$A$1:$I$89,5,0)</f>
        <v>199.35552000000013</v>
      </c>
      <c r="BF69" s="14">
        <f t="shared" ref="BF69:BF132" si="91">EXP(-1.0587+0.8836*LN(BE69)+0.284)</f>
        <v>49.602503932783222</v>
      </c>
      <c r="BG69" s="22">
        <f t="shared" si="61"/>
        <v>433.60189168293101</v>
      </c>
      <c r="BH69" s="62">
        <f t="shared" si="62"/>
        <v>726.93522501626433</v>
      </c>
      <c r="BI69" s="62">
        <f ca="1">AVERAGE(OFFSET($BH$3,0,0,'Données projet'!$E$11+1,1))-AVERAGE(OFFSET($H$3,0,0,'Données projet'!$E$11+1,1))</f>
        <v>254.12694970606668</v>
      </c>
      <c r="BJ69" s="62">
        <f t="shared" ref="BJ69:BJ132" si="92">$BJ$3</f>
        <v>319.62868041131082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13.020481697518356</v>
      </c>
      <c r="BQ69" s="23">
        <f>EXP(-LN(2)/25)*BQ68+(1-EXP(-LN(2)/25))/(LN(2)/25)*Calculateur!BL69*Calculateur!BN69*VLOOKUP('Données projet'!$B$11,Paramètres!$A$1:$I$89,3,0)*0.475*44/12</f>
        <v>8.0869510899580046</v>
      </c>
      <c r="BR69" s="23">
        <f>EXP(-LN(2)/2)*BR68+(1-EXP(-LN(2)/2))/(LN(2)/2)*BL69*BO69*VLOOKUP('Données projet'!$B$11,Paramètres!$A$1:$I$89,3,0)*0.475*44/12</f>
        <v>3.6477185675213176E-7</v>
      </c>
      <c r="BS69" s="24">
        <f t="shared" si="63"/>
        <v>21.10743315224822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16.081428571428571</v>
      </c>
      <c r="N70" s="14">
        <f>IF('Données projet'!$A$36&gt;35,N69+M70-V69,IF(A70&lt;'Données projet'!$A$36,$K$205^A70,IF(A70='Données projet'!$A$36,'Données projet'!$B$36,N69+M70-V69)))</f>
        <v>401.46428571428555</v>
      </c>
      <c r="O70" s="14">
        <f>N70*VLOOKUP('Données projet'!$B$9,Paramètres!$A$1:$I$89,3,0)*VLOOKUP('Données projet'!$B$9,Paramètres!$A$1:$I$89,5,0)</f>
        <v>187.88528571428563</v>
      </c>
      <c r="P70" s="14">
        <f t="shared" si="87"/>
        <v>47.072115431776766</v>
      </c>
      <c r="Q70" s="22">
        <f t="shared" si="54"/>
        <v>409.21747366272535</v>
      </c>
      <c r="R70" s="62">
        <f t="shared" si="55"/>
        <v>702.55080699605867</v>
      </c>
      <c r="S70" s="62">
        <f ca="1">AVERAGE(OFFSET($R$3,0,0,'Données projet'!$E$9+1,1))-AVERAGE(OFFSET($H$3,0,0,'Données projet'!$E$9+1,1))</f>
        <v>228.57322051753096</v>
      </c>
      <c r="T70" s="62">
        <f t="shared" si="88"/>
        <v>168.91992124331932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287.69656598881124</v>
      </c>
      <c r="AO70" s="62">
        <f t="shared" si="90"/>
        <v>221.9773436301067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2.1669716214221326</v>
      </c>
      <c r="AW70" s="23">
        <f>EXP(-LN(2)/2)*AW69+(1-EXP(-LN(2)/2))/(LN(2)/2)*AQ70*AT70*VLOOKUP('Données projet'!$B$10,Paramètres!$A$1:$I$89,3,0)*0.475*44/12</f>
        <v>3.83626591726937E-5</v>
      </c>
      <c r="AX70" s="23">
        <f t="shared" si="60"/>
        <v>2.1670099840813055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233.40000000000009</v>
      </c>
      <c r="BE70" s="14">
        <f>BD70*VLOOKUP('Données projet'!$B$11,Paramètres!$A$1:$I$89,3,0)*VLOOKUP('Données projet'!$B$11,Paramètres!$A$1:$I$89,5,0)</f>
        <v>203.8982400000001</v>
      </c>
      <c r="BF70" s="14">
        <f t="shared" si="91"/>
        <v>50.599918019430213</v>
      </c>
      <c r="BG70" s="22">
        <f t="shared" si="61"/>
        <v>443.25095855050785</v>
      </c>
      <c r="BH70" s="62">
        <f t="shared" si="62"/>
        <v>736.58429188384116</v>
      </c>
      <c r="BI70" s="62">
        <f ca="1">AVERAGE(OFFSET($BH$3,0,0,'Données projet'!$E$11+1,1))-AVERAGE(OFFSET($H$3,0,0,'Données projet'!$E$11+1,1))</f>
        <v>254.12694970606668</v>
      </c>
      <c r="BJ70" s="62">
        <f t="shared" si="92"/>
        <v>319.62868041131082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12.765157993139677</v>
      </c>
      <c r="BQ70" s="23">
        <f>EXP(-LN(2)/25)*BQ69+(1-EXP(-LN(2)/25))/(LN(2)/25)*Calculateur!BL70*Calculateur!BN70*VLOOKUP('Données projet'!$B$11,Paramètres!$A$1:$I$89,3,0)*0.475*44/12</f>
        <v>7.8658129871288285</v>
      </c>
      <c r="BR70" s="23">
        <f>EXP(-LN(2)/2)*BR69+(1-EXP(-LN(2)/2))/(LN(2)/2)*BL70*BO70*VLOOKUP('Données projet'!$B$11,Paramètres!$A$1:$I$89,3,0)*0.475*44/12</f>
        <v>2.5793265349544029E-7</v>
      </c>
      <c r="BS70" s="24">
        <f t="shared" si="63"/>
        <v>20.630971238201163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16.081428571428571</v>
      </c>
      <c r="N71" s="14">
        <f>IF('Données projet'!$A$36&gt;35,N70+M71-V70,IF(A71&lt;'Données projet'!$A$36,$K$205^A71,IF(A71='Données projet'!$A$36,'Données projet'!$B$36,N70+M71-V70)))</f>
        <v>417.5457142857141</v>
      </c>
      <c r="O71" s="14">
        <f>N71*VLOOKUP('Données projet'!$B$9,Paramètres!$A$1:$I$89,3,0)*VLOOKUP('Données projet'!$B$9,Paramètres!$A$1:$I$89,5,0)</f>
        <v>195.41139428571421</v>
      </c>
      <c r="P71" s="14">
        <f t="shared" si="87"/>
        <v>48.734372884823564</v>
      </c>
      <c r="Q71" s="22">
        <f t="shared" si="54"/>
        <v>425.22054448868658</v>
      </c>
      <c r="R71" s="62">
        <f t="shared" si="55"/>
        <v>718.5538778220199</v>
      </c>
      <c r="S71" s="62">
        <f ca="1">AVERAGE(OFFSET($R$3,0,0,'Données projet'!$E$9+1,1))-AVERAGE(OFFSET($H$3,0,0,'Données projet'!$E$9+1,1))</f>
        <v>228.57322051753096</v>
      </c>
      <c r="T71" s="62">
        <f t="shared" si="88"/>
        <v>168.91992124331932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287.69656598881124</v>
      </c>
      <c r="AO71" s="62">
        <f t="shared" si="90"/>
        <v>221.9773436301067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2.1077156684782596</v>
      </c>
      <c r="AW71" s="23">
        <f>EXP(-LN(2)/2)*AW70+(1-EXP(-LN(2)/2))/(LN(2)/2)*AQ71*AT71*VLOOKUP('Données projet'!$B$10,Paramètres!$A$1:$I$89,3,0)*0.475*44/12</f>
        <v>2.7126496445360025E-5</v>
      </c>
      <c r="AX71" s="23">
        <f t="shared" si="60"/>
        <v>2.1077427949747052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238.60000000000008</v>
      </c>
      <c r="BE71" s="14">
        <f>BD71*VLOOKUP('Données projet'!$B$11,Paramètres!$A$1:$I$89,3,0)*VLOOKUP('Données projet'!$B$11,Paramètres!$A$1:$I$89,5,0)</f>
        <v>208.4409600000001</v>
      </c>
      <c r="BF71" s="14">
        <f t="shared" si="91"/>
        <v>51.594748621124211</v>
      </c>
      <c r="BG71" s="22">
        <f t="shared" si="61"/>
        <v>452.89552584845813</v>
      </c>
      <c r="BH71" s="62">
        <f t="shared" si="62"/>
        <v>746.22885918179145</v>
      </c>
      <c r="BI71" s="62">
        <f ca="1">AVERAGE(OFFSET($BH$3,0,0,'Données projet'!$E$11+1,1))-AVERAGE(OFFSET($H$3,0,0,'Données projet'!$E$11+1,1))</f>
        <v>254.12694970606668</v>
      </c>
      <c r="BJ71" s="62">
        <f t="shared" si="92"/>
        <v>319.62868041131082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12.514841030871782</v>
      </c>
      <c r="BQ71" s="23">
        <f>EXP(-LN(2)/25)*BQ70+(1-EXP(-LN(2)/25))/(LN(2)/25)*Calculateur!BL71*Calculateur!BN71*VLOOKUP('Données projet'!$B$11,Paramètres!$A$1:$I$89,3,0)*0.475*44/12</f>
        <v>7.6507219173506629</v>
      </c>
      <c r="BR71" s="23">
        <f>EXP(-LN(2)/2)*BR70+(1-EXP(-LN(2)/2))/(LN(2)/2)*BL71*BO71*VLOOKUP('Données projet'!$B$11,Paramètres!$A$1:$I$89,3,0)*0.475*44/12</f>
        <v>1.8238592837606588E-7</v>
      </c>
      <c r="BS71" s="24">
        <f t="shared" si="63"/>
        <v>20.165563130608373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16.081428571428571</v>
      </c>
      <c r="N72" s="14">
        <f>IF('Données projet'!$A$36&gt;35,N71+M72-V71,IF(A72&lt;'Données projet'!$A$36,$K$205^A72,IF(A72='Données projet'!$A$36,'Données projet'!$B$36,N71+M72-V71)))</f>
        <v>433.62714285714264</v>
      </c>
      <c r="O72" s="14">
        <f>N72*VLOOKUP('Données projet'!$B$9,Paramètres!$A$1:$I$89,3,0)*VLOOKUP('Données projet'!$B$9,Paramètres!$A$1:$I$89,5,0)</f>
        <v>202.93750285714276</v>
      </c>
      <c r="P72" s="14">
        <f t="shared" si="87"/>
        <v>50.389193091569247</v>
      </c>
      <c r="Q72" s="22">
        <f t="shared" si="54"/>
        <v>441.21066211067341</v>
      </c>
      <c r="R72" s="62">
        <f t="shared" si="55"/>
        <v>734.54399544400667</v>
      </c>
      <c r="S72" s="62">
        <f ca="1">AVERAGE(OFFSET($R$3,0,0,'Données projet'!$E$9+1,1))-AVERAGE(OFFSET($H$3,0,0,'Données projet'!$E$9+1,1))</f>
        <v>228.57322051753096</v>
      </c>
      <c r="T72" s="62">
        <f t="shared" si="88"/>
        <v>168.91992124331932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287.69656598881124</v>
      </c>
      <c r="AO72" s="62">
        <f t="shared" si="90"/>
        <v>221.9773436301067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2.0500800726837718</v>
      </c>
      <c r="AW72" s="23">
        <f>EXP(-LN(2)/2)*AW71+(1-EXP(-LN(2)/2))/(LN(2)/2)*AQ72*AT72*VLOOKUP('Données projet'!$B$10,Paramètres!$A$1:$I$89,3,0)*0.475*44/12</f>
        <v>1.918132958634685E-5</v>
      </c>
      <c r="AX72" s="23">
        <f t="shared" si="60"/>
        <v>2.0500992540133582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243.80000000000007</v>
      </c>
      <c r="BE72" s="14">
        <f>BD72*VLOOKUP('Données projet'!$B$11,Paramètres!$A$1:$I$89,3,0)*VLOOKUP('Données projet'!$B$11,Paramètres!$A$1:$I$89,5,0)</f>
        <v>212.98368000000008</v>
      </c>
      <c r="BF72" s="14">
        <f t="shared" si="91"/>
        <v>52.587058525970363</v>
      </c>
      <c r="BG72" s="22">
        <f t="shared" si="61"/>
        <v>462.53570293273191</v>
      </c>
      <c r="BH72" s="62">
        <f t="shared" si="62"/>
        <v>755.86903626606522</v>
      </c>
      <c r="BI72" s="62">
        <f ca="1">AVERAGE(OFFSET($BH$3,0,0,'Données projet'!$E$11+1,1))-AVERAGE(OFFSET($H$3,0,0,'Données projet'!$E$11+1,1))</f>
        <v>254.12694970606668</v>
      </c>
      <c r="BJ72" s="62">
        <f t="shared" si="92"/>
        <v>319.62868041131082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12.26943263155569</v>
      </c>
      <c r="BQ72" s="23">
        <f>EXP(-LN(2)/25)*BQ71+(1-EXP(-LN(2)/25))/(LN(2)/25)*Calculateur!BL72*Calculateur!BN72*VLOOKUP('Données projet'!$B$11,Paramètres!$A$1:$I$89,3,0)*0.475*44/12</f>
        <v>7.441512524186729</v>
      </c>
      <c r="BR72" s="23">
        <f>EXP(-LN(2)/2)*BR71+(1-EXP(-LN(2)/2))/(LN(2)/2)*BL72*BO72*VLOOKUP('Données projet'!$B$11,Paramètres!$A$1:$I$89,3,0)*0.475*44/12</f>
        <v>1.2896632674772014E-7</v>
      </c>
      <c r="BS72" s="24">
        <f t="shared" si="63"/>
        <v>19.710945284708746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16.081428571428571</v>
      </c>
      <c r="N73" s="14">
        <f>IF('Données projet'!$A$36&gt;35,N72+M73-V72,IF(A73&lt;'Données projet'!$A$36,$K$205^A73,IF(A73='Données projet'!$A$36,'Données projet'!$B$36,N72+M73-V72)))</f>
        <v>449.70857142857119</v>
      </c>
      <c r="O73" s="14">
        <f>N73*VLOOKUP('Données projet'!$B$9,Paramètres!$A$1:$I$89,3,0)*VLOOKUP('Données projet'!$B$9,Paramètres!$A$1:$I$89,5,0)</f>
        <v>210.46361142857131</v>
      </c>
      <c r="P73" s="14">
        <f t="shared" si="87"/>
        <v>52.036883453344181</v>
      </c>
      <c r="Q73" s="22">
        <f t="shared" si="54"/>
        <v>457.1883619193361</v>
      </c>
      <c r="R73" s="62">
        <f t="shared" si="55"/>
        <v>750.52169525266936</v>
      </c>
      <c r="S73" s="62">
        <f ca="1">AVERAGE(OFFSET($R$3,0,0,'Données projet'!$E$9+1,1))-AVERAGE(OFFSET($H$3,0,0,'Données projet'!$E$9+1,1))</f>
        <v>228.57322051753096</v>
      </c>
      <c r="T73" s="62">
        <f t="shared" si="88"/>
        <v>168.91992124331932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287.69656598881124</v>
      </c>
      <c r="AO73" s="62">
        <f t="shared" si="90"/>
        <v>221.9773436301067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1.9940205252872085</v>
      </c>
      <c r="AW73" s="23">
        <f>EXP(-LN(2)/2)*AW72+(1-EXP(-LN(2)/2))/(LN(2)/2)*AQ73*AT73*VLOOKUP('Données projet'!$B$10,Paramètres!$A$1:$I$89,3,0)*0.475*44/12</f>
        <v>1.3563248222680012E-5</v>
      </c>
      <c r="AX73" s="23">
        <f t="shared" si="60"/>
        <v>1.9940340885354313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249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249.00000000000006</v>
      </c>
      <c r="BE73" s="14">
        <f>BD73*VLOOKUP('Données projet'!$B$11,Paramètres!$A$1:$I$89,3,0)*VLOOKUP('Données projet'!$B$11,Paramètres!$A$1:$I$89,5,0)</f>
        <v>217.52640000000008</v>
      </c>
      <c r="BF73" s="14">
        <f t="shared" si="91"/>
        <v>53.576907690651254</v>
      </c>
      <c r="BG73" s="22">
        <f t="shared" si="61"/>
        <v>472.17159422788433</v>
      </c>
      <c r="BH73" s="62">
        <f t="shared" si="62"/>
        <v>765.50492756121764</v>
      </c>
      <c r="BI73" s="62">
        <f ca="1">AVERAGE(OFFSET($BH$3,0,0,'Données projet'!$E$11+1,1))-AVERAGE(OFFSET($H$3,0,0,'Données projet'!$E$11+1,1))</f>
        <v>254.12694970606668</v>
      </c>
      <c r="BJ73" s="62">
        <f t="shared" si="92"/>
        <v>319.62868041131082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249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12.028836541265843</v>
      </c>
      <c r="BQ73" s="23">
        <f>EXP(-LN(2)/25)*BQ72+(1-EXP(-LN(2)/25))/(LN(2)/25)*Calculateur!BL73*Calculateur!BN73*VLOOKUP('Données projet'!$B$11,Paramètres!$A$1:$I$89,3,0)*0.475*44/12</f>
        <v>7.2380239728807068</v>
      </c>
      <c r="BR73" s="23">
        <f>EXP(-LN(2)/2)*BR72+(1-EXP(-LN(2)/2))/(LN(2)/2)*BL73*BO73*VLOOKUP('Données projet'!$B$11,Paramètres!$A$1:$I$89,3,0)*0.475*44/12</f>
        <v>9.119296418803294E-8</v>
      </c>
      <c r="BS73" s="24">
        <f t="shared" si="63"/>
        <v>19.266860605339513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465.79</v>
      </c>
      <c r="L74" s="13">
        <f>VLOOKUP(A74,'Données projet'!$A$35:$I$55,9,0)</f>
        <v>16.081428571428571</v>
      </c>
      <c r="M74" s="13">
        <f t="array" ref="M74">INDEX(L:L,MIN(IF(ISNUMBER(L74:L270),ROW(L74:L270),"")))</f>
        <v>16.081428571428571</v>
      </c>
      <c r="N74" s="14">
        <f>IF('Données projet'!$A$36&gt;35,N73+M74-V73,IF(A74&lt;'Données projet'!$A$36,$K$205^A74,IF(A74='Données projet'!$A$36,'Données projet'!$B$36,N73+M74-V73)))</f>
        <v>465.78999999999974</v>
      </c>
      <c r="O74" s="14">
        <f>N74*VLOOKUP('Données projet'!$B$9,Paramètres!$A$1:$I$89,3,0)*VLOOKUP('Données projet'!$B$9,Paramètres!$A$1:$I$89,5,0)</f>
        <v>217.98971999999986</v>
      </c>
      <c r="P74" s="14">
        <f t="shared" si="87"/>
        <v>53.677728140063046</v>
      </c>
      <c r="Q74" s="22">
        <f t="shared" si="54"/>
        <v>473.15413884394292</v>
      </c>
      <c r="R74" s="62">
        <f t="shared" si="55"/>
        <v>766.48747217727623</v>
      </c>
      <c r="S74" s="62">
        <f ca="1">AVERAGE(OFFSET($R$3,0,0,'Données projet'!$E$9+1,1))-AVERAGE(OFFSET($H$3,0,0,'Données projet'!$E$9+1,1))</f>
        <v>228.57322051753096</v>
      </c>
      <c r="T74" s="62">
        <f t="shared" si="88"/>
        <v>168.91992124331932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90.8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287.69656598881124</v>
      </c>
      <c r="AO74" s="62">
        <f t="shared" si="90"/>
        <v>221.9773436301067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1.9394939291622477</v>
      </c>
      <c r="AW74" s="23">
        <f>EXP(-LN(2)/2)*AW73+(1-EXP(-LN(2)/2))/(LN(2)/2)*AQ74*AT74*VLOOKUP('Données projet'!$B$10,Paramètres!$A$1:$I$89,3,0)*0.475*44/12</f>
        <v>9.5906647931734249E-6</v>
      </c>
      <c r="AX74" s="23">
        <f t="shared" si="60"/>
        <v>1.9395035198270409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4.9658410716801891E-14</v>
      </c>
      <c r="BF74" s="14">
        <f t="shared" si="91"/>
        <v>8.0934058173791862E-13</v>
      </c>
      <c r="BG74" s="22">
        <f t="shared" si="61"/>
        <v>1.4960899118586383E-12</v>
      </c>
      <c r="BH74" s="62">
        <f t="shared" si="62"/>
        <v>293.33333333333479</v>
      </c>
      <c r="BI74" s="62">
        <f ca="1">AVERAGE(OFFSET($BH$3,0,0,'Données projet'!$E$11+1,1))-AVERAGE(OFFSET($H$3,0,0,'Données projet'!$E$11+1,1))</f>
        <v>254.12694970606668</v>
      </c>
      <c r="BJ74" s="62">
        <f t="shared" si="92"/>
        <v>319.62868041131082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11.792958393557454</v>
      </c>
      <c r="BQ74" s="23">
        <f>EXP(-LN(2)/25)*BQ73+(1-EXP(-LN(2)/25))/(LN(2)/25)*Calculateur!BL74*Calculateur!BN74*VLOOKUP('Données projet'!$B$11,Paramètres!$A$1:$I$89,3,0)*0.475*44/12</f>
        <v>7.0400998267111454</v>
      </c>
      <c r="BR74" s="23">
        <f>EXP(-LN(2)/2)*BR73+(1-EXP(-LN(2)/2))/(LN(2)/2)*BL74*BO74*VLOOKUP('Données projet'!$B$11,Paramètres!$A$1:$I$89,3,0)*0.475*44/12</f>
        <v>6.4483163373860072E-8</v>
      </c>
      <c r="BS74" s="24">
        <f t="shared" si="63"/>
        <v>18.833058284751761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390.06</v>
      </c>
      <c r="L75" s="13">
        <f>VLOOKUP(A75,'Données projet'!$A$35:$I$55,9,0)</f>
        <v>15.069999999999993</v>
      </c>
      <c r="M75" s="13">
        <f t="array" ref="M75">INDEX(L:L,MIN(IF(ISNUMBER(L75:L271),ROW(L75:L271),"")))</f>
        <v>15.069999999999993</v>
      </c>
      <c r="N75" s="14">
        <f>IF('Données projet'!$A$36&gt;35,N74+M75-V74,IF(A75&lt;'Données projet'!$A$36,$K$205^A75,IF(A75='Données projet'!$A$36,'Données projet'!$B$36,N74+M75-V74)))</f>
        <v>390.05999999999972</v>
      </c>
      <c r="O75" s="14">
        <f>N75*VLOOKUP('Données projet'!$B$9,Paramètres!$A$1:$I$89,3,0)*VLOOKUP('Données projet'!$B$9,Paramètres!$A$1:$I$89,5,0)</f>
        <v>182.54807999999989</v>
      </c>
      <c r="P75" s="14">
        <f t="shared" si="87"/>
        <v>45.88862240530873</v>
      </c>
      <c r="Q75" s="22">
        <f t="shared" si="54"/>
        <v>397.86059002257917</v>
      </c>
      <c r="R75" s="62">
        <f t="shared" si="55"/>
        <v>691.19392335591249</v>
      </c>
      <c r="S75" s="62">
        <f ca="1">AVERAGE(OFFSET($R$3,0,0,'Données projet'!$E$9+1,1))-AVERAGE(OFFSET($H$3,0,0,'Données projet'!$E$9+1,1))</f>
        <v>228.57322051753096</v>
      </c>
      <c r="T75" s="62">
        <f t="shared" si="88"/>
        <v>168.91992124331932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287.69656598881124</v>
      </c>
      <c r="AO75" s="62">
        <f t="shared" si="90"/>
        <v>221.9773436301067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1.8864583656757532</v>
      </c>
      <c r="AW75" s="23">
        <f>EXP(-LN(2)/2)*AW74+(1-EXP(-LN(2)/2))/(LN(2)/2)*AQ75*AT75*VLOOKUP('Données projet'!$B$10,Paramètres!$A$1:$I$89,3,0)*0.475*44/12</f>
        <v>6.7816241113400061E-6</v>
      </c>
      <c r="AX75" s="23">
        <f t="shared" si="60"/>
        <v>1.8864651472998646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4.9658410716801891E-14</v>
      </c>
      <c r="BF75" s="14">
        <f t="shared" si="91"/>
        <v>8.0934058173791862E-13</v>
      </c>
      <c r="BG75" s="22">
        <f t="shared" si="61"/>
        <v>1.4960899118586383E-12</v>
      </c>
      <c r="BH75" s="62">
        <f t="shared" si="62"/>
        <v>293.33333333333479</v>
      </c>
      <c r="BI75" s="62">
        <f ca="1">AVERAGE(OFFSET($BH$3,0,0,'Données projet'!$E$11+1,1))-AVERAGE(OFFSET($H$3,0,0,'Données projet'!$E$11+1,1))</f>
        <v>254.12694970606668</v>
      </c>
      <c r="BJ75" s="62">
        <f t="shared" si="92"/>
        <v>319.62868041131082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11.561705672454163</v>
      </c>
      <c r="BQ75" s="23">
        <f>EXP(-LN(2)/25)*BQ74+(1-EXP(-LN(2)/25))/(LN(2)/25)*Calculateur!BL75*Calculateur!BN75*VLOOKUP('Données projet'!$B$11,Paramètres!$A$1:$I$89,3,0)*0.475*44/12</f>
        <v>6.8475879267269697</v>
      </c>
      <c r="BR75" s="23">
        <f>EXP(-LN(2)/2)*BR74+(1-EXP(-LN(2)/2))/(LN(2)/2)*BL75*BO75*VLOOKUP('Données projet'!$B$11,Paramètres!$A$1:$I$89,3,0)*0.475*44/12</f>
        <v>4.559648209401647E-8</v>
      </c>
      <c r="BS75" s="24">
        <f t="shared" si="63"/>
        <v>18.409293644777616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15.121428571428575</v>
      </c>
      <c r="N76" s="14">
        <f>IF('Données projet'!$A$36&gt;35,N75+M76-V75,IF(A76&lt;'Données projet'!$A$36,$K$205^A76,IF(A76='Données projet'!$A$36,'Données projet'!$B$36,N75+M76-V75)))</f>
        <v>405.18142857142828</v>
      </c>
      <c r="O76" s="14">
        <f>N76*VLOOKUP('Données projet'!$B$9,Paramètres!$A$1:$I$89,3,0)*VLOOKUP('Données projet'!$B$9,Paramètres!$A$1:$I$89,5,0)</f>
        <v>189.62490857142842</v>
      </c>
      <c r="P76" s="14">
        <f t="shared" si="87"/>
        <v>47.457015926931383</v>
      </c>
      <c r="Q76" s="22">
        <f t="shared" si="54"/>
        <v>412.91768516797657</v>
      </c>
      <c r="R76" s="62">
        <f t="shared" si="55"/>
        <v>706.25101850130989</v>
      </c>
      <c r="S76" s="62">
        <f ca="1">AVERAGE(OFFSET($R$3,0,0,'Données projet'!$E$9+1,1))-AVERAGE(OFFSET($H$3,0,0,'Données projet'!$E$9+1,1))</f>
        <v>228.57322051753096</v>
      </c>
      <c r="T76" s="62">
        <f t="shared" si="88"/>
        <v>168.91992124331932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287.69656598881124</v>
      </c>
      <c r="AO76" s="62">
        <f t="shared" si="90"/>
        <v>221.9773436301067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1.8348730624618159</v>
      </c>
      <c r="AW76" s="23">
        <f>EXP(-LN(2)/2)*AW75+(1-EXP(-LN(2)/2))/(LN(2)/2)*AQ76*AT76*VLOOKUP('Données projet'!$B$10,Paramètres!$A$1:$I$89,3,0)*0.475*44/12</f>
        <v>4.7953323965867125E-6</v>
      </c>
      <c r="AX76" s="23">
        <f t="shared" si="60"/>
        <v>1.8348778577942124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4.9658410716801891E-14</v>
      </c>
      <c r="BF76" s="14">
        <f t="shared" si="91"/>
        <v>8.0934058173791862E-13</v>
      </c>
      <c r="BG76" s="22">
        <f t="shared" si="61"/>
        <v>1.4960899118586383E-12</v>
      </c>
      <c r="BH76" s="62">
        <f t="shared" si="62"/>
        <v>293.33333333333479</v>
      </c>
      <c r="BI76" s="62">
        <f ca="1">AVERAGE(OFFSET($BH$3,0,0,'Données projet'!$E$11+1,1))-AVERAGE(OFFSET($H$3,0,0,'Données projet'!$E$11+1,1))</f>
        <v>254.12694970606668</v>
      </c>
      <c r="BJ76" s="62">
        <f t="shared" si="92"/>
        <v>319.62868041131082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11.334987676161475</v>
      </c>
      <c r="BQ76" s="23">
        <f>EXP(-LN(2)/25)*BQ75+(1-EXP(-LN(2)/25))/(LN(2)/25)*Calculateur!BL76*Calculateur!BN76*VLOOKUP('Données projet'!$B$11,Paramètres!$A$1:$I$89,3,0)*0.475*44/12</f>
        <v>6.660340274771622</v>
      </c>
      <c r="BR76" s="23">
        <f>EXP(-LN(2)/2)*BR75+(1-EXP(-LN(2)/2))/(LN(2)/2)*BL76*BO76*VLOOKUP('Données projet'!$B$11,Paramètres!$A$1:$I$89,3,0)*0.475*44/12</f>
        <v>3.2241581686930036E-8</v>
      </c>
      <c r="BS76" s="24">
        <f t="shared" si="63"/>
        <v>17.995327983174676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15.121428571428575</v>
      </c>
      <c r="N77" s="14">
        <f>IF('Données projet'!$A$36&gt;35,N76+M77-V76,IF(A77&lt;'Données projet'!$A$36,$K$205^A77,IF(A77='Données projet'!$A$36,'Données projet'!$B$36,N76+M77-V76)))</f>
        <v>420.30285714285685</v>
      </c>
      <c r="O77" s="14">
        <f>N77*VLOOKUP('Données projet'!$B$9,Paramètres!$A$1:$I$89,3,0)*VLOOKUP('Données projet'!$B$9,Paramètres!$A$1:$I$89,5,0)</f>
        <v>196.70173714285701</v>
      </c>
      <c r="P77" s="14">
        <f t="shared" si="87"/>
        <v>49.018609355598009</v>
      </c>
      <c r="Q77" s="22">
        <f t="shared" si="54"/>
        <v>427.96293681814245</v>
      </c>
      <c r="R77" s="62">
        <f t="shared" si="55"/>
        <v>721.29627015147571</v>
      </c>
      <c r="S77" s="62">
        <f ca="1">AVERAGE(OFFSET($R$3,0,0,'Données projet'!$E$9+1,1))-AVERAGE(OFFSET($H$3,0,0,'Données projet'!$E$9+1,1))</f>
        <v>228.57322051753096</v>
      </c>
      <c r="T77" s="62">
        <f t="shared" si="88"/>
        <v>168.91992124331932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287.69656598881124</v>
      </c>
      <c r="AO77" s="62">
        <f t="shared" si="90"/>
        <v>221.9773436301067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1.7846983620770169</v>
      </c>
      <c r="AW77" s="23">
        <f>EXP(-LN(2)/2)*AW76+(1-EXP(-LN(2)/2))/(LN(2)/2)*AQ77*AT77*VLOOKUP('Données projet'!$B$10,Paramètres!$A$1:$I$89,3,0)*0.475*44/12</f>
        <v>3.3908120556700031E-6</v>
      </c>
      <c r="AX77" s="23">
        <f t="shared" si="60"/>
        <v>1.7847017528890725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4.9658410716801891E-14</v>
      </c>
      <c r="BF77" s="14">
        <f t="shared" si="91"/>
        <v>8.0934058173791862E-13</v>
      </c>
      <c r="BG77" s="22">
        <f t="shared" si="61"/>
        <v>1.4960899118586383E-12</v>
      </c>
      <c r="BH77" s="62">
        <f t="shared" si="62"/>
        <v>293.33333333333479</v>
      </c>
      <c r="BI77" s="62">
        <f ca="1">AVERAGE(OFFSET($BH$3,0,0,'Données projet'!$E$11+1,1))-AVERAGE(OFFSET($H$3,0,0,'Données projet'!$E$11+1,1))</f>
        <v>254.12694970606668</v>
      </c>
      <c r="BJ77" s="62">
        <f t="shared" si="92"/>
        <v>319.62868041131082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11.112715481491763</v>
      </c>
      <c r="BQ77" s="23">
        <f>EXP(-LN(2)/25)*BQ76+(1-EXP(-LN(2)/25))/(LN(2)/25)*Calculateur!BL77*Calculateur!BN77*VLOOKUP('Données projet'!$B$11,Paramètres!$A$1:$I$89,3,0)*0.475*44/12</f>
        <v>6.4782129197059195</v>
      </c>
      <c r="BR77" s="23">
        <f>EXP(-LN(2)/2)*BR76+(1-EXP(-LN(2)/2))/(LN(2)/2)*BL77*BO77*VLOOKUP('Données projet'!$B$11,Paramètres!$A$1:$I$89,3,0)*0.475*44/12</f>
        <v>2.2798241047008235E-8</v>
      </c>
      <c r="BS77" s="24">
        <f t="shared" si="63"/>
        <v>17.590928423995923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15.121428571428575</v>
      </c>
      <c r="N78" s="14">
        <f>IF('Données projet'!$A$36&gt;35,N77+M78-V77,IF(A78&lt;'Données projet'!$A$36,$K$205^A78,IF(A78='Données projet'!$A$36,'Données projet'!$B$36,N77+M78-V77)))</f>
        <v>435.42428571428542</v>
      </c>
      <c r="O78" s="14">
        <f>N78*VLOOKUP('Données projet'!$B$9,Paramètres!$A$1:$I$89,3,0)*VLOOKUP('Données projet'!$B$9,Paramètres!$A$1:$I$89,5,0)</f>
        <v>203.77856571428558</v>
      </c>
      <c r="P78" s="14">
        <f t="shared" si="87"/>
        <v>50.57367536717328</v>
      </c>
      <c r="Q78" s="22">
        <f t="shared" si="54"/>
        <v>442.99681988354081</v>
      </c>
      <c r="R78" s="62">
        <f t="shared" si="55"/>
        <v>736.33015321687412</v>
      </c>
      <c r="S78" s="62">
        <f ca="1">AVERAGE(OFFSET($R$3,0,0,'Données projet'!$E$9+1,1))-AVERAGE(OFFSET($H$3,0,0,'Données projet'!$E$9+1,1))</f>
        <v>228.57322051753096</v>
      </c>
      <c r="T78" s="62">
        <f t="shared" si="88"/>
        <v>168.91992124331932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287.69656598881124</v>
      </c>
      <c r="AO78" s="62">
        <f t="shared" si="90"/>
        <v>221.9773436301067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1.735895691512813</v>
      </c>
      <c r="AW78" s="23">
        <f>EXP(-LN(2)/2)*AW77+(1-EXP(-LN(2)/2))/(LN(2)/2)*AQ78*AT78*VLOOKUP('Données projet'!$B$10,Paramètres!$A$1:$I$89,3,0)*0.475*44/12</f>
        <v>2.3976661982933562E-6</v>
      </c>
      <c r="AX78" s="23">
        <f t="shared" si="60"/>
        <v>1.7358980891790112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4.9658410716801891E-14</v>
      </c>
      <c r="BF78" s="14">
        <f t="shared" si="91"/>
        <v>8.0934058173791862E-13</v>
      </c>
      <c r="BG78" s="22">
        <f t="shared" si="61"/>
        <v>1.4960899118586383E-12</v>
      </c>
      <c r="BH78" s="62">
        <f t="shared" si="62"/>
        <v>293.33333333333479</v>
      </c>
      <c r="BI78" s="62">
        <f ca="1">AVERAGE(OFFSET($BH$3,0,0,'Données projet'!$E$11+1,1))-AVERAGE(OFFSET($H$3,0,0,'Données projet'!$E$11+1,1))</f>
        <v>254.12694970606668</v>
      </c>
      <c r="BJ78" s="62">
        <f t="shared" si="92"/>
        <v>319.62868041131082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10.894801908986873</v>
      </c>
      <c r="BQ78" s="23">
        <f>EXP(-LN(2)/25)*BQ77+(1-EXP(-LN(2)/25))/(LN(2)/25)*Calculateur!BL78*Calculateur!BN78*VLOOKUP('Données projet'!$B$11,Paramètres!$A$1:$I$89,3,0)*0.475*44/12</f>
        <v>6.3010658467421496</v>
      </c>
      <c r="BR78" s="23">
        <f>EXP(-LN(2)/2)*BR77+(1-EXP(-LN(2)/2))/(LN(2)/2)*BL78*BO78*VLOOKUP('Données projet'!$B$11,Paramètres!$A$1:$I$89,3,0)*0.475*44/12</f>
        <v>1.6120790843465018E-8</v>
      </c>
      <c r="BS78" s="24">
        <f t="shared" si="63"/>
        <v>17.195867771849812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15.121428571428575</v>
      </c>
      <c r="N79" s="14">
        <f>IF('Données projet'!$A$36&gt;35,N78+M79-V78,IF(A79&lt;'Données projet'!$A$36,$K$205^A79,IF(A79='Données projet'!$A$36,'Données projet'!$B$36,N78+M79-V78)))</f>
        <v>450.54571428571398</v>
      </c>
      <c r="O79" s="14">
        <f>N79*VLOOKUP('Données projet'!$B$9,Paramètres!$A$1:$I$89,3,0)*VLOOKUP('Données projet'!$B$9,Paramètres!$A$1:$I$89,5,0)</f>
        <v>210.85539428571417</v>
      </c>
      <c r="P79" s="14">
        <f t="shared" si="87"/>
        <v>52.122466624482129</v>
      </c>
      <c r="Q79" s="22">
        <f t="shared" si="54"/>
        <v>458.01977441859185</v>
      </c>
      <c r="R79" s="62">
        <f t="shared" si="55"/>
        <v>751.35310775192511</v>
      </c>
      <c r="S79" s="62">
        <f ca="1">AVERAGE(OFFSET($R$3,0,0,'Données projet'!$E$9+1,1))-AVERAGE(OFFSET($H$3,0,0,'Données projet'!$E$9+1,1))</f>
        <v>228.57322051753096</v>
      </c>
      <c r="T79" s="62">
        <f t="shared" si="88"/>
        <v>168.91992124331932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287.69656598881124</v>
      </c>
      <c r="AO79" s="62">
        <f t="shared" si="90"/>
        <v>221.9773436301067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1.688427532541608</v>
      </c>
      <c r="AW79" s="23">
        <f>EXP(-LN(2)/2)*AW78+(1-EXP(-LN(2)/2))/(LN(2)/2)*AQ79*AT79*VLOOKUP('Données projet'!$B$10,Paramètres!$A$1:$I$89,3,0)*0.475*44/12</f>
        <v>1.6954060278350015E-6</v>
      </c>
      <c r="AX79" s="23">
        <f t="shared" si="60"/>
        <v>1.6884292279476358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4.9658410716801891E-14</v>
      </c>
      <c r="BF79" s="14">
        <f t="shared" si="91"/>
        <v>8.0934058173791862E-13</v>
      </c>
      <c r="BG79" s="22">
        <f t="shared" si="61"/>
        <v>1.4960899118586383E-12</v>
      </c>
      <c r="BH79" s="62">
        <f t="shared" si="62"/>
        <v>293.33333333333479</v>
      </c>
      <c r="BI79" s="62">
        <f ca="1">AVERAGE(OFFSET($BH$3,0,0,'Données projet'!$E$11+1,1))-AVERAGE(OFFSET($H$3,0,0,'Données projet'!$E$11+1,1))</f>
        <v>254.12694970606668</v>
      </c>
      <c r="BJ79" s="62">
        <f t="shared" si="92"/>
        <v>319.62868041131082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10.681161488724648</v>
      </c>
      <c r="BQ79" s="23">
        <f>EXP(-LN(2)/25)*BQ78+(1-EXP(-LN(2)/25))/(LN(2)/25)*Calculateur!BL79*Calculateur!BN79*VLOOKUP('Données projet'!$B$11,Paramètres!$A$1:$I$89,3,0)*0.475*44/12</f>
        <v>6.1287628698043344</v>
      </c>
      <c r="BR79" s="23">
        <f>EXP(-LN(2)/2)*BR78+(1-EXP(-LN(2)/2))/(LN(2)/2)*BL79*BO79*VLOOKUP('Données projet'!$B$11,Paramètres!$A$1:$I$89,3,0)*0.475*44/12</f>
        <v>1.1399120523504117E-8</v>
      </c>
      <c r="BS79" s="24">
        <f t="shared" si="63"/>
        <v>16.809924369928101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15.121428571428575</v>
      </c>
      <c r="N80" s="14">
        <f>IF('Données projet'!$A$36&gt;35,N79+M80-V79,IF(A80&lt;'Données projet'!$A$36,$K$205^A80,IF(A80='Données projet'!$A$36,'Données projet'!$B$36,N79+M80-V79)))</f>
        <v>465.66714285714255</v>
      </c>
      <c r="O80" s="14">
        <f>N80*VLOOKUP('Données projet'!$B$9,Paramètres!$A$1:$I$89,3,0)*VLOOKUP('Données projet'!$B$9,Paramètres!$A$1:$I$89,5,0)</f>
        <v>217.9322228571427</v>
      </c>
      <c r="P80" s="14">
        <f t="shared" si="87"/>
        <v>53.665217868077001</v>
      </c>
      <c r="Q80" s="22">
        <f t="shared" si="54"/>
        <v>473.03220926309092</v>
      </c>
      <c r="R80" s="62">
        <f t="shared" si="55"/>
        <v>766.36554259642423</v>
      </c>
      <c r="S80" s="62">
        <f ca="1">AVERAGE(OFFSET($R$3,0,0,'Données projet'!$E$9+1,1))-AVERAGE(OFFSET($H$3,0,0,'Données projet'!$E$9+1,1))</f>
        <v>228.57322051753096</v>
      </c>
      <c r="T80" s="62">
        <f t="shared" si="88"/>
        <v>168.91992124331932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287.69656598881124</v>
      </c>
      <c r="AO80" s="62">
        <f t="shared" si="90"/>
        <v>221.9773436301067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1.6422573928737128</v>
      </c>
      <c r="AW80" s="23">
        <f>EXP(-LN(2)/2)*AW79+(1-EXP(-LN(2)/2))/(LN(2)/2)*AQ80*AT80*VLOOKUP('Données projet'!$B$10,Paramètres!$A$1:$I$89,3,0)*0.475*44/12</f>
        <v>1.1988330991466781E-6</v>
      </c>
      <c r="AX80" s="23">
        <f t="shared" si="60"/>
        <v>1.642258591706812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4.9658410716801891E-14</v>
      </c>
      <c r="BF80" s="14">
        <f t="shared" si="91"/>
        <v>8.0934058173791862E-13</v>
      </c>
      <c r="BG80" s="22">
        <f t="shared" si="61"/>
        <v>1.4960899118586383E-12</v>
      </c>
      <c r="BH80" s="62">
        <f t="shared" si="62"/>
        <v>293.33333333333479</v>
      </c>
      <c r="BI80" s="62">
        <f ca="1">AVERAGE(OFFSET($BH$3,0,0,'Données projet'!$E$11+1,1))-AVERAGE(OFFSET($H$3,0,0,'Données projet'!$E$11+1,1))</f>
        <v>254.12694970606668</v>
      </c>
      <c r="BJ80" s="62">
        <f t="shared" si="92"/>
        <v>319.62868041131082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10.471710426795976</v>
      </c>
      <c r="BQ80" s="23">
        <f>EXP(-LN(2)/25)*BQ79+(1-EXP(-LN(2)/25))/(LN(2)/25)*Calculateur!BL80*Calculateur!BN80*VLOOKUP('Données projet'!$B$11,Paramètres!$A$1:$I$89,3,0)*0.475*44/12</f>
        <v>5.9611715268319028</v>
      </c>
      <c r="BR80" s="23">
        <f>EXP(-LN(2)/2)*BR79+(1-EXP(-LN(2)/2))/(LN(2)/2)*BL80*BO80*VLOOKUP('Données projet'!$B$11,Paramètres!$A$1:$I$89,3,0)*0.475*44/12</f>
        <v>8.060395421732509E-9</v>
      </c>
      <c r="BS80" s="24">
        <f t="shared" si="63"/>
        <v>16.432881961688274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15.121428571428575</v>
      </c>
      <c r="N81" s="14">
        <f>IF('Données projet'!$A$36&gt;35,N80+M81-V80,IF(A81&lt;'Données projet'!$A$36,$K$205^A81,IF(A81='Données projet'!$A$36,'Données projet'!$B$36,N80+M81-V80)))</f>
        <v>480.78857142857112</v>
      </c>
      <c r="O81" s="14">
        <f>N81*VLOOKUP('Données projet'!$B$9,Paramètres!$A$1:$I$89,3,0)*VLOOKUP('Données projet'!$B$9,Paramètres!$A$1:$I$89,5,0)</f>
        <v>225.0090514285713</v>
      </c>
      <c r="P81" s="14">
        <f t="shared" si="87"/>
        <v>55.202147727806029</v>
      </c>
      <c r="Q81" s="22">
        <f t="shared" si="54"/>
        <v>488.03450519735719</v>
      </c>
      <c r="R81" s="62">
        <f t="shared" si="55"/>
        <v>781.36783853069051</v>
      </c>
      <c r="S81" s="62">
        <f ca="1">AVERAGE(OFFSET($R$3,0,0,'Données projet'!$E$9+1,1))-AVERAGE(OFFSET($H$3,0,0,'Données projet'!$E$9+1,1))</f>
        <v>228.57322051753096</v>
      </c>
      <c r="T81" s="62">
        <f t="shared" si="88"/>
        <v>168.91992124331932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287.69656598881124</v>
      </c>
      <c r="AO81" s="62">
        <f t="shared" si="90"/>
        <v>221.9773436301067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1.5973497781030181</v>
      </c>
      <c r="AW81" s="23">
        <f>EXP(-LN(2)/2)*AW80+(1-EXP(-LN(2)/2))/(LN(2)/2)*AQ81*AT81*VLOOKUP('Données projet'!$B$10,Paramètres!$A$1:$I$89,3,0)*0.475*44/12</f>
        <v>8.4770301391750077E-7</v>
      </c>
      <c r="AX81" s="23">
        <f t="shared" si="60"/>
        <v>1.5973506258060322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4.9658410716801891E-14</v>
      </c>
      <c r="BF81" s="14">
        <f t="shared" si="91"/>
        <v>8.0934058173791862E-13</v>
      </c>
      <c r="BG81" s="22">
        <f t="shared" si="61"/>
        <v>1.4960899118586383E-12</v>
      </c>
      <c r="BH81" s="62">
        <f t="shared" si="62"/>
        <v>293.33333333333479</v>
      </c>
      <c r="BI81" s="62">
        <f ca="1">AVERAGE(OFFSET($BH$3,0,0,'Données projet'!$E$11+1,1))-AVERAGE(OFFSET($H$3,0,0,'Données projet'!$E$11+1,1))</f>
        <v>254.12694970606668</v>
      </c>
      <c r="BJ81" s="62">
        <f t="shared" si="92"/>
        <v>319.62868041131082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10.266366572439193</v>
      </c>
      <c r="BQ81" s="23">
        <f>EXP(-LN(2)/25)*BQ80+(1-EXP(-LN(2)/25))/(LN(2)/25)*Calculateur!BL81*Calculateur!BN81*VLOOKUP('Données projet'!$B$11,Paramètres!$A$1:$I$89,3,0)*0.475*44/12</f>
        <v>5.7981629779462986</v>
      </c>
      <c r="BR81" s="23">
        <f>EXP(-LN(2)/2)*BR80+(1-EXP(-LN(2)/2))/(LN(2)/2)*BL81*BO81*VLOOKUP('Données projet'!$B$11,Paramètres!$A$1:$I$89,3,0)*0.475*44/12</f>
        <v>5.6995602617520587E-9</v>
      </c>
      <c r="BS81" s="24">
        <f t="shared" si="63"/>
        <v>16.064529556085052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495.91</v>
      </c>
      <c r="L82" s="13">
        <f>VLOOKUP(A82,'Données projet'!$A$35:$I$55,9,0)</f>
        <v>15.121428571428575</v>
      </c>
      <c r="M82" s="13">
        <f t="array" ref="M82">INDEX(L:L,MIN(IF(ISNUMBER(L82:L278),ROW(L82:L278),"")))</f>
        <v>15.121428571428575</v>
      </c>
      <c r="N82" s="14">
        <f>IF('Données projet'!$A$36&gt;35,N81+M82-V81,IF(A82&lt;'Données projet'!$A$36,$K$205^A82,IF(A82='Données projet'!$A$36,'Données projet'!$B$36,N81+M82-V81)))</f>
        <v>495.90999999999968</v>
      </c>
      <c r="O82" s="14">
        <f>N82*VLOOKUP('Données projet'!$B$9,Paramètres!$A$1:$I$89,3,0)*VLOOKUP('Données projet'!$B$9,Paramètres!$A$1:$I$89,5,0)</f>
        <v>232.08587999999986</v>
      </c>
      <c r="P82" s="14">
        <f t="shared" si="87"/>
        <v>56.733460300074178</v>
      </c>
      <c r="Q82" s="22">
        <f t="shared" si="54"/>
        <v>503.02701768929563</v>
      </c>
      <c r="R82" s="62">
        <f t="shared" si="55"/>
        <v>796.36035102262895</v>
      </c>
      <c r="S82" s="62">
        <f ca="1">AVERAGE(OFFSET($R$3,0,0,'Données projet'!$E$9+1,1))-AVERAGE(OFFSET($H$3,0,0,'Données projet'!$E$9+1,1))</f>
        <v>228.57322051753096</v>
      </c>
      <c r="T82" s="62">
        <f t="shared" si="88"/>
        <v>168.91992124331932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87.99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287.69656598881124</v>
      </c>
      <c r="AO82" s="62">
        <f t="shared" si="90"/>
        <v>221.9773436301067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1.553670164419817</v>
      </c>
      <c r="AW82" s="23">
        <f>EXP(-LN(2)/2)*AW81+(1-EXP(-LN(2)/2))/(LN(2)/2)*AQ82*AT82*VLOOKUP('Données projet'!$B$10,Paramètres!$A$1:$I$89,3,0)*0.475*44/12</f>
        <v>5.9941654957333906E-7</v>
      </c>
      <c r="AX82" s="23">
        <f t="shared" si="60"/>
        <v>1.5536707638363665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4.9658410716801891E-14</v>
      </c>
      <c r="BF82" s="14">
        <f t="shared" si="91"/>
        <v>8.0934058173791862E-13</v>
      </c>
      <c r="BG82" s="22">
        <f t="shared" si="61"/>
        <v>1.4960899118586383E-12</v>
      </c>
      <c r="BH82" s="62">
        <f t="shared" si="62"/>
        <v>293.33333333333479</v>
      </c>
      <c r="BI82" s="62">
        <f ca="1">AVERAGE(OFFSET($BH$3,0,0,'Données projet'!$E$11+1,1))-AVERAGE(OFFSET($H$3,0,0,'Données projet'!$E$11+1,1))</f>
        <v>254.12694970606668</v>
      </c>
      <c r="BJ82" s="62">
        <f t="shared" si="92"/>
        <v>319.62868041131082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10.065049385818961</v>
      </c>
      <c r="BQ82" s="23">
        <f>EXP(-LN(2)/25)*BQ81+(1-EXP(-LN(2)/25))/(LN(2)/25)*Calculateur!BL82*Calculateur!BN82*VLOOKUP('Données projet'!$B$11,Paramètres!$A$1:$I$89,3,0)*0.475*44/12</f>
        <v>5.6396119064022177</v>
      </c>
      <c r="BR82" s="23">
        <f>EXP(-LN(2)/2)*BR81+(1-EXP(-LN(2)/2))/(LN(2)/2)*BL82*BO82*VLOOKUP('Données projet'!$B$11,Paramètres!$A$1:$I$89,3,0)*0.475*44/12</f>
        <v>4.0301977108662545E-9</v>
      </c>
      <c r="BS82" s="24">
        <f t="shared" si="63"/>
        <v>15.704661296251377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422.5</v>
      </c>
      <c r="L83" s="13">
        <f>VLOOKUP(A83,'Données projet'!$A$35:$I$55,9,0)</f>
        <v>14.579999999999984</v>
      </c>
      <c r="M83" s="13">
        <f t="array" ref="M83">INDEX(L:L,MIN(IF(ISNUMBER(L83:L279),ROW(L83:L279),"")))</f>
        <v>14.579999999999984</v>
      </c>
      <c r="N83" s="14">
        <f>IF('Données projet'!$A$36&gt;35,N82+M83-V82,IF(A83&lt;'Données projet'!$A$36,$K$205^A83,IF(A83='Données projet'!$A$36,'Données projet'!$B$36,N82+M83-V82)))</f>
        <v>422.49999999999966</v>
      </c>
      <c r="O83" s="14">
        <f>N83*VLOOKUP('Données projet'!$B$9,Paramètres!$A$1:$I$89,3,0)*VLOOKUP('Données projet'!$B$9,Paramètres!$A$1:$I$89,5,0)</f>
        <v>197.72999999999985</v>
      </c>
      <c r="P83" s="14">
        <f t="shared" si="87"/>
        <v>49.244959487759623</v>
      </c>
      <c r="Q83" s="22">
        <f t="shared" si="54"/>
        <v>430.14805444118105</v>
      </c>
      <c r="R83" s="62">
        <f t="shared" si="55"/>
        <v>723.48138777451436</v>
      </c>
      <c r="S83" s="62">
        <f ca="1">AVERAGE(OFFSET($R$3,0,0,'Données projet'!$E$9+1,1))-AVERAGE(OFFSET($H$3,0,0,'Données projet'!$E$9+1,1))</f>
        <v>228.57322051753096</v>
      </c>
      <c r="T83" s="62">
        <f t="shared" si="88"/>
        <v>168.91992124331932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287.69656598881124</v>
      </c>
      <c r="AO83" s="62">
        <f t="shared" si="90"/>
        <v>221.9773436301067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1.5111849720697941</v>
      </c>
      <c r="AW83" s="23">
        <f>EXP(-LN(2)/2)*AW82+(1-EXP(-LN(2)/2))/(LN(2)/2)*AQ83*AT83*VLOOKUP('Données projet'!$B$10,Paramètres!$A$1:$I$89,3,0)*0.475*44/12</f>
        <v>4.2385150695875038E-7</v>
      </c>
      <c r="AX83" s="23">
        <f t="shared" si="60"/>
        <v>1.5111853959213011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4.9658410716801891E-14</v>
      </c>
      <c r="BF83" s="14">
        <f t="shared" si="91"/>
        <v>8.0934058173791862E-13</v>
      </c>
      <c r="BG83" s="22">
        <f t="shared" si="61"/>
        <v>1.4960899118586383E-12</v>
      </c>
      <c r="BH83" s="62">
        <f t="shared" si="62"/>
        <v>293.33333333333479</v>
      </c>
      <c r="BI83" s="62">
        <f ca="1">AVERAGE(OFFSET($BH$3,0,0,'Données projet'!$E$11+1,1))-AVERAGE(OFFSET($H$3,0,0,'Données projet'!$E$11+1,1))</f>
        <v>254.12694970606668</v>
      </c>
      <c r="BJ83" s="62">
        <f t="shared" si="92"/>
        <v>319.62868041131082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9.8676799064369938</v>
      </c>
      <c r="BQ83" s="23">
        <f>EXP(-LN(2)/25)*BQ82+(1-EXP(-LN(2)/25))/(LN(2)/25)*Calculateur!BL83*Calculateur!BN83*VLOOKUP('Données projet'!$B$11,Paramètres!$A$1:$I$89,3,0)*0.475*44/12</f>
        <v>5.4853964222473488</v>
      </c>
      <c r="BR83" s="23">
        <f>EXP(-LN(2)/2)*BR82+(1-EXP(-LN(2)/2))/(LN(2)/2)*BL83*BO83*VLOOKUP('Données projet'!$B$11,Paramètres!$A$1:$I$89,3,0)*0.475*44/12</f>
        <v>2.8497801308760294E-9</v>
      </c>
      <c r="BS83" s="24">
        <f t="shared" si="63"/>
        <v>15.353076331534123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14.16</v>
      </c>
      <c r="N84" s="14">
        <f>IF('Données projet'!$A$36&gt;35,N83+M84-V83,IF(A84&lt;'Données projet'!$A$36,$K$205^A84,IF(A84='Données projet'!$A$36,'Données projet'!$B$36,N83+M84-V83)))</f>
        <v>436.65999999999968</v>
      </c>
      <c r="O84" s="14">
        <f>N84*VLOOKUP('Données projet'!$B$9,Paramètres!$A$1:$I$89,3,0)*VLOOKUP('Données projet'!$B$9,Paramètres!$A$1:$I$89,5,0)</f>
        <v>204.35687999999985</v>
      </c>
      <c r="P84" s="14">
        <f t="shared" si="87"/>
        <v>50.70047382771854</v>
      </c>
      <c r="Q84" s="22">
        <f t="shared" si="54"/>
        <v>444.22489124994286</v>
      </c>
      <c r="R84" s="62">
        <f t="shared" si="55"/>
        <v>737.55822458327611</v>
      </c>
      <c r="S84" s="62">
        <f ca="1">AVERAGE(OFFSET($R$3,0,0,'Données projet'!$E$9+1,1))-AVERAGE(OFFSET($H$3,0,0,'Données projet'!$E$9+1,1))</f>
        <v>228.57322051753096</v>
      </c>
      <c r="T84" s="62">
        <f t="shared" si="88"/>
        <v>168.91992124331932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287.69656598881124</v>
      </c>
      <c r="AO84" s="62">
        <f t="shared" si="90"/>
        <v>221.9773436301067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1.4698615395387817</v>
      </c>
      <c r="AW84" s="23">
        <f>EXP(-LN(2)/2)*AW83+(1-EXP(-LN(2)/2))/(LN(2)/2)*AQ84*AT84*VLOOKUP('Données projet'!$B$10,Paramètres!$A$1:$I$89,3,0)*0.475*44/12</f>
        <v>2.9970827478666953E-7</v>
      </c>
      <c r="AX84" s="23">
        <f t="shared" si="60"/>
        <v>1.4698618392470566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4.9658410716801891E-14</v>
      </c>
      <c r="BF84" s="14">
        <f t="shared" si="91"/>
        <v>8.0934058173791862E-13</v>
      </c>
      <c r="BG84" s="22">
        <f t="shared" si="61"/>
        <v>1.4960899118586383E-12</v>
      </c>
      <c r="BH84" s="62">
        <f t="shared" si="62"/>
        <v>293.33333333333479</v>
      </c>
      <c r="BI84" s="62">
        <f ca="1">AVERAGE(OFFSET($BH$3,0,0,'Données projet'!$E$11+1,1))-AVERAGE(OFFSET($H$3,0,0,'Données projet'!$E$11+1,1))</f>
        <v>254.12694970606668</v>
      </c>
      <c r="BJ84" s="62">
        <f t="shared" si="92"/>
        <v>319.62868041131082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9.6741807221622107</v>
      </c>
      <c r="BQ84" s="23">
        <f>EXP(-LN(2)/25)*BQ83+(1-EXP(-LN(2)/25))/(LN(2)/25)*Calculateur!BL84*Calculateur!BN84*VLOOKUP('Données projet'!$B$11,Paramètres!$A$1:$I$89,3,0)*0.475*44/12</f>
        <v>5.335397968616534</v>
      </c>
      <c r="BR84" s="23">
        <f>EXP(-LN(2)/2)*BR83+(1-EXP(-LN(2)/2))/(LN(2)/2)*BL84*BO84*VLOOKUP('Données projet'!$B$11,Paramètres!$A$1:$I$89,3,0)*0.475*44/12</f>
        <v>2.0150988554331272E-9</v>
      </c>
      <c r="BS84" s="24">
        <f t="shared" si="63"/>
        <v>15.009578692793845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14.16</v>
      </c>
      <c r="N85" s="14">
        <f>IF('Données projet'!$A$36&gt;35,N84+M85-V84,IF(A85&lt;'Données projet'!$A$36,$K$205^A85,IF(A85='Données projet'!$A$36,'Données projet'!$B$36,N84+M85-V84)))</f>
        <v>450.81999999999971</v>
      </c>
      <c r="O85" s="14">
        <f>N85*VLOOKUP('Données projet'!$B$9,Paramètres!$A$1:$I$89,3,0)*VLOOKUP('Données projet'!$B$9,Paramètres!$A$1:$I$89,5,0)</f>
        <v>210.98375999999985</v>
      </c>
      <c r="P85" s="14">
        <f t="shared" si="87"/>
        <v>52.150503499682415</v>
      </c>
      <c r="Q85" s="22">
        <f t="shared" si="54"/>
        <v>458.29217559527996</v>
      </c>
      <c r="R85" s="62">
        <f t="shared" si="55"/>
        <v>751.62550892861327</v>
      </c>
      <c r="S85" s="62">
        <f ca="1">AVERAGE(OFFSET($R$3,0,0,'Données projet'!$E$9+1,1))-AVERAGE(OFFSET($H$3,0,0,'Données projet'!$E$9+1,1))</f>
        <v>228.57322051753096</v>
      </c>
      <c r="T85" s="62">
        <f t="shared" si="88"/>
        <v>168.91992124331932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287.69656598881124</v>
      </c>
      <c r="AO85" s="62">
        <f t="shared" si="90"/>
        <v>221.9773436301067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1.4296680984434349</v>
      </c>
      <c r="AW85" s="23">
        <f>EXP(-LN(2)/2)*AW84+(1-EXP(-LN(2)/2))/(LN(2)/2)*AQ85*AT85*VLOOKUP('Données projet'!$B$10,Paramètres!$A$1:$I$89,3,0)*0.475*44/12</f>
        <v>2.1192575347937519E-7</v>
      </c>
      <c r="AX85" s="23">
        <f t="shared" si="60"/>
        <v>1.4296683103691883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4.9658410716801891E-14</v>
      </c>
      <c r="BF85" s="14">
        <f t="shared" si="91"/>
        <v>8.0934058173791862E-13</v>
      </c>
      <c r="BG85" s="22">
        <f t="shared" si="61"/>
        <v>1.4960899118586383E-12</v>
      </c>
      <c r="BH85" s="62">
        <f t="shared" si="62"/>
        <v>293.33333333333479</v>
      </c>
      <c r="BI85" s="62">
        <f ca="1">AVERAGE(OFFSET($BH$3,0,0,'Données projet'!$E$11+1,1))-AVERAGE(OFFSET($H$3,0,0,'Données projet'!$E$11+1,1))</f>
        <v>254.12694970606668</v>
      </c>
      <c r="BJ85" s="62">
        <f t="shared" si="92"/>
        <v>319.62868041131082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9.4844759388682078</v>
      </c>
      <c r="BQ85" s="23">
        <f>EXP(-LN(2)/25)*BQ84+(1-EXP(-LN(2)/25))/(LN(2)/25)*Calculateur!BL85*Calculateur!BN85*VLOOKUP('Données projet'!$B$11,Paramètres!$A$1:$I$89,3,0)*0.475*44/12</f>
        <v>5.1895012305883297</v>
      </c>
      <c r="BR85" s="23">
        <f>EXP(-LN(2)/2)*BR84+(1-EXP(-LN(2)/2))/(LN(2)/2)*BL85*BO85*VLOOKUP('Données projet'!$B$11,Paramètres!$A$1:$I$89,3,0)*0.475*44/12</f>
        <v>1.4248900654380147E-9</v>
      </c>
      <c r="BS85" s="24">
        <f t="shared" si="63"/>
        <v>14.673977170881429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14.16</v>
      </c>
      <c r="N86" s="14">
        <f>IF('Données projet'!$A$36&gt;35,N85+M86-V85,IF(A86&lt;'Données projet'!$A$36,$K$205^A86,IF(A86='Données projet'!$A$36,'Données projet'!$B$36,N85+M86-V85)))</f>
        <v>464.97999999999973</v>
      </c>
      <c r="O86" s="14">
        <f>N86*VLOOKUP('Données projet'!$B$9,Paramètres!$A$1:$I$89,3,0)*VLOOKUP('Données projet'!$B$9,Paramètres!$A$1:$I$89,5,0)</f>
        <v>217.61063999999988</v>
      </c>
      <c r="P86" s="14">
        <f t="shared" si="87"/>
        <v>53.595240539151249</v>
      </c>
      <c r="Q86" s="22">
        <f t="shared" si="54"/>
        <v>472.35024193902149</v>
      </c>
      <c r="R86" s="62">
        <f t="shared" si="55"/>
        <v>765.6835752723548</v>
      </c>
      <c r="S86" s="62">
        <f ca="1">AVERAGE(OFFSET($R$3,0,0,'Données projet'!$E$9+1,1))-AVERAGE(OFFSET($H$3,0,0,'Données projet'!$E$9+1,1))</f>
        <v>228.57322051753096</v>
      </c>
      <c r="T86" s="62">
        <f t="shared" si="88"/>
        <v>168.91992124331932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287.69656598881124</v>
      </c>
      <c r="AO86" s="62">
        <f t="shared" si="90"/>
        <v>221.9773436301067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1.3905737491085215</v>
      </c>
      <c r="AW86" s="23">
        <f>EXP(-LN(2)/2)*AW85+(1-EXP(-LN(2)/2))/(LN(2)/2)*AQ86*AT86*VLOOKUP('Données projet'!$B$10,Paramètres!$A$1:$I$89,3,0)*0.475*44/12</f>
        <v>1.4985413739333476E-7</v>
      </c>
      <c r="AX86" s="23">
        <f t="shared" si="60"/>
        <v>1.3905738989626588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4.9658410716801891E-14</v>
      </c>
      <c r="BF86" s="14">
        <f t="shared" si="91"/>
        <v>8.0934058173791862E-13</v>
      </c>
      <c r="BG86" s="22">
        <f t="shared" si="61"/>
        <v>1.4960899118586383E-12</v>
      </c>
      <c r="BH86" s="62">
        <f t="shared" si="62"/>
        <v>293.33333333333479</v>
      </c>
      <c r="BI86" s="62">
        <f ca="1">AVERAGE(OFFSET($BH$3,0,0,'Données projet'!$E$11+1,1))-AVERAGE(OFFSET($H$3,0,0,'Données projet'!$E$11+1,1))</f>
        <v>254.12694970606668</v>
      </c>
      <c r="BJ86" s="62">
        <f t="shared" si="92"/>
        <v>319.62868041131082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9.2984911506661074</v>
      </c>
      <c r="BQ86" s="23">
        <f>EXP(-LN(2)/25)*BQ85+(1-EXP(-LN(2)/25))/(LN(2)/25)*Calculateur!BL86*Calculateur!BN86*VLOOKUP('Données projet'!$B$11,Paramètres!$A$1:$I$89,3,0)*0.475*44/12</f>
        <v>5.0475940465338827</v>
      </c>
      <c r="BR86" s="23">
        <f>EXP(-LN(2)/2)*BR85+(1-EXP(-LN(2)/2))/(LN(2)/2)*BL86*BO86*VLOOKUP('Données projet'!$B$11,Paramètres!$A$1:$I$89,3,0)*0.475*44/12</f>
        <v>1.0075494277165636E-9</v>
      </c>
      <c r="BS86" s="24">
        <f t="shared" si="63"/>
        <v>14.34608519820754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14.16</v>
      </c>
      <c r="N87" s="14">
        <f>IF('Données projet'!$A$36&gt;35,N86+M87-V86,IF(A87&lt;'Données projet'!$A$36,$K$205^A87,IF(A87='Données projet'!$A$36,'Données projet'!$B$36,N86+M87-V86)))</f>
        <v>479.13999999999976</v>
      </c>
      <c r="O87" s="14">
        <f>N87*VLOOKUP('Données projet'!$B$9,Paramètres!$A$1:$I$89,3,0)*VLOOKUP('Données projet'!$B$9,Paramètres!$A$1:$I$89,5,0)</f>
        <v>224.23751999999988</v>
      </c>
      <c r="P87" s="14">
        <f t="shared" si="87"/>
        <v>55.034864620946642</v>
      </c>
      <c r="Q87" s="22">
        <f t="shared" si="54"/>
        <v>486.39940321481521</v>
      </c>
      <c r="R87" s="62">
        <f t="shared" si="55"/>
        <v>779.73273654814852</v>
      </c>
      <c r="S87" s="62">
        <f ca="1">AVERAGE(OFFSET($R$3,0,0,'Données projet'!$E$9+1,1))-AVERAGE(OFFSET($H$3,0,0,'Données projet'!$E$9+1,1))</f>
        <v>228.57322051753096</v>
      </c>
      <c r="T87" s="62">
        <f t="shared" si="88"/>
        <v>168.91992124331932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287.69656598881124</v>
      </c>
      <c r="AO87" s="62">
        <f t="shared" si="90"/>
        <v>221.9773436301067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1.3525484368120537</v>
      </c>
      <c r="AW87" s="23">
        <f>EXP(-LN(2)/2)*AW86+(1-EXP(-LN(2)/2))/(LN(2)/2)*AQ87*AT87*VLOOKUP('Données projet'!$B$10,Paramètres!$A$1:$I$89,3,0)*0.475*44/12</f>
        <v>1.059628767396876E-7</v>
      </c>
      <c r="AX87" s="23">
        <f t="shared" si="60"/>
        <v>1.3525485427749304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4.9658410716801891E-14</v>
      </c>
      <c r="BF87" s="14">
        <f t="shared" si="91"/>
        <v>8.0934058173791862E-13</v>
      </c>
      <c r="BG87" s="22">
        <f t="shared" si="61"/>
        <v>1.4960899118586383E-12</v>
      </c>
      <c r="BH87" s="62">
        <f t="shared" si="62"/>
        <v>293.33333333333479</v>
      </c>
      <c r="BI87" s="62">
        <f ca="1">AVERAGE(OFFSET($BH$3,0,0,'Données projet'!$E$11+1,1))-AVERAGE(OFFSET($H$3,0,0,'Données projet'!$E$11+1,1))</f>
        <v>254.12694970606668</v>
      </c>
      <c r="BJ87" s="62">
        <f t="shared" si="92"/>
        <v>319.62868041131082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9.1161534107211306</v>
      </c>
      <c r="BQ87" s="23">
        <f>EXP(-LN(2)/25)*BQ86+(1-EXP(-LN(2)/25))/(LN(2)/25)*Calculateur!BL87*Calculateur!BN87*VLOOKUP('Données projet'!$B$11,Paramètres!$A$1:$I$89,3,0)*0.475*44/12</f>
        <v>4.9095673218899796</v>
      </c>
      <c r="BR87" s="23">
        <f>EXP(-LN(2)/2)*BR86+(1-EXP(-LN(2)/2))/(LN(2)/2)*BL87*BO87*VLOOKUP('Données projet'!$B$11,Paramètres!$A$1:$I$89,3,0)*0.475*44/12</f>
        <v>7.1244503271900734E-10</v>
      </c>
      <c r="BS87" s="24">
        <f t="shared" si="63"/>
        <v>14.025720733323555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14.16</v>
      </c>
      <c r="N88" s="14">
        <f>IF('Données projet'!$A$36&gt;35,N87+M88-V87,IF(A88&lt;'Données projet'!$A$36,$K$205^A88,IF(A88='Données projet'!$A$36,'Données projet'!$B$36,N87+M88-V87)))</f>
        <v>493.29999999999978</v>
      </c>
      <c r="O88" s="14">
        <f>N88*VLOOKUP('Données projet'!$B$9,Paramètres!$A$1:$I$89,3,0)*VLOOKUP('Données projet'!$B$9,Paramètres!$A$1:$I$89,5,0)</f>
        <v>230.86439999999988</v>
      </c>
      <c r="P88" s="14">
        <f t="shared" si="87"/>
        <v>56.469544196332308</v>
      </c>
      <c r="Q88" s="22">
        <f t="shared" si="54"/>
        <v>500.43995280861191</v>
      </c>
      <c r="R88" s="62">
        <f t="shared" si="55"/>
        <v>793.77328614194516</v>
      </c>
      <c r="S88" s="62">
        <f ca="1">AVERAGE(OFFSET($R$3,0,0,'Données projet'!$E$9+1,1))-AVERAGE(OFFSET($H$3,0,0,'Données projet'!$E$9+1,1))</f>
        <v>228.57322051753096</v>
      </c>
      <c r="T88" s="62">
        <f t="shared" si="88"/>
        <v>168.91992124331932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287.69656598881124</v>
      </c>
      <c r="AO88" s="62">
        <f t="shared" si="90"/>
        <v>221.9773436301067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1.315562928679997</v>
      </c>
      <c r="AW88" s="23">
        <f>EXP(-LN(2)/2)*AW87+(1-EXP(-LN(2)/2))/(LN(2)/2)*AQ88*AT88*VLOOKUP('Données projet'!$B$10,Paramètres!$A$1:$I$89,3,0)*0.475*44/12</f>
        <v>7.4927068696667382E-8</v>
      </c>
      <c r="AX88" s="23">
        <f t="shared" si="60"/>
        <v>1.3155630036070658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4.9658410716801891E-14</v>
      </c>
      <c r="BF88" s="14">
        <f t="shared" si="91"/>
        <v>8.0934058173791862E-13</v>
      </c>
      <c r="BG88" s="22">
        <f t="shared" si="61"/>
        <v>1.4960899118586383E-12</v>
      </c>
      <c r="BH88" s="62">
        <f t="shared" si="62"/>
        <v>293.33333333333479</v>
      </c>
      <c r="BI88" s="62">
        <f ca="1">AVERAGE(OFFSET($BH$3,0,0,'Données projet'!$E$11+1,1))-AVERAGE(OFFSET($H$3,0,0,'Données projet'!$E$11+1,1))</f>
        <v>254.12694970606668</v>
      </c>
      <c r="BJ88" s="62">
        <f t="shared" si="92"/>
        <v>319.62868041131082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8.9373912026414359</v>
      </c>
      <c r="BQ88" s="23">
        <f>EXP(-LN(2)/25)*BQ87+(1-EXP(-LN(2)/25))/(LN(2)/25)*Calculateur!BL88*Calculateur!BN88*VLOOKUP('Données projet'!$B$11,Paramètres!$A$1:$I$89,3,0)*0.475*44/12</f>
        <v>4.7753149452899732</v>
      </c>
      <c r="BR88" s="23">
        <f>EXP(-LN(2)/2)*BR87+(1-EXP(-LN(2)/2))/(LN(2)/2)*BL88*BO88*VLOOKUP('Données projet'!$B$11,Paramètres!$A$1:$I$89,3,0)*0.475*44/12</f>
        <v>5.0377471385828181E-10</v>
      </c>
      <c r="BS88" s="24">
        <f t="shared" si="63"/>
        <v>13.712706148435185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14.16</v>
      </c>
      <c r="N89" s="14">
        <f>IF('Données projet'!$A$36&gt;35,N88+M89-V88,IF(A89&lt;'Données projet'!$A$36,$K$205^A89,IF(A89='Données projet'!$A$36,'Données projet'!$B$36,N88+M89-V88)))</f>
        <v>507.45999999999981</v>
      </c>
      <c r="O89" s="14">
        <f>N89*VLOOKUP('Données projet'!$B$9,Paramètres!$A$1:$I$89,3,0)*VLOOKUP('Données projet'!$B$9,Paramètres!$A$1:$I$89,5,0)</f>
        <v>237.49127999999993</v>
      </c>
      <c r="P89" s="14">
        <f t="shared" si="87"/>
        <v>57.899437495902355</v>
      </c>
      <c r="Q89" s="22">
        <f t="shared" si="54"/>
        <v>514.47216630536309</v>
      </c>
      <c r="R89" s="62">
        <f t="shared" si="55"/>
        <v>807.80549963869635</v>
      </c>
      <c r="S89" s="62">
        <f ca="1">AVERAGE(OFFSET($R$3,0,0,'Données projet'!$E$9+1,1))-AVERAGE(OFFSET($H$3,0,0,'Données projet'!$E$9+1,1))</f>
        <v>228.57322051753096</v>
      </c>
      <c r="T89" s="62">
        <f t="shared" si="88"/>
        <v>168.91992124331932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287.69656598881124</v>
      </c>
      <c r="AO89" s="62">
        <f t="shared" si="90"/>
        <v>221.9773436301067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1.2795887912127948</v>
      </c>
      <c r="AW89" s="23">
        <f>EXP(-LN(2)/2)*AW88+(1-EXP(-LN(2)/2))/(LN(2)/2)*AQ89*AT89*VLOOKUP('Données projet'!$B$10,Paramètres!$A$1:$I$89,3,0)*0.475*44/12</f>
        <v>5.2981438369843798E-8</v>
      </c>
      <c r="AX89" s="23">
        <f t="shared" si="60"/>
        <v>1.2795888441942331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4.9658410716801891E-14</v>
      </c>
      <c r="BF89" s="14">
        <f t="shared" si="91"/>
        <v>8.0934058173791862E-13</v>
      </c>
      <c r="BG89" s="22">
        <f t="shared" si="61"/>
        <v>1.4960899118586383E-12</v>
      </c>
      <c r="BH89" s="62">
        <f t="shared" si="62"/>
        <v>293.33333333333479</v>
      </c>
      <c r="BI89" s="62">
        <f ca="1">AVERAGE(OFFSET($BH$3,0,0,'Données projet'!$E$11+1,1))-AVERAGE(OFFSET($H$3,0,0,'Données projet'!$E$11+1,1))</f>
        <v>254.12694970606668</v>
      </c>
      <c r="BJ89" s="62">
        <f t="shared" si="92"/>
        <v>319.62868041131082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8.7621344124280025</v>
      </c>
      <c r="BQ89" s="23">
        <f>EXP(-LN(2)/25)*BQ88+(1-EXP(-LN(2)/25))/(LN(2)/25)*Calculateur!BL89*Calculateur!BN89*VLOOKUP('Données projet'!$B$11,Paramètres!$A$1:$I$89,3,0)*0.475*44/12</f>
        <v>4.64473370698812</v>
      </c>
      <c r="BR89" s="23">
        <f>EXP(-LN(2)/2)*BR88+(1-EXP(-LN(2)/2))/(LN(2)/2)*BL89*BO89*VLOOKUP('Données projet'!$B$11,Paramètres!$A$1:$I$89,3,0)*0.475*44/12</f>
        <v>3.5622251635950367E-10</v>
      </c>
      <c r="BS89" s="24">
        <f t="shared" si="63"/>
        <v>13.406868119772344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521.62</v>
      </c>
      <c r="L90" s="13">
        <f>VLOOKUP(A90,'Données projet'!$A$35:$I$55,9,0)</f>
        <v>14.16</v>
      </c>
      <c r="M90" s="13">
        <f t="array" ref="M90">INDEX(L:L,MIN(IF(ISNUMBER(L90:L286),ROW(L90:L286),"")))</f>
        <v>14.16</v>
      </c>
      <c r="N90" s="14">
        <f>IF('Données projet'!$A$36&gt;35,N89+M90-V89,IF(A90&lt;'Données projet'!$A$36,$K$205^A90,IF(A90='Données projet'!$A$36,'Données projet'!$B$36,N89+M90-V89)))</f>
        <v>521.61999999999978</v>
      </c>
      <c r="O90" s="14">
        <f>N90*VLOOKUP('Données projet'!$B$9,Paramètres!$A$1:$I$89,3,0)*VLOOKUP('Données projet'!$B$9,Paramètres!$A$1:$I$89,5,0)</f>
        <v>244.11815999999988</v>
      </c>
      <c r="P90" s="14">
        <f t="shared" si="87"/>
        <v>59.324693417385667</v>
      </c>
      <c r="Q90" s="22">
        <f t="shared" si="54"/>
        <v>528.49630303527977</v>
      </c>
      <c r="R90" s="62">
        <f t="shared" si="55"/>
        <v>821.82963636861314</v>
      </c>
      <c r="S90" s="62">
        <f ca="1">AVERAGE(OFFSET($R$3,0,0,'Données projet'!$E$9+1,1))-AVERAGE(OFFSET($H$3,0,0,'Données projet'!$E$9+1,1))</f>
        <v>228.57322051753096</v>
      </c>
      <c r="T90" s="62">
        <f t="shared" si="88"/>
        <v>168.91992124331932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88.62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287.69656598881124</v>
      </c>
      <c r="AO90" s="62">
        <f t="shared" si="90"/>
        <v>221.9773436301067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1.244598368426431</v>
      </c>
      <c r="AW90" s="23">
        <f>EXP(-LN(2)/2)*AW89+(1-EXP(-LN(2)/2))/(LN(2)/2)*AQ90*AT90*VLOOKUP('Données projet'!$B$10,Paramètres!$A$1:$I$89,3,0)*0.475*44/12</f>
        <v>3.7463534348333691E-8</v>
      </c>
      <c r="AX90" s="23">
        <f t="shared" si="60"/>
        <v>1.2445984058899653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4.9658410716801891E-14</v>
      </c>
      <c r="BF90" s="14">
        <f t="shared" si="91"/>
        <v>8.0934058173791862E-13</v>
      </c>
      <c r="BG90" s="22">
        <f t="shared" si="61"/>
        <v>1.4960899118586383E-12</v>
      </c>
      <c r="BH90" s="62">
        <f t="shared" si="62"/>
        <v>293.33333333333479</v>
      </c>
      <c r="BI90" s="62">
        <f ca="1">AVERAGE(OFFSET($BH$3,0,0,'Données projet'!$E$11+1,1))-AVERAGE(OFFSET($H$3,0,0,'Données projet'!$E$11+1,1))</f>
        <v>254.12694970606668</v>
      </c>
      <c r="BJ90" s="62">
        <f t="shared" si="92"/>
        <v>319.62868041131082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8.5903143009745673</v>
      </c>
      <c r="BQ90" s="23">
        <f>EXP(-LN(2)/25)*BQ89+(1-EXP(-LN(2)/25))/(LN(2)/25)*Calculateur!BL90*Calculateur!BN90*VLOOKUP('Données projet'!$B$11,Paramètres!$A$1:$I$89,3,0)*0.475*44/12</f>
        <v>4.5177232195145995</v>
      </c>
      <c r="BR90" s="23">
        <f>EXP(-LN(2)/2)*BR89+(1-EXP(-LN(2)/2))/(LN(2)/2)*BL90*BO90*VLOOKUP('Données projet'!$B$11,Paramètres!$A$1:$I$89,3,0)*0.475*44/12</f>
        <v>2.5188735692914091E-10</v>
      </c>
      <c r="BS90" s="24">
        <f t="shared" si="63"/>
        <v>13.108037520741053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446.67</v>
      </c>
      <c r="L91" s="13">
        <f>VLOOKUP(A91,'Données projet'!$A$35:$I$55,9,0)</f>
        <v>13.670000000000016</v>
      </c>
      <c r="M91" s="13">
        <f t="array" ref="M91">INDEX(L:L,MIN(IF(ISNUMBER(L91:L287),ROW(L91:L287),"")))</f>
        <v>13.670000000000016</v>
      </c>
      <c r="N91" s="14">
        <f>IF('Données projet'!$A$36&gt;35,N90+M91-V90,IF(A91&lt;'Données projet'!$A$36,$K$205^A91,IF(A91='Données projet'!$A$36,'Données projet'!$B$36,N90+M91-V90)))</f>
        <v>446.66999999999973</v>
      </c>
      <c r="O91" s="14">
        <f>N91*VLOOKUP('Données projet'!$B$9,Paramètres!$A$1:$I$89,3,0)*VLOOKUP('Données projet'!$B$9,Paramètres!$A$1:$I$89,5,0)</f>
        <v>209.04155999999989</v>
      </c>
      <c r="P91" s="14">
        <f t="shared" si="87"/>
        <v>51.72608671626201</v>
      </c>
      <c r="Q91" s="22">
        <f t="shared" si="54"/>
        <v>454.17031803082273</v>
      </c>
      <c r="R91" s="62">
        <f t="shared" si="55"/>
        <v>747.50365136415598</v>
      </c>
      <c r="S91" s="62">
        <f ca="1">AVERAGE(OFFSET($R$3,0,0,'Données projet'!$E$9+1,1))-AVERAGE(OFFSET($H$3,0,0,'Données projet'!$E$9+1,1))</f>
        <v>228.57322051753096</v>
      </c>
      <c r="T91" s="62">
        <f t="shared" si="88"/>
        <v>168.91992124331932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287.69656598881124</v>
      </c>
      <c r="AO91" s="62">
        <f t="shared" si="90"/>
        <v>221.9773436301067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1.2105647605912266</v>
      </c>
      <c r="AW91" s="23">
        <f>EXP(-LN(2)/2)*AW90+(1-EXP(-LN(2)/2))/(LN(2)/2)*AQ91*AT91*VLOOKUP('Données projet'!$B$10,Paramètres!$A$1:$I$89,3,0)*0.475*44/12</f>
        <v>2.6490719184921899E-8</v>
      </c>
      <c r="AX91" s="23">
        <f t="shared" si="60"/>
        <v>1.2105647870819458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4.9658410716801891E-14</v>
      </c>
      <c r="BF91" s="14">
        <f t="shared" si="91"/>
        <v>8.0934058173791862E-13</v>
      </c>
      <c r="BG91" s="22">
        <f t="shared" si="61"/>
        <v>1.4960899118586383E-12</v>
      </c>
      <c r="BH91" s="62">
        <f t="shared" si="62"/>
        <v>293.33333333333479</v>
      </c>
      <c r="BI91" s="62">
        <f ca="1">AVERAGE(OFFSET($BH$3,0,0,'Données projet'!$E$11+1,1))-AVERAGE(OFFSET($H$3,0,0,'Données projet'!$E$11+1,1))</f>
        <v>254.12694970606668</v>
      </c>
      <c r="BJ91" s="62">
        <f t="shared" si="92"/>
        <v>319.62868041131082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8.4218634771068146</v>
      </c>
      <c r="BQ91" s="23">
        <f>EXP(-LN(2)/25)*BQ90+(1-EXP(-LN(2)/25))/(LN(2)/25)*Calculateur!BL91*Calculateur!BN91*VLOOKUP('Données projet'!$B$11,Paramètres!$A$1:$I$89,3,0)*0.475*44/12</f>
        <v>4.3941858405002341</v>
      </c>
      <c r="BR91" s="23">
        <f>EXP(-LN(2)/2)*BR90+(1-EXP(-LN(2)/2))/(LN(2)/2)*BL91*BO91*VLOOKUP('Données projet'!$B$11,Paramètres!$A$1:$I$89,3,0)*0.475*44/12</f>
        <v>1.7811125817975184E-10</v>
      </c>
      <c r="BS91" s="24">
        <f t="shared" si="63"/>
        <v>12.816049317785161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13.046666666666672</v>
      </c>
      <c r="N92" s="14">
        <f>IF('Données projet'!$A$36&gt;35,N91+M92-V91,IF(A92&lt;'Données projet'!$A$36,$K$205^A92,IF(A92='Données projet'!$A$36,'Données projet'!$B$36,N91+M92-V91)))</f>
        <v>459.71666666666641</v>
      </c>
      <c r="O92" s="14">
        <f>N92*VLOOKUP('Données projet'!$B$9,Paramètres!$A$1:$I$89,3,0)*VLOOKUP('Données projet'!$B$9,Paramètres!$A$1:$I$89,5,0)</f>
        <v>215.14739999999989</v>
      </c>
      <c r="P92" s="14">
        <f t="shared" si="87"/>
        <v>53.058831902483895</v>
      </c>
      <c r="Q92" s="22">
        <f t="shared" si="54"/>
        <v>467.12585389682596</v>
      </c>
      <c r="R92" s="62">
        <f t="shared" si="55"/>
        <v>760.45918723015927</v>
      </c>
      <c r="S92" s="62">
        <f ca="1">AVERAGE(OFFSET($R$3,0,0,'Données projet'!$E$9+1,1))-AVERAGE(OFFSET($H$3,0,0,'Données projet'!$E$9+1,1))</f>
        <v>228.57322051753096</v>
      </c>
      <c r="T92" s="62">
        <f t="shared" si="88"/>
        <v>168.91992124331932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287.69656598881124</v>
      </c>
      <c r="AO92" s="62">
        <f t="shared" si="90"/>
        <v>221.9773436301067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1.1774618035520257</v>
      </c>
      <c r="AW92" s="23">
        <f>EXP(-LN(2)/2)*AW91+(1-EXP(-LN(2)/2))/(LN(2)/2)*AQ92*AT92*VLOOKUP('Données projet'!$B$10,Paramètres!$A$1:$I$89,3,0)*0.475*44/12</f>
        <v>1.8731767174166846E-8</v>
      </c>
      <c r="AX92" s="23">
        <f t="shared" si="60"/>
        <v>1.1774618222837929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4.9658410716801891E-14</v>
      </c>
      <c r="BF92" s="14">
        <f t="shared" si="91"/>
        <v>8.0934058173791862E-13</v>
      </c>
      <c r="BG92" s="22">
        <f t="shared" si="61"/>
        <v>1.4960899118586383E-12</v>
      </c>
      <c r="BH92" s="62">
        <f t="shared" si="62"/>
        <v>293.33333333333479</v>
      </c>
      <c r="BI92" s="62">
        <f ca="1">AVERAGE(OFFSET($BH$3,0,0,'Données projet'!$E$11+1,1))-AVERAGE(OFFSET($H$3,0,0,'Données projet'!$E$11+1,1))</f>
        <v>254.12694970606668</v>
      </c>
      <c r="BJ92" s="62">
        <f t="shared" si="92"/>
        <v>319.62868041131082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8.2567158711502504</v>
      </c>
      <c r="BQ92" s="23">
        <f>EXP(-LN(2)/25)*BQ91+(1-EXP(-LN(2)/25))/(LN(2)/25)*Calculateur!BL92*Calculateur!BN92*VLOOKUP('Données projet'!$B$11,Paramètres!$A$1:$I$89,3,0)*0.475*44/12</f>
        <v>4.2740265976115648</v>
      </c>
      <c r="BR92" s="23">
        <f>EXP(-LN(2)/2)*BR91+(1-EXP(-LN(2)/2))/(LN(2)/2)*BL92*BO92*VLOOKUP('Données projet'!$B$11,Paramètres!$A$1:$I$89,3,0)*0.475*44/12</f>
        <v>1.2594367846457045E-10</v>
      </c>
      <c r="BS92" s="24">
        <f t="shared" si="63"/>
        <v>12.530742468887759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13.046666666666672</v>
      </c>
      <c r="N93" s="14">
        <f>IF('Données projet'!$A$36&gt;35,N92+M93-V92,IF(A93&lt;'Données projet'!$A$36,$K$205^A93,IF(A93='Données projet'!$A$36,'Données projet'!$B$36,N92+M93-V92)))</f>
        <v>472.76333333333309</v>
      </c>
      <c r="O93" s="14">
        <f>N93*VLOOKUP('Données projet'!$B$9,Paramètres!$A$1:$I$89,3,0)*VLOOKUP('Données projet'!$B$9,Paramètres!$A$1:$I$89,5,0)</f>
        <v>221.25323999999989</v>
      </c>
      <c r="P93" s="14">
        <f t="shared" si="87"/>
        <v>54.387181127035049</v>
      </c>
      <c r="Q93" s="22">
        <f t="shared" si="54"/>
        <v>480.07373346291911</v>
      </c>
      <c r="R93" s="62">
        <f t="shared" si="55"/>
        <v>773.40706679625237</v>
      </c>
      <c r="S93" s="62">
        <f ca="1">AVERAGE(OFFSET($R$3,0,0,'Données projet'!$E$9+1,1))-AVERAGE(OFFSET($H$3,0,0,'Données projet'!$E$9+1,1))</f>
        <v>228.57322051753096</v>
      </c>
      <c r="T93" s="62">
        <f t="shared" si="88"/>
        <v>168.91992124331932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287.69656598881124</v>
      </c>
      <c r="AO93" s="62">
        <f t="shared" si="90"/>
        <v>221.9773436301067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1.1452640486138703</v>
      </c>
      <c r="AW93" s="23">
        <f>EXP(-LN(2)/2)*AW92+(1-EXP(-LN(2)/2))/(LN(2)/2)*AQ93*AT93*VLOOKUP('Données projet'!$B$10,Paramètres!$A$1:$I$89,3,0)*0.475*44/12</f>
        <v>1.3245359592460949E-8</v>
      </c>
      <c r="AX93" s="23">
        <f t="shared" si="60"/>
        <v>1.14526406185923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4.9658410716801891E-14</v>
      </c>
      <c r="BF93" s="14">
        <f t="shared" si="91"/>
        <v>8.0934058173791862E-13</v>
      </c>
      <c r="BG93" s="22">
        <f t="shared" si="61"/>
        <v>1.4960899118586383E-12</v>
      </c>
      <c r="BH93" s="62">
        <f t="shared" si="62"/>
        <v>293.33333333333479</v>
      </c>
      <c r="BI93" s="62">
        <f ca="1">AVERAGE(OFFSET($BH$3,0,0,'Données projet'!$E$11+1,1))-AVERAGE(OFFSET($H$3,0,0,'Données projet'!$E$11+1,1))</f>
        <v>254.12694970606668</v>
      </c>
      <c r="BJ93" s="62">
        <f t="shared" si="92"/>
        <v>319.62868041131082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8.0948067090164013</v>
      </c>
      <c r="BQ93" s="23">
        <f>EXP(-LN(2)/25)*BQ92+(1-EXP(-LN(2)/25))/(LN(2)/25)*Calculateur!BL93*Calculateur!BN93*VLOOKUP('Données projet'!$B$11,Paramètres!$A$1:$I$89,3,0)*0.475*44/12</f>
        <v>4.1571531155385859</v>
      </c>
      <c r="BR93" s="23">
        <f>EXP(-LN(2)/2)*BR92+(1-EXP(-LN(2)/2))/(LN(2)/2)*BL93*BO93*VLOOKUP('Données projet'!$B$11,Paramètres!$A$1:$I$89,3,0)*0.475*44/12</f>
        <v>8.9055629089875918E-11</v>
      </c>
      <c r="BS93" s="24">
        <f t="shared" si="63"/>
        <v>12.251959824644043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13.046666666666672</v>
      </c>
      <c r="N94" s="14">
        <f>IF('Données projet'!$A$36&gt;35,N93+M94-V93,IF(A94&lt;'Données projet'!$A$36,$K$205^A94,IF(A94='Données projet'!$A$36,'Données projet'!$B$36,N93+M94-V93)))</f>
        <v>485.80999999999977</v>
      </c>
      <c r="O94" s="14">
        <f>N94*VLOOKUP('Données projet'!$B$9,Paramètres!$A$1:$I$89,3,0)*VLOOKUP('Données projet'!$B$9,Paramètres!$A$1:$I$89,5,0)</f>
        <v>227.35907999999992</v>
      </c>
      <c r="P94" s="14">
        <f t="shared" si="87"/>
        <v>55.711269641958147</v>
      </c>
      <c r="Q94" s="22">
        <f t="shared" si="54"/>
        <v>493.01419229307686</v>
      </c>
      <c r="R94" s="62">
        <f t="shared" si="55"/>
        <v>786.34752562641017</v>
      </c>
      <c r="S94" s="62">
        <f ca="1">AVERAGE(OFFSET($R$3,0,0,'Données projet'!$E$9+1,1))-AVERAGE(OFFSET($H$3,0,0,'Données projet'!$E$9+1,1))</f>
        <v>228.57322051753096</v>
      </c>
      <c r="T94" s="62">
        <f t="shared" si="88"/>
        <v>168.91992124331932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287.69656598881124</v>
      </c>
      <c r="AO94" s="62">
        <f t="shared" si="90"/>
        <v>221.9773436301067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1.1139467429777052</v>
      </c>
      <c r="AW94" s="23">
        <f>EXP(-LN(2)/2)*AW93+(1-EXP(-LN(2)/2))/(LN(2)/2)*AQ94*AT94*VLOOKUP('Données projet'!$B$10,Paramètres!$A$1:$I$89,3,0)*0.475*44/12</f>
        <v>9.3658835870834228E-9</v>
      </c>
      <c r="AX94" s="23">
        <f t="shared" si="60"/>
        <v>1.1139467523435889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4.9658410716801891E-14</v>
      </c>
      <c r="BF94" s="14">
        <f t="shared" si="91"/>
        <v>8.0934058173791862E-13</v>
      </c>
      <c r="BG94" s="22">
        <f t="shared" si="61"/>
        <v>1.4960899118586383E-12</v>
      </c>
      <c r="BH94" s="62">
        <f t="shared" si="62"/>
        <v>293.33333333333479</v>
      </c>
      <c r="BI94" s="62">
        <f ca="1">AVERAGE(OFFSET($BH$3,0,0,'Données projet'!$E$11+1,1))-AVERAGE(OFFSET($H$3,0,0,'Données projet'!$E$11+1,1))</f>
        <v>254.12694970606668</v>
      </c>
      <c r="BJ94" s="62">
        <f t="shared" si="92"/>
        <v>319.62868041131082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7.9360724867971602</v>
      </c>
      <c r="BQ94" s="23">
        <f>EXP(-LN(2)/25)*BQ93+(1-EXP(-LN(2)/25))/(LN(2)/25)*Calculateur!BL94*Calculateur!BN94*VLOOKUP('Données projet'!$B$11,Paramètres!$A$1:$I$89,3,0)*0.475*44/12</f>
        <v>4.0434755449790023</v>
      </c>
      <c r="BR94" s="23">
        <f>EXP(-LN(2)/2)*BR93+(1-EXP(-LN(2)/2))/(LN(2)/2)*BL94*BO94*VLOOKUP('Données projet'!$B$11,Paramètres!$A$1:$I$89,3,0)*0.475*44/12</f>
        <v>6.2971839232285226E-11</v>
      </c>
      <c r="BS94" s="24">
        <f t="shared" si="63"/>
        <v>11.979548031839133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13.046666666666672</v>
      </c>
      <c r="N95" s="14">
        <f>IF('Données projet'!$A$36&gt;35,N94+M95-V94,IF(A95&lt;'Données projet'!$A$36,$K$205^A95,IF(A95='Données projet'!$A$36,'Données projet'!$B$36,N94+M95-V94)))</f>
        <v>498.85666666666646</v>
      </c>
      <c r="O95" s="14">
        <f>N95*VLOOKUP('Données projet'!$B$9,Paramètres!$A$1:$I$89,3,0)*VLOOKUP('Données projet'!$B$9,Paramètres!$A$1:$I$89,5,0)</f>
        <v>233.46491999999989</v>
      </c>
      <c r="P95" s="14">
        <f t="shared" si="87"/>
        <v>57.031225021195233</v>
      </c>
      <c r="Q95" s="22">
        <f t="shared" si="54"/>
        <v>505.94745257858148</v>
      </c>
      <c r="R95" s="62">
        <f t="shared" si="55"/>
        <v>799.28078591191479</v>
      </c>
      <c r="S95" s="62">
        <f ca="1">AVERAGE(OFFSET($R$3,0,0,'Données projet'!$E$9+1,1))-AVERAGE(OFFSET($H$3,0,0,'Données projet'!$E$9+1,1))</f>
        <v>228.57322051753096</v>
      </c>
      <c r="T95" s="62">
        <f t="shared" si="88"/>
        <v>168.91992124331932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287.69656598881124</v>
      </c>
      <c r="AO95" s="62">
        <f t="shared" si="90"/>
        <v>221.9773436301067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1.0834858107110665</v>
      </c>
      <c r="AW95" s="23">
        <f>EXP(-LN(2)/2)*AW94+(1-EXP(-LN(2)/2))/(LN(2)/2)*AQ95*AT95*VLOOKUP('Données projet'!$B$10,Paramètres!$A$1:$I$89,3,0)*0.475*44/12</f>
        <v>6.6226797962304747E-9</v>
      </c>
      <c r="AX95" s="23">
        <f t="shared" si="60"/>
        <v>1.0834858173337463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4.9658410716801891E-14</v>
      </c>
      <c r="BF95" s="14">
        <f t="shared" si="91"/>
        <v>8.0934058173791862E-13</v>
      </c>
      <c r="BG95" s="22">
        <f t="shared" si="61"/>
        <v>1.4960899118586383E-12</v>
      </c>
      <c r="BH95" s="62">
        <f t="shared" si="62"/>
        <v>293.33333333333479</v>
      </c>
      <c r="BI95" s="62">
        <f ca="1">AVERAGE(OFFSET($BH$3,0,0,'Données projet'!$E$11+1,1))-AVERAGE(OFFSET($H$3,0,0,'Données projet'!$E$11+1,1))</f>
        <v>254.12694970606668</v>
      </c>
      <c r="BJ95" s="62">
        <f t="shared" si="92"/>
        <v>319.62868041131082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7.7804509458573223</v>
      </c>
      <c r="BQ95" s="23">
        <f>EXP(-LN(2)/25)*BQ94+(1-EXP(-LN(2)/25))/(LN(2)/25)*Calculateur!BL95*Calculateur!BN95*VLOOKUP('Données projet'!$B$11,Paramètres!$A$1:$I$89,3,0)*0.475*44/12</f>
        <v>3.9329064935644142</v>
      </c>
      <c r="BR95" s="23">
        <f>EXP(-LN(2)/2)*BR94+(1-EXP(-LN(2)/2))/(LN(2)/2)*BL95*BO95*VLOOKUP('Données projet'!$B$11,Paramètres!$A$1:$I$89,3,0)*0.475*44/12</f>
        <v>4.4527814544937959E-11</v>
      </c>
      <c r="BS95" s="24">
        <f t="shared" si="63"/>
        <v>11.713357439466265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13.046666666666672</v>
      </c>
      <c r="N96" s="14">
        <f>IF('Données projet'!$A$36&gt;35,N95+M96-V95,IF(A96&lt;'Données projet'!$A$36,$K$205^A96,IF(A96='Données projet'!$A$36,'Données projet'!$B$36,N95+M96-V95)))</f>
        <v>511.90333333333314</v>
      </c>
      <c r="O96" s="14">
        <f>N96*VLOOKUP('Données projet'!$B$9,Paramètres!$A$1:$I$89,3,0)*VLOOKUP('Données projet'!$B$9,Paramètres!$A$1:$I$89,5,0)</f>
        <v>239.57075999999989</v>
      </c>
      <c r="P96" s="14">
        <f t="shared" si="87"/>
        <v>58.347167785717573</v>
      </c>
      <c r="Q96" s="22">
        <f t="shared" si="54"/>
        <v>518.87372422679118</v>
      </c>
      <c r="R96" s="62">
        <f t="shared" si="55"/>
        <v>812.20705756012444</v>
      </c>
      <c r="S96" s="62">
        <f ca="1">AVERAGE(OFFSET($R$3,0,0,'Données projet'!$E$9+1,1))-AVERAGE(OFFSET($H$3,0,0,'Données projet'!$E$9+1,1))</f>
        <v>228.57322051753096</v>
      </c>
      <c r="T96" s="62">
        <f t="shared" si="88"/>
        <v>168.91992124331932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287.69656598881124</v>
      </c>
      <c r="AO96" s="62">
        <f t="shared" si="90"/>
        <v>221.9773436301067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1.05385783423913</v>
      </c>
      <c r="AW96" s="23">
        <f>EXP(-LN(2)/2)*AW95+(1-EXP(-LN(2)/2))/(LN(2)/2)*AQ96*AT96*VLOOKUP('Données projet'!$B$10,Paramètres!$A$1:$I$89,3,0)*0.475*44/12</f>
        <v>4.6829417935417114E-9</v>
      </c>
      <c r="AX96" s="23">
        <f t="shared" si="60"/>
        <v>1.0538578389220719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4.9658410716801891E-14</v>
      </c>
      <c r="BF96" s="14">
        <f t="shared" si="91"/>
        <v>8.0934058173791862E-13</v>
      </c>
      <c r="BG96" s="22">
        <f t="shared" si="61"/>
        <v>1.4960899118586383E-12</v>
      </c>
      <c r="BH96" s="62">
        <f t="shared" si="62"/>
        <v>293.33333333333479</v>
      </c>
      <c r="BI96" s="62">
        <f ca="1">AVERAGE(OFFSET($BH$3,0,0,'Données projet'!$E$11+1,1))-AVERAGE(OFFSET($H$3,0,0,'Données projet'!$E$11+1,1))</f>
        <v>254.12694970606668</v>
      </c>
      <c r="BJ96" s="62">
        <f t="shared" si="92"/>
        <v>319.62868041131082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7.6278810484155475</v>
      </c>
      <c r="BQ96" s="23">
        <f>EXP(-LN(2)/25)*BQ95+(1-EXP(-LN(2)/25))/(LN(2)/25)*Calculateur!BL96*Calculateur!BN96*VLOOKUP('Données projet'!$B$11,Paramètres!$A$1:$I$89,3,0)*0.475*44/12</f>
        <v>3.8253609586753314</v>
      </c>
      <c r="BR96" s="23">
        <f>EXP(-LN(2)/2)*BR95+(1-EXP(-LN(2)/2))/(LN(2)/2)*BL96*BO96*VLOOKUP('Données projet'!$B$11,Paramètres!$A$1:$I$89,3,0)*0.475*44/12</f>
        <v>3.1485919616142613E-11</v>
      </c>
      <c r="BS96" s="24">
        <f t="shared" si="63"/>
        <v>11.453242007122364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524.95000000000005</v>
      </c>
      <c r="L97" s="13">
        <f>VLOOKUP(A97,'Données projet'!$A$35:$I$55,9,0)</f>
        <v>13.046666666666672</v>
      </c>
      <c r="M97" s="13">
        <f t="array" ref="M97">INDEX(L:L,MIN(IF(ISNUMBER(L97:L293),ROW(L97:L293),"")))</f>
        <v>13.046666666666672</v>
      </c>
      <c r="N97" s="14">
        <f>IF('Données projet'!$A$36&gt;35,N96+M97-V96,IF(A97&lt;'Données projet'!$A$36,$K$205^A97,IF(A97='Données projet'!$A$36,'Données projet'!$B$36,N96+M97-V96)))</f>
        <v>524.94999999999982</v>
      </c>
      <c r="O97" s="14">
        <f>N97*VLOOKUP('Données projet'!$B$9,Paramètres!$A$1:$I$89,3,0)*VLOOKUP('Données projet'!$B$9,Paramètres!$A$1:$I$89,5,0)</f>
        <v>245.67659999999989</v>
      </c>
      <c r="P97" s="14">
        <f t="shared" si="87"/>
        <v>59.659211963131973</v>
      </c>
      <c r="Q97" s="22">
        <f t="shared" si="54"/>
        <v>531.79320583578794</v>
      </c>
      <c r="R97" s="62">
        <f t="shared" si="55"/>
        <v>825.12653916912132</v>
      </c>
      <c r="S97" s="62">
        <f ca="1">AVERAGE(OFFSET($R$3,0,0,'Données projet'!$E$9+1,1))-AVERAGE(OFFSET($H$3,0,0,'Données projet'!$E$9+1,1))</f>
        <v>228.57322051753096</v>
      </c>
      <c r="T97" s="62">
        <f t="shared" si="88"/>
        <v>168.91992124331932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287.69656598881124</v>
      </c>
      <c r="AO97" s="62">
        <f t="shared" si="90"/>
        <v>221.9773436301067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1.0250400363418861</v>
      </c>
      <c r="AW97" s="23">
        <f>EXP(-LN(2)/2)*AW96+(1-EXP(-LN(2)/2))/(LN(2)/2)*AQ97*AT97*VLOOKUP('Données projet'!$B$10,Paramètres!$A$1:$I$89,3,0)*0.475*44/12</f>
        <v>3.3113398981152374E-9</v>
      </c>
      <c r="AX97" s="23">
        <f t="shared" si="60"/>
        <v>1.025040039653226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4.9658410716801891E-14</v>
      </c>
      <c r="BF97" s="14">
        <f t="shared" si="91"/>
        <v>8.0934058173791862E-13</v>
      </c>
      <c r="BG97" s="22">
        <f t="shared" si="61"/>
        <v>1.4960899118586383E-12</v>
      </c>
      <c r="BH97" s="62">
        <f t="shared" si="62"/>
        <v>293.33333333333479</v>
      </c>
      <c r="BI97" s="62">
        <f ca="1">AVERAGE(OFFSET($BH$3,0,0,'Données projet'!$E$11+1,1))-AVERAGE(OFFSET($H$3,0,0,'Données projet'!$E$11+1,1))</f>
        <v>254.12694970606668</v>
      </c>
      <c r="BJ97" s="62">
        <f t="shared" si="92"/>
        <v>319.62868041131082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7.4783029536041568</v>
      </c>
      <c r="BQ97" s="23">
        <f>EXP(-LN(2)/25)*BQ96+(1-EXP(-LN(2)/25))/(LN(2)/25)*Calculateur!BL97*Calculateur!BN97*VLOOKUP('Données projet'!$B$11,Paramètres!$A$1:$I$89,3,0)*0.475*44/12</f>
        <v>3.7207562620933645</v>
      </c>
      <c r="BR97" s="23">
        <f>EXP(-LN(2)/2)*BR96+(1-EXP(-LN(2)/2))/(LN(2)/2)*BL97*BO97*VLOOKUP('Données projet'!$B$11,Paramètres!$A$1:$I$89,3,0)*0.475*44/12</f>
        <v>2.2263907272468979E-11</v>
      </c>
      <c r="BS97" s="24">
        <f t="shared" si="63"/>
        <v>11.199059215719783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538.28</v>
      </c>
      <c r="L98" s="13">
        <f>VLOOKUP(A98,'Données projet'!$A$35:$I$55,9,0)</f>
        <v>13.329999999999927</v>
      </c>
      <c r="M98" s="13">
        <f t="array" ref="M98">INDEX(L:L,MIN(IF(ISNUMBER(L98:L294),ROW(L98:L294),"")))</f>
        <v>13.329999999999927</v>
      </c>
      <c r="N98" s="14">
        <f>IF('Données projet'!$A$36&gt;35,N97+M98-V97,IF(A98&lt;'Données projet'!$A$36,$K$205^A98,IF(A98='Données projet'!$A$36,'Données projet'!$B$36,N97+M98-V97)))</f>
        <v>538.27999999999975</v>
      </c>
      <c r="O98" s="14">
        <f>N98*VLOOKUP('Données projet'!$B$9,Paramètres!$A$1:$I$89,3,0)*VLOOKUP('Données projet'!$B$9,Paramètres!$A$1:$I$89,5,0)</f>
        <v>251.91503999999989</v>
      </c>
      <c r="P98" s="14">
        <f t="shared" si="87"/>
        <v>60.995835543729605</v>
      </c>
      <c r="Q98" s="22">
        <f t="shared" si="54"/>
        <v>544.98644157199544</v>
      </c>
      <c r="R98" s="62">
        <f t="shared" si="55"/>
        <v>838.31977490532881</v>
      </c>
      <c r="S98" s="62">
        <f ca="1">AVERAGE(OFFSET($R$3,0,0,'Données projet'!$E$9+1,1))-AVERAGE(OFFSET($H$3,0,0,'Données projet'!$E$9+1,1))</f>
        <v>228.57322051753096</v>
      </c>
      <c r="T98" s="62">
        <f t="shared" si="88"/>
        <v>168.91992124331932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268.81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287.69656598881124</v>
      </c>
      <c r="AO98" s="62">
        <f t="shared" si="90"/>
        <v>221.9773436301067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0.99701026264360448</v>
      </c>
      <c r="AW98" s="23">
        <f>EXP(-LN(2)/2)*AW97+(1-EXP(-LN(2)/2))/(LN(2)/2)*AQ98*AT98*VLOOKUP('Données projet'!$B$10,Paramètres!$A$1:$I$89,3,0)*0.475*44/12</f>
        <v>2.3414708967708557E-9</v>
      </c>
      <c r="AX98" s="23">
        <f t="shared" si="60"/>
        <v>0.99701026498507539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4.9658410716801891E-14</v>
      </c>
      <c r="BF98" s="14">
        <f t="shared" si="91"/>
        <v>8.0934058173791862E-13</v>
      </c>
      <c r="BG98" s="22">
        <f t="shared" si="61"/>
        <v>1.4960899118586383E-12</v>
      </c>
      <c r="BH98" s="62">
        <f t="shared" si="62"/>
        <v>293.33333333333479</v>
      </c>
      <c r="BI98" s="62">
        <f ca="1">AVERAGE(OFFSET($BH$3,0,0,'Données projet'!$E$11+1,1))-AVERAGE(OFFSET($H$3,0,0,'Données projet'!$E$11+1,1))</f>
        <v>254.12694970606668</v>
      </c>
      <c r="BJ98" s="62">
        <f t="shared" si="92"/>
        <v>319.62868041131082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7.3316579939983884</v>
      </c>
      <c r="BQ98" s="23">
        <f>EXP(-LN(2)/25)*BQ97+(1-EXP(-LN(2)/25))/(LN(2)/25)*Calculateur!BL98*Calculateur!BN98*VLOOKUP('Données projet'!$B$11,Paramètres!$A$1:$I$89,3,0)*0.475*44/12</f>
        <v>3.6190119864403534</v>
      </c>
      <c r="BR98" s="23">
        <f>EXP(-LN(2)/2)*BR97+(1-EXP(-LN(2)/2))/(LN(2)/2)*BL98*BO98*VLOOKUP('Données projet'!$B$11,Paramètres!$A$1:$I$89,3,0)*0.475*44/12</f>
        <v>1.5742959808071307E-11</v>
      </c>
      <c r="BS98" s="24">
        <f t="shared" si="63"/>
        <v>10.950669980454483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280.02999999999997</v>
      </c>
      <c r="L99" s="13">
        <f>VLOOKUP(A99,'Données projet'!$A$35:$I$55,9,0)</f>
        <v>10.560000000000002</v>
      </c>
      <c r="M99" s="13">
        <f t="array" ref="M99">INDEX(L:L,MIN(IF(ISNUMBER(L99:L295),ROW(L99:L295),"")))</f>
        <v>10.560000000000002</v>
      </c>
      <c r="N99" s="14">
        <f>IF('Données projet'!$A$36&gt;35,N98+M99-V98,IF(A99&lt;'Données projet'!$A$36,$K$205^A99,IF(A99='Données projet'!$A$36,'Données projet'!$B$36,N98+M99-V98)))</f>
        <v>280.02999999999969</v>
      </c>
      <c r="O99" s="14">
        <f>N99*VLOOKUP('Données projet'!$B$9,Paramètres!$A$1:$I$89,3,0)*VLOOKUP('Données projet'!$B$9,Paramètres!$A$1:$I$89,5,0)</f>
        <v>131.05403999999984</v>
      </c>
      <c r="P99" s="14">
        <f t="shared" si="87"/>
        <v>34.239802442901187</v>
      </c>
      <c r="Q99" s="22">
        <f t="shared" ref="Q99:Q130" si="107">(O99+P99)*0.475*44/12</f>
        <v>287.88677558805261</v>
      </c>
      <c r="R99" s="62">
        <f t="shared" si="55"/>
        <v>581.22010892138587</v>
      </c>
      <c r="S99" s="62">
        <f ca="1">AVERAGE(OFFSET($R$3,0,0,'Données projet'!$E$9+1,1))-AVERAGE(OFFSET($H$3,0,0,'Données projet'!$E$9+1,1))</f>
        <v>228.57322051753096</v>
      </c>
      <c r="T99" s="62">
        <f t="shared" si="88"/>
        <v>168.91992124331932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287.69656598881124</v>
      </c>
      <c r="AO99" s="62">
        <f t="shared" si="90"/>
        <v>221.9773436301067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0.96974696458112408</v>
      </c>
      <c r="AW99" s="23">
        <f>EXP(-LN(2)/2)*AW98+(1-EXP(-LN(2)/2))/(LN(2)/2)*AQ99*AT99*VLOOKUP('Données projet'!$B$10,Paramètres!$A$1:$I$89,3,0)*0.475*44/12</f>
        <v>1.6556699490576187E-9</v>
      </c>
      <c r="AX99" s="23">
        <f t="shared" si="60"/>
        <v>0.96974696623679402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4.9658410716801891E-14</v>
      </c>
      <c r="BF99" s="14">
        <f t="shared" si="91"/>
        <v>8.0934058173791862E-13</v>
      </c>
      <c r="BG99" s="22">
        <f t="shared" si="61"/>
        <v>1.4960899118586383E-12</v>
      </c>
      <c r="BH99" s="62">
        <f t="shared" si="62"/>
        <v>293.33333333333479</v>
      </c>
      <c r="BI99" s="62">
        <f ca="1">AVERAGE(OFFSET($BH$3,0,0,'Données projet'!$E$11+1,1))-AVERAGE(OFFSET($H$3,0,0,'Données projet'!$E$11+1,1))</f>
        <v>254.12694970606668</v>
      </c>
      <c r="BJ99" s="62">
        <f t="shared" si="92"/>
        <v>319.62868041131082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7.1878886526058956</v>
      </c>
      <c r="BQ99" s="23">
        <f>EXP(-LN(2)/25)*BQ98+(1-EXP(-LN(2)/25))/(LN(2)/25)*Calculateur!BL99*Calculateur!BN99*VLOOKUP('Données projet'!$B$11,Paramètres!$A$1:$I$89,3,0)*0.475*44/12</f>
        <v>3.5200499133555727</v>
      </c>
      <c r="BR99" s="23">
        <f>EXP(-LN(2)/2)*BR98+(1-EXP(-LN(2)/2))/(LN(2)/2)*BL99*BO99*VLOOKUP('Données projet'!$B$11,Paramètres!$A$1:$I$89,3,0)*0.475*44/12</f>
        <v>1.113195363623449E-11</v>
      </c>
      <c r="BS99" s="24">
        <f t="shared" si="63"/>
        <v>10.707938565972601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8.516666666666671</v>
      </c>
      <c r="N100" s="14">
        <f>IF('Données projet'!$A$36&gt;35,N99+M100-V99,IF(A100&lt;'Données projet'!$A$36,$K$205^A100,IF(A100='Données projet'!$A$36,'Données projet'!$B$36,N99+M100-V99)))</f>
        <v>288.54666666666634</v>
      </c>
      <c r="O100" s="14">
        <f>N100*VLOOKUP('Données projet'!$B$9,Paramètres!$A$1:$I$89,3,0)*VLOOKUP('Données projet'!$B$9,Paramètres!$A$1:$I$89,5,0)</f>
        <v>135.03983999999986</v>
      </c>
      <c r="P100" s="14">
        <f t="shared" si="87"/>
        <v>35.158327939856818</v>
      </c>
      <c r="Q100" s="22">
        <f t="shared" si="107"/>
        <v>296.42847582858366</v>
      </c>
      <c r="R100" s="62">
        <f t="shared" si="55"/>
        <v>589.76180916191697</v>
      </c>
      <c r="S100" s="62">
        <f ca="1">AVERAGE(OFFSET($R$3,0,0,'Données projet'!$E$9+1,1))-AVERAGE(OFFSET($H$3,0,0,'Données projet'!$E$9+1,1))</f>
        <v>228.57322051753096</v>
      </c>
      <c r="T100" s="62">
        <f t="shared" si="88"/>
        <v>168.91992124331932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287.69656598881124</v>
      </c>
      <c r="AO100" s="62">
        <f t="shared" si="90"/>
        <v>221.9773436301067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0.94322918283787671</v>
      </c>
      <c r="AW100" s="23">
        <f>EXP(-LN(2)/2)*AW99+(1-EXP(-LN(2)/2))/(LN(2)/2)*AQ100*AT100*VLOOKUP('Données projet'!$B$10,Paramètres!$A$1:$I$89,3,0)*0.475*44/12</f>
        <v>1.1707354483854278E-9</v>
      </c>
      <c r="AX100" s="23">
        <f t="shared" si="60"/>
        <v>0.94322918400861211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4.9658410716801891E-14</v>
      </c>
      <c r="BF100" s="14">
        <f t="shared" si="91"/>
        <v>8.0934058173791862E-13</v>
      </c>
      <c r="BG100" s="22">
        <f t="shared" si="61"/>
        <v>1.4960899118586383E-12</v>
      </c>
      <c r="BH100" s="62">
        <f t="shared" si="62"/>
        <v>293.33333333333479</v>
      </c>
      <c r="BI100" s="62">
        <f ca="1">AVERAGE(OFFSET($BH$3,0,0,'Données projet'!$E$11+1,1))-AVERAGE(OFFSET($H$3,0,0,'Données projet'!$E$11+1,1))</f>
        <v>254.12694970606668</v>
      </c>
      <c r="BJ100" s="62">
        <f t="shared" si="92"/>
        <v>319.62868041131082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7.0469385403074707</v>
      </c>
      <c r="BQ100" s="23">
        <f>EXP(-LN(2)/25)*BQ99+(1-EXP(-LN(2)/25))/(LN(2)/25)*Calculateur!BL100*Calculateur!BN100*VLOOKUP('Données projet'!$B$11,Paramètres!$A$1:$I$89,3,0)*0.475*44/12</f>
        <v>3.4237939633634848</v>
      </c>
      <c r="BR100" s="23">
        <f>EXP(-LN(2)/2)*BR99+(1-EXP(-LN(2)/2))/(LN(2)/2)*BL100*BO100*VLOOKUP('Données projet'!$B$11,Paramètres!$A$1:$I$89,3,0)*0.475*44/12</f>
        <v>7.8714799040356533E-12</v>
      </c>
      <c r="BS100" s="24">
        <f t="shared" si="63"/>
        <v>10.470732503678827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8.516666666666671</v>
      </c>
      <c r="N101" s="14">
        <f>IF('Données projet'!$A$36&gt;35,N100+M101-V100,IF(A101&lt;'Données projet'!$A$36,$K$205^A101,IF(A101='Données projet'!$A$36,'Données projet'!$B$36,N100+M101-V100)))</f>
        <v>297.06333333333299</v>
      </c>
      <c r="O101" s="14">
        <f>N101*VLOOKUP('Données projet'!$B$9,Paramètres!$A$1:$I$89,3,0)*VLOOKUP('Données projet'!$B$9,Paramètres!$A$1:$I$89,5,0)</f>
        <v>139.02563999999984</v>
      </c>
      <c r="P101" s="14">
        <f t="shared" si="87"/>
        <v>36.073702653091566</v>
      </c>
      <c r="Q101" s="22">
        <f t="shared" si="107"/>
        <v>304.9646884541342</v>
      </c>
      <c r="R101" s="62">
        <f t="shared" si="55"/>
        <v>598.29802178746752</v>
      </c>
      <c r="S101" s="62">
        <f ca="1">AVERAGE(OFFSET($R$3,0,0,'Données projet'!$E$9+1,1))-AVERAGE(OFFSET($H$3,0,0,'Données projet'!$E$9+1,1))</f>
        <v>228.57322051753096</v>
      </c>
      <c r="T101" s="62">
        <f t="shared" si="88"/>
        <v>168.91992124331932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287.69656598881124</v>
      </c>
      <c r="AO101" s="62">
        <f t="shared" si="90"/>
        <v>221.9773436301067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0.91743653123090807</v>
      </c>
      <c r="AW101" s="23">
        <f>EXP(-LN(2)/2)*AW100+(1-EXP(-LN(2)/2))/(LN(2)/2)*AQ101*AT101*VLOOKUP('Données projet'!$B$10,Paramètres!$A$1:$I$89,3,0)*0.475*44/12</f>
        <v>8.2783497452880934E-10</v>
      </c>
      <c r="AX101" s="23">
        <f t="shared" si="60"/>
        <v>0.91743653205874309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4.9658410716801891E-14</v>
      </c>
      <c r="BF101" s="14">
        <f t="shared" si="91"/>
        <v>8.0934058173791862E-13</v>
      </c>
      <c r="BG101" s="22">
        <f t="shared" si="61"/>
        <v>1.4960899118586383E-12</v>
      </c>
      <c r="BH101" s="62">
        <f t="shared" si="62"/>
        <v>293.33333333333479</v>
      </c>
      <c r="BI101" s="62">
        <f ca="1">AVERAGE(OFFSET($BH$3,0,0,'Données projet'!$E$11+1,1))-AVERAGE(OFFSET($H$3,0,0,'Données projet'!$E$11+1,1))</f>
        <v>254.12694970606668</v>
      </c>
      <c r="BJ101" s="62">
        <f t="shared" si="92"/>
        <v>319.62868041131082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6.9087523737401382</v>
      </c>
      <c r="BQ101" s="23">
        <f>EXP(-LN(2)/25)*BQ100+(1-EXP(-LN(2)/25))/(LN(2)/25)*Calculateur!BL101*Calculateur!BN101*VLOOKUP('Données projet'!$B$11,Paramètres!$A$1:$I$89,3,0)*0.475*44/12</f>
        <v>3.330170137385811</v>
      </c>
      <c r="BR101" s="23">
        <f>EXP(-LN(2)/2)*BR100+(1-EXP(-LN(2)/2))/(LN(2)/2)*BL101*BO101*VLOOKUP('Données projet'!$B$11,Paramètres!$A$1:$I$89,3,0)*0.475*44/12</f>
        <v>5.5659768181172449E-12</v>
      </c>
      <c r="BS101" s="24">
        <f t="shared" si="63"/>
        <v>10.238922511131515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8.516666666666671</v>
      </c>
      <c r="N102" s="14">
        <f>IF('Données projet'!$A$36&gt;35,N101+M102-V101,IF(A102&lt;'Données projet'!$A$36,$K$205^A102,IF(A102='Données projet'!$A$36,'Données projet'!$B$36,N101+M102-V101)))</f>
        <v>305.57999999999964</v>
      </c>
      <c r="O102" s="14">
        <f>N102*VLOOKUP('Données projet'!$B$9,Paramètres!$A$1:$I$89,3,0)*VLOOKUP('Données projet'!$B$9,Paramètres!$A$1:$I$89,5,0)</f>
        <v>143.01143999999982</v>
      </c>
      <c r="P102" s="14">
        <f t="shared" si="87"/>
        <v>36.986027288561935</v>
      </c>
      <c r="Q102" s="22">
        <f t="shared" si="107"/>
        <v>313.49558886091171</v>
      </c>
      <c r="R102" s="62">
        <f t="shared" si="55"/>
        <v>606.82892219424502</v>
      </c>
      <c r="S102" s="62">
        <f ca="1">AVERAGE(OFFSET($R$3,0,0,'Données projet'!$E$9+1,1))-AVERAGE(OFFSET($H$3,0,0,'Données projet'!$E$9+1,1))</f>
        <v>228.57322051753096</v>
      </c>
      <c r="T102" s="62">
        <f t="shared" si="88"/>
        <v>168.91992124331932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287.69656598881124</v>
      </c>
      <c r="AO102" s="62">
        <f t="shared" si="90"/>
        <v>221.9773436301067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0.89234918103850858</v>
      </c>
      <c r="AW102" s="23">
        <f>EXP(-LN(2)/2)*AW101+(1-EXP(-LN(2)/2))/(LN(2)/2)*AQ102*AT102*VLOOKUP('Données projet'!$B$10,Paramètres!$A$1:$I$89,3,0)*0.475*44/12</f>
        <v>5.8536772419271392E-10</v>
      </c>
      <c r="AX102" s="23">
        <f t="shared" si="60"/>
        <v>0.89234918162387633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4.9658410716801891E-14</v>
      </c>
      <c r="BF102" s="14">
        <f t="shared" si="91"/>
        <v>8.0934058173791862E-13</v>
      </c>
      <c r="BG102" s="22">
        <f t="shared" si="61"/>
        <v>1.4960899118586383E-12</v>
      </c>
      <c r="BH102" s="62">
        <f t="shared" si="62"/>
        <v>293.33333333333479</v>
      </c>
      <c r="BI102" s="62">
        <f ca="1">AVERAGE(OFFSET($BH$3,0,0,'Données projet'!$E$11+1,1))-AVERAGE(OFFSET($H$3,0,0,'Données projet'!$E$11+1,1))</f>
        <v>254.12694970606668</v>
      </c>
      <c r="BJ102" s="62">
        <f t="shared" si="92"/>
        <v>319.62868041131082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6.7732759536139513</v>
      </c>
      <c r="BQ102" s="23">
        <f>EXP(-LN(2)/25)*BQ101+(1-EXP(-LN(2)/25))/(LN(2)/25)*Calculateur!BL102*Calculateur!BN102*VLOOKUP('Données projet'!$B$11,Paramètres!$A$1:$I$89,3,0)*0.475*44/12</f>
        <v>3.2391064598529598</v>
      </c>
      <c r="BR102" s="23">
        <f>EXP(-LN(2)/2)*BR101+(1-EXP(-LN(2)/2))/(LN(2)/2)*BL102*BO102*VLOOKUP('Données projet'!$B$11,Paramètres!$A$1:$I$89,3,0)*0.475*44/12</f>
        <v>3.9357399520178266E-12</v>
      </c>
      <c r="BS102" s="24">
        <f t="shared" si="63"/>
        <v>10.012382413470847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8.516666666666671</v>
      </c>
      <c r="N103" s="14">
        <f>IF('Données projet'!$A$36&gt;35,N102+M103-V102,IF(A103&lt;'Données projet'!$A$36,$K$205^A103,IF(A103='Données projet'!$A$36,'Données projet'!$B$36,N102+M103-V102)))</f>
        <v>314.09666666666629</v>
      </c>
      <c r="O103" s="14">
        <f>N103*VLOOKUP('Données projet'!$B$9,Paramètres!$A$1:$I$89,3,0)*VLOOKUP('Données projet'!$B$9,Paramètres!$A$1:$I$89,5,0)</f>
        <v>146.99723999999983</v>
      </c>
      <c r="P103" s="14">
        <f t="shared" si="87"/>
        <v>37.895396619373926</v>
      </c>
      <c r="Q103" s="22">
        <f t="shared" si="107"/>
        <v>322.02134211207596</v>
      </c>
      <c r="R103" s="62">
        <f t="shared" si="55"/>
        <v>615.35467544540927</v>
      </c>
      <c r="S103" s="62">
        <f ca="1">AVERAGE(OFFSET($R$3,0,0,'Données projet'!$E$9+1,1))-AVERAGE(OFFSET($H$3,0,0,'Données projet'!$E$9+1,1))</f>
        <v>228.57322051753096</v>
      </c>
      <c r="T103" s="62">
        <f t="shared" si="88"/>
        <v>168.91992124331932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287.69656598881124</v>
      </c>
      <c r="AO103" s="62">
        <f t="shared" si="90"/>
        <v>221.9773436301067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0.8679478457564066</v>
      </c>
      <c r="AW103" s="23">
        <f>EXP(-LN(2)/2)*AW102+(1-EXP(-LN(2)/2))/(LN(2)/2)*AQ103*AT103*VLOOKUP('Données projet'!$B$10,Paramètres!$A$1:$I$89,3,0)*0.475*44/12</f>
        <v>4.1391748726440467E-10</v>
      </c>
      <c r="AX103" s="23">
        <f t="shared" si="60"/>
        <v>0.86794784617032406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4.9658410716801891E-14</v>
      </c>
      <c r="BF103" s="14">
        <f t="shared" si="91"/>
        <v>8.0934058173791862E-13</v>
      </c>
      <c r="BG103" s="22">
        <f t="shared" si="61"/>
        <v>1.4960899118586383E-12</v>
      </c>
      <c r="BH103" s="62">
        <f t="shared" si="62"/>
        <v>293.33333333333479</v>
      </c>
      <c r="BI103" s="62">
        <f ca="1">AVERAGE(OFFSET($BH$3,0,0,'Données projet'!$E$11+1,1))-AVERAGE(OFFSET($H$3,0,0,'Données projet'!$E$11+1,1))</f>
        <v>254.12694970606668</v>
      </c>
      <c r="BJ103" s="62">
        <f t="shared" si="92"/>
        <v>319.62868041131082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6.6404561434539824</v>
      </c>
      <c r="BQ103" s="23">
        <f>EXP(-LN(2)/25)*BQ102+(1-EXP(-LN(2)/25))/(LN(2)/25)*Calculateur!BL103*Calculateur!BN103*VLOOKUP('Données projet'!$B$11,Paramètres!$A$1:$I$89,3,0)*0.475*44/12</f>
        <v>3.1505329233710748</v>
      </c>
      <c r="BR103" s="23">
        <f>EXP(-LN(2)/2)*BR102+(1-EXP(-LN(2)/2))/(LN(2)/2)*BL103*BO103*VLOOKUP('Données projet'!$B$11,Paramètres!$A$1:$I$89,3,0)*0.475*44/12</f>
        <v>2.7829884090586224E-12</v>
      </c>
      <c r="BS103" s="24">
        <f t="shared" si="63"/>
        <v>9.7909890668278408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8.516666666666671</v>
      </c>
      <c r="N104" s="14">
        <f>IF('Données projet'!$A$36&gt;35,N103+M104-V103,IF(A104&lt;'Données projet'!$A$36,$K$205^A104,IF(A104='Données projet'!$A$36,'Données projet'!$B$36,N103+M104-V103)))</f>
        <v>322.61333333333295</v>
      </c>
      <c r="O104" s="14">
        <f>N104*VLOOKUP('Données projet'!$B$9,Paramètres!$A$1:$I$89,3,0)*VLOOKUP('Données projet'!$B$9,Paramètres!$A$1:$I$89,5,0)</f>
        <v>150.98303999999982</v>
      </c>
      <c r="P104" s="14">
        <f t="shared" si="87"/>
        <v>38.801899986570255</v>
      </c>
      <c r="Q104" s="22">
        <f t="shared" si="107"/>
        <v>330.54210380994283</v>
      </c>
      <c r="R104" s="62">
        <f t="shared" si="55"/>
        <v>623.87543714327614</v>
      </c>
      <c r="S104" s="62">
        <f ca="1">AVERAGE(OFFSET($R$3,0,0,'Données projet'!$E$9+1,1))-AVERAGE(OFFSET($H$3,0,0,'Données projet'!$E$9+1,1))</f>
        <v>228.57322051753096</v>
      </c>
      <c r="T104" s="62">
        <f t="shared" si="88"/>
        <v>168.91992124331932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287.69656598881124</v>
      </c>
      <c r="AO104" s="62">
        <f t="shared" si="90"/>
        <v>221.9773436301067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0.84421376627080413</v>
      </c>
      <c r="AW104" s="23">
        <f>EXP(-LN(2)/2)*AW103+(1-EXP(-LN(2)/2))/(LN(2)/2)*AQ104*AT104*VLOOKUP('Données projet'!$B$10,Paramètres!$A$1:$I$89,3,0)*0.475*44/12</f>
        <v>2.9268386209635696E-10</v>
      </c>
      <c r="AX104" s="23">
        <f t="shared" si="60"/>
        <v>0.84421376656348801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4.9658410716801891E-14</v>
      </c>
      <c r="BF104" s="14">
        <f t="shared" si="91"/>
        <v>8.0934058173791862E-13</v>
      </c>
      <c r="BG104" s="22">
        <f t="shared" si="61"/>
        <v>1.4960899118586383E-12</v>
      </c>
      <c r="BH104" s="62">
        <f t="shared" si="62"/>
        <v>293.33333333333479</v>
      </c>
      <c r="BI104" s="62">
        <f ca="1">AVERAGE(OFFSET($BH$3,0,0,'Données projet'!$E$11+1,1))-AVERAGE(OFFSET($H$3,0,0,'Données projet'!$E$11+1,1))</f>
        <v>254.12694970606668</v>
      </c>
      <c r="BJ104" s="62">
        <f t="shared" si="92"/>
        <v>319.62868041131082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6.5102408487591656</v>
      </c>
      <c r="BQ104" s="23">
        <f>EXP(-LN(2)/25)*BQ103+(1-EXP(-LN(2)/25))/(LN(2)/25)*Calculateur!BL104*Calculateur!BN104*VLOOKUP('Données projet'!$B$11,Paramètres!$A$1:$I$89,3,0)*0.475*44/12</f>
        <v>3.0643814349021672</v>
      </c>
      <c r="BR104" s="23">
        <f>EXP(-LN(2)/2)*BR103+(1-EXP(-LN(2)/2))/(LN(2)/2)*BL104*BO104*VLOOKUP('Données projet'!$B$11,Paramètres!$A$1:$I$89,3,0)*0.475*44/12</f>
        <v>1.9678699760089133E-12</v>
      </c>
      <c r="BS104" s="24">
        <f t="shared" si="63"/>
        <v>9.5746222836633006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8.516666666666671</v>
      </c>
      <c r="N105" s="14">
        <f>IF('Données projet'!$A$36&gt;35,N104+M105-V104,IF(A105&lt;'Données projet'!$A$36,$K$205^A105,IF(A105='Données projet'!$A$36,'Données projet'!$B$36,N104+M105-V104)))</f>
        <v>331.1299999999996</v>
      </c>
      <c r="O105" s="14">
        <f>N105*VLOOKUP('Données projet'!$B$9,Paramètres!$A$1:$I$89,3,0)*VLOOKUP('Données projet'!$B$9,Paramètres!$A$1:$I$89,5,0)</f>
        <v>154.9688399999998</v>
      </c>
      <c r="P105" s="14">
        <f t="shared" si="87"/>
        <v>39.70562174554874</v>
      </c>
      <c r="Q105" s="22">
        <f t="shared" si="107"/>
        <v>339.05802087349701</v>
      </c>
      <c r="R105" s="62">
        <f t="shared" si="55"/>
        <v>632.39135420683033</v>
      </c>
      <c r="S105" s="62">
        <f ca="1">AVERAGE(OFFSET($R$3,0,0,'Données projet'!$E$9+1,1))-AVERAGE(OFFSET($H$3,0,0,'Données projet'!$E$9+1,1))</f>
        <v>228.57322051753096</v>
      </c>
      <c r="T105" s="62">
        <f t="shared" si="88"/>
        <v>168.91992124331932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287.69656598881124</v>
      </c>
      <c r="AO105" s="62">
        <f t="shared" si="90"/>
        <v>221.9773436301067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0.82112869643685649</v>
      </c>
      <c r="AW105" s="23">
        <f>EXP(-LN(2)/2)*AW104+(1-EXP(-LN(2)/2))/(LN(2)/2)*AQ105*AT105*VLOOKUP('Données projet'!$B$10,Paramètres!$A$1:$I$89,3,0)*0.475*44/12</f>
        <v>2.0695874363220234E-10</v>
      </c>
      <c r="AX105" s="23">
        <f t="shared" si="60"/>
        <v>0.82112869664381527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4.9658410716801891E-14</v>
      </c>
      <c r="BF105" s="14">
        <f t="shared" si="91"/>
        <v>8.0934058173791862E-13</v>
      </c>
      <c r="BG105" s="22">
        <f t="shared" si="61"/>
        <v>1.4960899118586383E-12</v>
      </c>
      <c r="BH105" s="62">
        <f t="shared" si="62"/>
        <v>293.33333333333479</v>
      </c>
      <c r="BI105" s="62">
        <f ca="1">AVERAGE(OFFSET($BH$3,0,0,'Données projet'!$E$11+1,1))-AVERAGE(OFFSET($H$3,0,0,'Données projet'!$E$11+1,1))</f>
        <v>254.12694970606668</v>
      </c>
      <c r="BJ105" s="62">
        <f t="shared" si="92"/>
        <v>319.62868041131082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6.3825789965698272</v>
      </c>
      <c r="BQ105" s="23">
        <f>EXP(-LN(2)/25)*BQ104+(1-EXP(-LN(2)/25))/(LN(2)/25)*Calculateur!BL105*Calculateur!BN105*VLOOKUP('Données projet'!$B$11,Paramètres!$A$1:$I$89,3,0)*0.475*44/12</f>
        <v>2.9805857634159514</v>
      </c>
      <c r="BR105" s="23">
        <f>EXP(-LN(2)/2)*BR104+(1-EXP(-LN(2)/2))/(LN(2)/2)*BL105*BO105*VLOOKUP('Données projet'!$B$11,Paramètres!$A$1:$I$89,3,0)*0.475*44/12</f>
        <v>1.3914942045293112E-12</v>
      </c>
      <c r="BS105" s="24">
        <f t="shared" si="63"/>
        <v>9.3631647599871695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8.516666666666671</v>
      </c>
      <c r="N106" s="14">
        <f>IF('Données projet'!$A$36&gt;35,N105+M106-V105,IF(A106&lt;'Données projet'!$A$36,$K$205^A106,IF(A106='Données projet'!$A$36,'Données projet'!$B$36,N105+M106-V105)))</f>
        <v>339.64666666666625</v>
      </c>
      <c r="O106" s="14">
        <f>N106*VLOOKUP('Données projet'!$B$9,Paramètres!$A$1:$I$89,3,0)*VLOOKUP('Données projet'!$B$9,Paramètres!$A$1:$I$89,5,0)</f>
        <v>158.95463999999981</v>
      </c>
      <c r="P106" s="14">
        <f t="shared" si="87"/>
        <v>40.606641665261066</v>
      </c>
      <c r="Q106" s="22">
        <f t="shared" si="107"/>
        <v>347.56923223366266</v>
      </c>
      <c r="R106" s="62">
        <f t="shared" si="55"/>
        <v>640.90256556699592</v>
      </c>
      <c r="S106" s="62">
        <f ca="1">AVERAGE(OFFSET($R$3,0,0,'Données projet'!$E$9+1,1))-AVERAGE(OFFSET($H$3,0,0,'Données projet'!$E$9+1,1))</f>
        <v>228.57322051753096</v>
      </c>
      <c r="T106" s="62">
        <f t="shared" si="88"/>
        <v>168.91992124331932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287.69656598881124</v>
      </c>
      <c r="AO106" s="62">
        <f t="shared" si="90"/>
        <v>221.9773436301067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0.79867488905150918</v>
      </c>
      <c r="AW106" s="23">
        <f>EXP(-LN(2)/2)*AW105+(1-EXP(-LN(2)/2))/(LN(2)/2)*AQ106*AT106*VLOOKUP('Données projet'!$B$10,Paramètres!$A$1:$I$89,3,0)*0.475*44/12</f>
        <v>1.4634193104817848E-10</v>
      </c>
      <c r="AX106" s="23">
        <f t="shared" si="60"/>
        <v>0.79867488919785112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4.9658410716801891E-14</v>
      </c>
      <c r="BF106" s="14">
        <f t="shared" si="91"/>
        <v>8.0934058173791862E-13</v>
      </c>
      <c r="BG106" s="22">
        <f t="shared" si="61"/>
        <v>1.4960899118586383E-12</v>
      </c>
      <c r="BH106" s="62">
        <f t="shared" si="62"/>
        <v>293.33333333333479</v>
      </c>
      <c r="BI106" s="62">
        <f ca="1">AVERAGE(OFFSET($BH$3,0,0,'Données projet'!$E$11+1,1))-AVERAGE(OFFSET($H$3,0,0,'Données projet'!$E$11+1,1))</f>
        <v>254.12694970606668</v>
      </c>
      <c r="BJ106" s="62">
        <f t="shared" si="92"/>
        <v>319.62868041131082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6.2574205154358804</v>
      </c>
      <c r="BQ106" s="23">
        <f>EXP(-LN(2)/25)*BQ105+(1-EXP(-LN(2)/25))/(LN(2)/25)*Calculateur!BL106*Calculateur!BN106*VLOOKUP('Données projet'!$B$11,Paramètres!$A$1:$I$89,3,0)*0.475*44/12</f>
        <v>2.8990814889731493</v>
      </c>
      <c r="BR106" s="23">
        <f>EXP(-LN(2)/2)*BR105+(1-EXP(-LN(2)/2))/(LN(2)/2)*BL106*BO106*VLOOKUP('Données projet'!$B$11,Paramètres!$A$1:$I$89,3,0)*0.475*44/12</f>
        <v>9.8393498800445666E-13</v>
      </c>
      <c r="BS106" s="24">
        <f t="shared" si="63"/>
        <v>9.1565020044100134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8.516666666666671</v>
      </c>
      <c r="N107" s="14">
        <f>IF('Données projet'!$A$36&gt;35,N106+M107-V106,IF(A107&lt;'Données projet'!$A$36,$K$205^A107,IF(A107='Données projet'!$A$36,'Données projet'!$B$36,N106+M107-V106)))</f>
        <v>348.1633333333329</v>
      </c>
      <c r="O107" s="14">
        <f>N107*VLOOKUP('Données projet'!$B$9,Paramètres!$A$1:$I$89,3,0)*VLOOKUP('Données projet'!$B$9,Paramètres!$A$1:$I$89,5,0)</f>
        <v>162.9404399999998</v>
      </c>
      <c r="P107" s="14">
        <f t="shared" si="87"/>
        <v>41.505035286244862</v>
      </c>
      <c r="Q107" s="22">
        <f t="shared" si="107"/>
        <v>356.07586945687609</v>
      </c>
      <c r="R107" s="62">
        <f t="shared" si="55"/>
        <v>649.40920279020941</v>
      </c>
      <c r="S107" s="62">
        <f ca="1">AVERAGE(OFFSET($R$3,0,0,'Données projet'!$E$9+1,1))-AVERAGE(OFFSET($H$3,0,0,'Données projet'!$E$9+1,1))</f>
        <v>228.57322051753096</v>
      </c>
      <c r="T107" s="62">
        <f t="shared" si="88"/>
        <v>168.91992124331932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287.69656598881124</v>
      </c>
      <c r="AO107" s="62">
        <f t="shared" si="90"/>
        <v>221.9773436301067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0.7768350822099086</v>
      </c>
      <c r="AW107" s="23">
        <f>EXP(-LN(2)/2)*AW106+(1-EXP(-LN(2)/2))/(LN(2)/2)*AQ107*AT107*VLOOKUP('Données projet'!$B$10,Paramètres!$A$1:$I$89,3,0)*0.475*44/12</f>
        <v>1.0347937181610117E-10</v>
      </c>
      <c r="AX107" s="23">
        <f t="shared" si="60"/>
        <v>0.77683508231338794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4.9658410716801891E-14</v>
      </c>
      <c r="BF107" s="14">
        <f t="shared" si="91"/>
        <v>8.0934058173791862E-13</v>
      </c>
      <c r="BG107" s="22">
        <f t="shared" si="61"/>
        <v>1.4960899118586383E-12</v>
      </c>
      <c r="BH107" s="62">
        <f t="shared" si="62"/>
        <v>293.33333333333479</v>
      </c>
      <c r="BI107" s="62">
        <f ca="1">AVERAGE(OFFSET($BH$3,0,0,'Données projet'!$E$11+1,1))-AVERAGE(OFFSET($H$3,0,0,'Données projet'!$E$11+1,1))</f>
        <v>254.12694970606668</v>
      </c>
      <c r="BJ107" s="62">
        <f t="shared" si="92"/>
        <v>319.62868041131082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6.1347163157778342</v>
      </c>
      <c r="BQ107" s="23">
        <f>EXP(-LN(2)/25)*BQ106+(1-EXP(-LN(2)/25))/(LN(2)/25)*Calculateur!BL107*Calculateur!BN107*VLOOKUP('Données projet'!$B$11,Paramètres!$A$1:$I$89,3,0)*0.475*44/12</f>
        <v>2.8198059532011088</v>
      </c>
      <c r="BR107" s="23">
        <f>EXP(-LN(2)/2)*BR106+(1-EXP(-LN(2)/2))/(LN(2)/2)*BL107*BO107*VLOOKUP('Données projet'!$B$11,Paramètres!$A$1:$I$89,3,0)*0.475*44/12</f>
        <v>6.9574710226465561E-13</v>
      </c>
      <c r="BS107" s="24">
        <f t="shared" si="63"/>
        <v>8.9545222689796393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356.68</v>
      </c>
      <c r="L108" s="13">
        <f>VLOOKUP(A108,'Données projet'!$A$35:$I$55,9,0)</f>
        <v>8.516666666666671</v>
      </c>
      <c r="M108" s="13">
        <f t="array" ref="M108">INDEX(L:L,MIN(IF(ISNUMBER(L108:L304),ROW(L108:L304),"")))</f>
        <v>8.516666666666671</v>
      </c>
      <c r="N108" s="14">
        <f>IF('Données projet'!$A$36&gt;35,N107+M108-V107,IF(A108&lt;'Données projet'!$A$36,$K$205^A108,IF(A108='Données projet'!$A$36,'Données projet'!$B$36,N107+M108-V107)))</f>
        <v>356.67999999999955</v>
      </c>
      <c r="O108" s="14">
        <f>N108*VLOOKUP('Données projet'!$B$9,Paramètres!$A$1:$I$89,3,0)*VLOOKUP('Données projet'!$B$9,Paramètres!$A$1:$I$89,5,0)</f>
        <v>166.92623999999978</v>
      </c>
      <c r="P108" s="14">
        <f t="shared" si="87"/>
        <v>42.400874242636554</v>
      </c>
      <c r="Q108" s="22">
        <f t="shared" si="107"/>
        <v>364.57805730592491</v>
      </c>
      <c r="R108" s="62">
        <f t="shared" si="55"/>
        <v>657.91139063925823</v>
      </c>
      <c r="S108" s="62">
        <f ca="1">AVERAGE(OFFSET($R$3,0,0,'Données projet'!$E$9+1,1))-AVERAGE(OFFSET($H$3,0,0,'Données projet'!$E$9+1,1))</f>
        <v>228.57322051753096</v>
      </c>
      <c r="T108" s="62">
        <f t="shared" si="88"/>
        <v>168.91992124331932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356.68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287.69656598881124</v>
      </c>
      <c r="AO108" s="62">
        <f t="shared" si="90"/>
        <v>221.9773436301067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0.75559248603489715</v>
      </c>
      <c r="AW108" s="23">
        <f>EXP(-LN(2)/2)*AW107+(1-EXP(-LN(2)/2))/(LN(2)/2)*AQ108*AT108*VLOOKUP('Données projet'!$B$10,Paramètres!$A$1:$I$89,3,0)*0.475*44/12</f>
        <v>7.317096552408924E-11</v>
      </c>
      <c r="AX108" s="23">
        <f t="shared" si="60"/>
        <v>0.75559248610806806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4.9658410716801891E-14</v>
      </c>
      <c r="BF108" s="14">
        <f t="shared" si="91"/>
        <v>8.0934058173791862E-13</v>
      </c>
      <c r="BG108" s="22">
        <f t="shared" si="61"/>
        <v>1.4960899118586383E-12</v>
      </c>
      <c r="BH108" s="62">
        <f t="shared" si="62"/>
        <v>293.33333333333479</v>
      </c>
      <c r="BI108" s="62">
        <f ca="1">AVERAGE(OFFSET($BH$3,0,0,'Données projet'!$E$11+1,1))-AVERAGE(OFFSET($H$3,0,0,'Données projet'!$E$11+1,1))</f>
        <v>254.12694970606668</v>
      </c>
      <c r="BJ108" s="62">
        <f t="shared" si="92"/>
        <v>319.62868041131082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6.0144182706329108</v>
      </c>
      <c r="BQ108" s="23">
        <f>EXP(-LN(2)/25)*BQ107+(1-EXP(-LN(2)/25))/(LN(2)/25)*Calculateur!BL108*Calculateur!BN108*VLOOKUP('Données projet'!$B$11,Paramètres!$A$1:$I$89,3,0)*0.475*44/12</f>
        <v>2.7426982111236744</v>
      </c>
      <c r="BR108" s="23">
        <f>EXP(-LN(2)/2)*BR107+(1-EXP(-LN(2)/2))/(LN(2)/2)*BL108*BO108*VLOOKUP('Données projet'!$B$11,Paramètres!$A$1:$I$89,3,0)*0.475*44/12</f>
        <v>4.9196749400222833E-13</v>
      </c>
      <c r="BS108" s="24">
        <f t="shared" si="63"/>
        <v>8.7571164817570768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-2.1282176021486519E-13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228.57322051753096</v>
      </c>
      <c r="T109" s="62">
        <f t="shared" si="88"/>
        <v>168.91992124331932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287.69656598881124</v>
      </c>
      <c r="AO109" s="62">
        <f t="shared" si="90"/>
        <v>221.9773436301067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0.73493076976939098</v>
      </c>
      <c r="AW109" s="23">
        <f>EXP(-LN(2)/2)*AW108+(1-EXP(-LN(2)/2))/(LN(2)/2)*AQ109*AT109*VLOOKUP('Données projet'!$B$10,Paramètres!$A$1:$I$89,3,0)*0.475*44/12</f>
        <v>5.1739685908050584E-11</v>
      </c>
      <c r="AX109" s="23">
        <f t="shared" si="60"/>
        <v>0.7349307698211307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4.9658410716801891E-14</v>
      </c>
      <c r="BF109" s="14">
        <f t="shared" si="91"/>
        <v>8.0934058173791862E-13</v>
      </c>
      <c r="BG109" s="22">
        <f t="shared" si="61"/>
        <v>1.4960899118586383E-12</v>
      </c>
      <c r="BH109" s="62">
        <f t="shared" si="62"/>
        <v>293.33333333333479</v>
      </c>
      <c r="BI109" s="62">
        <f ca="1">AVERAGE(OFFSET($BH$3,0,0,'Données projet'!$E$11+1,1))-AVERAGE(OFFSET($H$3,0,0,'Données projet'!$E$11+1,1))</f>
        <v>254.12694970606668</v>
      </c>
      <c r="BJ109" s="62">
        <f t="shared" si="92"/>
        <v>319.62868041131082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5.8964791967787171</v>
      </c>
      <c r="BQ109" s="23">
        <f>EXP(-LN(2)/25)*BQ108+(1-EXP(-LN(2)/25))/(LN(2)/25)*Calculateur!BL109*Calculateur!BN109*VLOOKUP('Données projet'!$B$11,Paramètres!$A$1:$I$89,3,0)*0.475*44/12</f>
        <v>2.667698984308267</v>
      </c>
      <c r="BR109" s="23">
        <f>EXP(-LN(2)/2)*BR108+(1-EXP(-LN(2)/2))/(LN(2)/2)*BL109*BO109*VLOOKUP('Données projet'!$B$11,Paramètres!$A$1:$I$89,3,0)*0.475*44/12</f>
        <v>3.478735511323278E-13</v>
      </c>
      <c r="BS109" s="24">
        <f t="shared" si="63"/>
        <v>8.5641781810873319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-2.1282176021486519E-13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228.57322051753096</v>
      </c>
      <c r="T110" s="62">
        <f t="shared" si="88"/>
        <v>168.91992124331932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287.69656598881124</v>
      </c>
      <c r="AO110" s="62">
        <f t="shared" si="90"/>
        <v>221.9773436301067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0.71483404922171756</v>
      </c>
      <c r="AW110" s="23">
        <f>EXP(-LN(2)/2)*AW109+(1-EXP(-LN(2)/2))/(LN(2)/2)*AQ110*AT110*VLOOKUP('Données projet'!$B$10,Paramètres!$A$1:$I$89,3,0)*0.475*44/12</f>
        <v>3.658548276204462E-11</v>
      </c>
      <c r="AX110" s="23">
        <f t="shared" si="60"/>
        <v>0.71483404925830307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4.9658410716801891E-14</v>
      </c>
      <c r="BF110" s="14">
        <f t="shared" si="91"/>
        <v>8.0934058173791862E-13</v>
      </c>
      <c r="BG110" s="22">
        <f t="shared" si="61"/>
        <v>1.4960899118586383E-12</v>
      </c>
      <c r="BH110" s="62">
        <f t="shared" si="62"/>
        <v>293.33333333333479</v>
      </c>
      <c r="BI110" s="62">
        <f ca="1">AVERAGE(OFFSET($BH$3,0,0,'Données projet'!$E$11+1,1))-AVERAGE(OFFSET($H$3,0,0,'Données projet'!$E$11+1,1))</f>
        <v>254.12694970606668</v>
      </c>
      <c r="BJ110" s="62">
        <f t="shared" si="92"/>
        <v>319.62868041131082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5.7808528362270719</v>
      </c>
      <c r="BQ110" s="23">
        <f>EXP(-LN(2)/25)*BQ109+(1-EXP(-LN(2)/25))/(LN(2)/25)*Calculateur!BL110*Calculateur!BN110*VLOOKUP('Données projet'!$B$11,Paramètres!$A$1:$I$89,3,0)*0.475*44/12</f>
        <v>2.5947506152941648</v>
      </c>
      <c r="BR110" s="23">
        <f>EXP(-LN(2)/2)*BR109+(1-EXP(-LN(2)/2))/(LN(2)/2)*BL110*BO110*VLOOKUP('Données projet'!$B$11,Paramètres!$A$1:$I$89,3,0)*0.475*44/12</f>
        <v>2.4598374700111417E-13</v>
      </c>
      <c r="BS110" s="24">
        <f t="shared" si="63"/>
        <v>8.3756034515214814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-2.1282176021486519E-13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228.57322051753096</v>
      </c>
      <c r="T111" s="62">
        <f t="shared" si="88"/>
        <v>168.91992124331932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287.69656598881124</v>
      </c>
      <c r="AO111" s="62">
        <f t="shared" si="90"/>
        <v>221.9773436301067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0.69528687455426086</v>
      </c>
      <c r="AW111" s="23">
        <f>EXP(-LN(2)/2)*AW110+(1-EXP(-LN(2)/2))/(LN(2)/2)*AQ111*AT111*VLOOKUP('Données projet'!$B$10,Paramètres!$A$1:$I$89,3,0)*0.475*44/12</f>
        <v>2.5869842954025292E-11</v>
      </c>
      <c r="AX111" s="23">
        <f t="shared" si="60"/>
        <v>0.69528687458013072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4.9658410716801891E-14</v>
      </c>
      <c r="BF111" s="14">
        <f t="shared" si="91"/>
        <v>8.0934058173791862E-13</v>
      </c>
      <c r="BG111" s="22">
        <f t="shared" si="61"/>
        <v>1.4960899118586383E-12</v>
      </c>
      <c r="BH111" s="62">
        <f t="shared" si="62"/>
        <v>293.33333333333479</v>
      </c>
      <c r="BI111" s="62">
        <f ca="1">AVERAGE(OFFSET($BH$3,0,0,'Données projet'!$E$11+1,1))-AVERAGE(OFFSET($H$3,0,0,'Données projet'!$E$11+1,1))</f>
        <v>254.12694970606668</v>
      </c>
      <c r="BJ111" s="62">
        <f t="shared" si="92"/>
        <v>319.62868041131082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5.6674938380807287</v>
      </c>
      <c r="BQ111" s="23">
        <f>EXP(-LN(2)/25)*BQ110+(1-EXP(-LN(2)/25))/(LN(2)/25)*Calculateur!BL111*Calculateur!BN111*VLOOKUP('Données projet'!$B$11,Paramètres!$A$1:$I$89,3,0)*0.475*44/12</f>
        <v>2.5237970232669413</v>
      </c>
      <c r="BR111" s="23">
        <f>EXP(-LN(2)/2)*BR110+(1-EXP(-LN(2)/2))/(LN(2)/2)*BL111*BO111*VLOOKUP('Données projet'!$B$11,Paramètres!$A$1:$I$89,3,0)*0.475*44/12</f>
        <v>1.739367755661639E-13</v>
      </c>
      <c r="BS111" s="24">
        <f t="shared" si="63"/>
        <v>8.191290861347845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-2.1282176021486519E-13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228.57322051753096</v>
      </c>
      <c r="T112" s="62">
        <f t="shared" si="88"/>
        <v>168.91992124331932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287.69656598881124</v>
      </c>
      <c r="AO112" s="62">
        <f t="shared" si="90"/>
        <v>221.9773436301067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0.67627421840602697</v>
      </c>
      <c r="AW112" s="23">
        <f>EXP(-LN(2)/2)*AW111+(1-EXP(-LN(2)/2))/(LN(2)/2)*AQ112*AT112*VLOOKUP('Données projet'!$B$10,Paramètres!$A$1:$I$89,3,0)*0.475*44/12</f>
        <v>1.829274138102231E-11</v>
      </c>
      <c r="AX112" s="23">
        <f t="shared" si="60"/>
        <v>0.67627421842431967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4.9658410716801891E-14</v>
      </c>
      <c r="BF112" s="14">
        <f t="shared" si="91"/>
        <v>8.0934058173791862E-13</v>
      </c>
      <c r="BG112" s="22">
        <f t="shared" si="61"/>
        <v>1.4960899118586383E-12</v>
      </c>
      <c r="BH112" s="62">
        <f t="shared" si="62"/>
        <v>293.33333333333479</v>
      </c>
      <c r="BI112" s="62">
        <f ca="1">AVERAGE(OFFSET($BH$3,0,0,'Données projet'!$E$11+1,1))-AVERAGE(OFFSET($H$3,0,0,'Données projet'!$E$11+1,1))</f>
        <v>254.12694970606668</v>
      </c>
      <c r="BJ112" s="62">
        <f t="shared" si="92"/>
        <v>319.62868041131082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5.5563577407458729</v>
      </c>
      <c r="BQ112" s="23">
        <f>EXP(-LN(2)/25)*BQ111+(1-EXP(-LN(2)/25))/(LN(2)/25)*Calculateur!BL112*Calculateur!BN112*VLOOKUP('Données projet'!$B$11,Paramètres!$A$1:$I$89,3,0)*0.475*44/12</f>
        <v>2.4547836609449898</v>
      </c>
      <c r="BR112" s="23">
        <f>EXP(-LN(2)/2)*BR111+(1-EXP(-LN(2)/2))/(LN(2)/2)*BL112*BO112*VLOOKUP('Données projet'!$B$11,Paramètres!$A$1:$I$89,3,0)*0.475*44/12</f>
        <v>1.2299187350055708E-13</v>
      </c>
      <c r="BS112" s="24">
        <f t="shared" si="63"/>
        <v>8.0111414016909848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-2.1282176021486519E-13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228.57322051753096</v>
      </c>
      <c r="T113" s="62">
        <f t="shared" si="88"/>
        <v>168.91992124331932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287.69656598881124</v>
      </c>
      <c r="AO113" s="62">
        <f t="shared" si="90"/>
        <v>221.9773436301067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0.65778146433999862</v>
      </c>
      <c r="AW113" s="23">
        <f>EXP(-LN(2)/2)*AW112+(1-EXP(-LN(2)/2))/(LN(2)/2)*AQ113*AT113*VLOOKUP('Données projet'!$B$10,Paramètres!$A$1:$I$89,3,0)*0.475*44/12</f>
        <v>1.2934921477012646E-11</v>
      </c>
      <c r="AX113" s="23">
        <f t="shared" si="60"/>
        <v>0.6577814643529335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4.9658410716801891E-14</v>
      </c>
      <c r="BF113" s="14">
        <f t="shared" si="91"/>
        <v>8.0934058173791862E-13</v>
      </c>
      <c r="BG113" s="22">
        <f t="shared" si="61"/>
        <v>1.4960899118586383E-12</v>
      </c>
      <c r="BH113" s="62">
        <f t="shared" si="62"/>
        <v>293.33333333333479</v>
      </c>
      <c r="BI113" s="62">
        <f ca="1">AVERAGE(OFFSET($BH$3,0,0,'Données projet'!$E$11+1,1))-AVERAGE(OFFSET($H$3,0,0,'Données projet'!$E$11+1,1))</f>
        <v>254.12694970606668</v>
      </c>
      <c r="BJ113" s="62">
        <f t="shared" si="92"/>
        <v>319.62868041131082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5.4474009544934283</v>
      </c>
      <c r="BQ113" s="23">
        <f>EXP(-LN(2)/25)*BQ112+(1-EXP(-LN(2)/25))/(LN(2)/25)*Calculateur!BL113*Calculateur!BN113*VLOOKUP('Données projet'!$B$11,Paramètres!$A$1:$I$89,3,0)*0.475*44/12</f>
        <v>2.3876574726449866</v>
      </c>
      <c r="BR113" s="23">
        <f>EXP(-LN(2)/2)*BR112+(1-EXP(-LN(2)/2))/(LN(2)/2)*BL113*BO113*VLOOKUP('Données projet'!$B$11,Paramètres!$A$1:$I$89,3,0)*0.475*44/12</f>
        <v>8.6968387783081951E-14</v>
      </c>
      <c r="BS113" s="24">
        <f t="shared" si="63"/>
        <v>7.8350584271385024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-2.1282176021486519E-13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228.57322051753096</v>
      </c>
      <c r="T114" s="62">
        <f t="shared" si="88"/>
        <v>168.91992124331932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287.69656598881124</v>
      </c>
      <c r="AO114" s="62">
        <f t="shared" si="90"/>
        <v>221.9773436301067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0.6397943956063975</v>
      </c>
      <c r="AW114" s="23">
        <f>EXP(-LN(2)/2)*AW113+(1-EXP(-LN(2)/2))/(LN(2)/2)*AQ114*AT114*VLOOKUP('Données projet'!$B$10,Paramètres!$A$1:$I$89,3,0)*0.475*44/12</f>
        <v>9.1463706905111551E-12</v>
      </c>
      <c r="AX114" s="23">
        <f t="shared" si="60"/>
        <v>0.63979439561554385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4.9658410716801891E-14</v>
      </c>
      <c r="BF114" s="14">
        <f t="shared" si="91"/>
        <v>8.0934058173791862E-13</v>
      </c>
      <c r="BG114" s="22">
        <f t="shared" si="61"/>
        <v>1.4960899118586383E-12</v>
      </c>
      <c r="BH114" s="62">
        <f t="shared" si="62"/>
        <v>293.33333333333479</v>
      </c>
      <c r="BI114" s="62">
        <f ca="1">AVERAGE(OFFSET($BH$3,0,0,'Données projet'!$E$11+1,1))-AVERAGE(OFFSET($H$3,0,0,'Données projet'!$E$11+1,1))</f>
        <v>254.12694970606668</v>
      </c>
      <c r="BJ114" s="62">
        <f t="shared" si="92"/>
        <v>319.62868041131082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5.3405807443623159</v>
      </c>
      <c r="BQ114" s="23">
        <f>EXP(-LN(2)/25)*BQ113+(1-EXP(-LN(2)/25))/(LN(2)/25)*Calculateur!BL114*Calculateur!BN114*VLOOKUP('Données projet'!$B$11,Paramètres!$A$1:$I$89,3,0)*0.475*44/12</f>
        <v>2.32236685349406</v>
      </c>
      <c r="BR114" s="23">
        <f>EXP(-LN(2)/2)*BR113+(1-EXP(-LN(2)/2))/(LN(2)/2)*BL114*BO114*VLOOKUP('Données projet'!$B$11,Paramètres!$A$1:$I$89,3,0)*0.475*44/12</f>
        <v>6.1495936750278541E-14</v>
      </c>
      <c r="BS114" s="24">
        <f t="shared" si="63"/>
        <v>7.6629475978564372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-2.1282176021486519E-13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228.57322051753096</v>
      </c>
      <c r="T115" s="62">
        <f t="shared" si="88"/>
        <v>168.91992124331932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287.69656598881124</v>
      </c>
      <c r="AO115" s="62">
        <f t="shared" si="90"/>
        <v>221.9773436301067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0.62229918421321562</v>
      </c>
      <c r="AW115" s="23">
        <f>EXP(-LN(2)/2)*AW114+(1-EXP(-LN(2)/2))/(LN(2)/2)*AQ115*AT115*VLOOKUP('Données projet'!$B$10,Paramètres!$A$1:$I$89,3,0)*0.475*44/12</f>
        <v>6.467460738506323E-12</v>
      </c>
      <c r="AX115" s="23">
        <f t="shared" si="60"/>
        <v>0.62229918421968311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4.9658410716801891E-14</v>
      </c>
      <c r="BF115" s="14">
        <f t="shared" si="91"/>
        <v>8.0934058173791862E-13</v>
      </c>
      <c r="BG115" s="22">
        <f t="shared" si="61"/>
        <v>1.4960899118586383E-12</v>
      </c>
      <c r="BH115" s="62">
        <f t="shared" si="62"/>
        <v>293.33333333333479</v>
      </c>
      <c r="BI115" s="62">
        <f ca="1">AVERAGE(OFFSET($BH$3,0,0,'Données projet'!$E$11+1,1))-AVERAGE(OFFSET($H$3,0,0,'Données projet'!$E$11+1,1))</f>
        <v>254.12694970606668</v>
      </c>
      <c r="BJ115" s="62">
        <f t="shared" si="92"/>
        <v>319.62868041131082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5.2358552133979801</v>
      </c>
      <c r="BQ115" s="23">
        <f>EXP(-LN(2)/25)*BQ114+(1-EXP(-LN(2)/25))/(LN(2)/25)*Calculateur!BL115*Calculateur!BN115*VLOOKUP('Données projet'!$B$11,Paramètres!$A$1:$I$89,3,0)*0.475*44/12</f>
        <v>2.2588616097572998</v>
      </c>
      <c r="BR115" s="23">
        <f>EXP(-LN(2)/2)*BR114+(1-EXP(-LN(2)/2))/(LN(2)/2)*BL115*BO115*VLOOKUP('Données projet'!$B$11,Paramètres!$A$1:$I$89,3,0)*0.475*44/12</f>
        <v>4.3484193891540975E-14</v>
      </c>
      <c r="BS115" s="24">
        <f t="shared" si="63"/>
        <v>7.4947168231553229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-2.1282176021486519E-13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228.57322051753096</v>
      </c>
      <c r="T116" s="62">
        <f t="shared" si="88"/>
        <v>168.91992124331932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287.69656598881124</v>
      </c>
      <c r="AO116" s="62">
        <f t="shared" si="90"/>
        <v>221.9773436301067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0.60528238029561343</v>
      </c>
      <c r="AW116" s="23">
        <f>EXP(-LN(2)/2)*AW115+(1-EXP(-LN(2)/2))/(LN(2)/2)*AQ116*AT116*VLOOKUP('Données projet'!$B$10,Paramètres!$A$1:$I$89,3,0)*0.475*44/12</f>
        <v>4.5731853452555775E-12</v>
      </c>
      <c r="AX116" s="23">
        <f t="shared" si="60"/>
        <v>0.60528238030018666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4.9658410716801891E-14</v>
      </c>
      <c r="BF116" s="14">
        <f t="shared" si="91"/>
        <v>8.0934058173791862E-13</v>
      </c>
      <c r="BG116" s="22">
        <f t="shared" si="61"/>
        <v>1.4960899118586383E-12</v>
      </c>
      <c r="BH116" s="62">
        <f t="shared" si="62"/>
        <v>293.33333333333479</v>
      </c>
      <c r="BI116" s="62">
        <f ca="1">AVERAGE(OFFSET($BH$3,0,0,'Données projet'!$E$11+1,1))-AVERAGE(OFFSET($H$3,0,0,'Données projet'!$E$11+1,1))</f>
        <v>254.12694970606668</v>
      </c>
      <c r="BJ116" s="62">
        <f t="shared" si="92"/>
        <v>319.62868041131082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5.1331832862195883</v>
      </c>
      <c r="BQ116" s="23">
        <f>EXP(-LN(2)/25)*BQ115+(1-EXP(-LN(2)/25))/(LN(2)/25)*Calculateur!BL116*Calculateur!BN116*VLOOKUP('Données projet'!$B$11,Paramètres!$A$1:$I$89,3,0)*0.475*44/12</f>
        <v>2.197092920250117</v>
      </c>
      <c r="BR116" s="23">
        <f>EXP(-LN(2)/2)*BR115+(1-EXP(-LN(2)/2))/(LN(2)/2)*BL116*BO116*VLOOKUP('Données projet'!$B$11,Paramètres!$A$1:$I$89,3,0)*0.475*44/12</f>
        <v>3.0747968375139271E-14</v>
      </c>
      <c r="BS116" s="24">
        <f t="shared" si="63"/>
        <v>7.330276206469736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-2.1282176021486519E-13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228.57322051753096</v>
      </c>
      <c r="T117" s="62">
        <f t="shared" si="88"/>
        <v>168.91992124331932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287.69656598881124</v>
      </c>
      <c r="AO117" s="62">
        <f t="shared" si="90"/>
        <v>221.9773436301067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0.58873090177601295</v>
      </c>
      <c r="AW117" s="23">
        <f>EXP(-LN(2)/2)*AW116+(1-EXP(-LN(2)/2))/(LN(2)/2)*AQ117*AT117*VLOOKUP('Données projet'!$B$10,Paramètres!$A$1:$I$89,3,0)*0.475*44/12</f>
        <v>3.2337303692531615E-12</v>
      </c>
      <c r="AX117" s="23">
        <f t="shared" si="60"/>
        <v>0.5887309017792467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4.9658410716801891E-14</v>
      </c>
      <c r="BF117" s="14">
        <f t="shared" si="91"/>
        <v>8.0934058173791862E-13</v>
      </c>
      <c r="BG117" s="22">
        <f t="shared" si="61"/>
        <v>1.4960899118586383E-12</v>
      </c>
      <c r="BH117" s="62">
        <f t="shared" si="62"/>
        <v>293.33333333333479</v>
      </c>
      <c r="BI117" s="62">
        <f ca="1">AVERAGE(OFFSET($BH$3,0,0,'Données projet'!$E$11+1,1))-AVERAGE(OFFSET($H$3,0,0,'Données projet'!$E$11+1,1))</f>
        <v>254.12694970606668</v>
      </c>
      <c r="BJ117" s="62">
        <f t="shared" si="92"/>
        <v>319.62868041131082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5.0325246929094725</v>
      </c>
      <c r="BQ117" s="23">
        <f>EXP(-LN(2)/25)*BQ116+(1-EXP(-LN(2)/25))/(LN(2)/25)*Calculateur!BL117*Calculateur!BN117*VLOOKUP('Données projet'!$B$11,Paramètres!$A$1:$I$89,3,0)*0.475*44/12</f>
        <v>2.1370132988057824</v>
      </c>
      <c r="BR117" s="23">
        <f>EXP(-LN(2)/2)*BR116+(1-EXP(-LN(2)/2))/(LN(2)/2)*BL117*BO117*VLOOKUP('Données projet'!$B$11,Paramètres!$A$1:$I$89,3,0)*0.475*44/12</f>
        <v>2.1742096945770488E-14</v>
      </c>
      <c r="BS117" s="24">
        <f t="shared" si="63"/>
        <v>7.1695379917152762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-2.1282176021486519E-13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228.57322051753096</v>
      </c>
      <c r="T118" s="62">
        <f t="shared" si="88"/>
        <v>168.91992124331932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287.69656598881124</v>
      </c>
      <c r="AO118" s="62">
        <f t="shared" si="90"/>
        <v>221.9773436301067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0.57263202430693527</v>
      </c>
      <c r="AW118" s="23">
        <f>EXP(-LN(2)/2)*AW117+(1-EXP(-LN(2)/2))/(LN(2)/2)*AQ118*AT118*VLOOKUP('Données projet'!$B$10,Paramètres!$A$1:$I$89,3,0)*0.475*44/12</f>
        <v>2.2865926726277888E-12</v>
      </c>
      <c r="AX118" s="23">
        <f t="shared" si="60"/>
        <v>0.57263202430922189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4.9658410716801891E-14</v>
      </c>
      <c r="BF118" s="14">
        <f t="shared" si="91"/>
        <v>8.0934058173791862E-13</v>
      </c>
      <c r="BG118" s="22">
        <f t="shared" si="61"/>
        <v>1.4960899118586383E-12</v>
      </c>
      <c r="BH118" s="62">
        <f t="shared" si="62"/>
        <v>293.33333333333479</v>
      </c>
      <c r="BI118" s="62">
        <f ca="1">AVERAGE(OFFSET($BH$3,0,0,'Données projet'!$E$11+1,1))-AVERAGE(OFFSET($H$3,0,0,'Données projet'!$E$11+1,1))</f>
        <v>254.12694970606668</v>
      </c>
      <c r="BJ118" s="62">
        <f t="shared" si="92"/>
        <v>319.62868041131082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4.9338399532184889</v>
      </c>
      <c r="BQ118" s="23">
        <f>EXP(-LN(2)/25)*BQ117+(1-EXP(-LN(2)/25))/(LN(2)/25)*Calculateur!BL118*Calculateur!BN118*VLOOKUP('Données projet'!$B$11,Paramètres!$A$1:$I$89,3,0)*0.475*44/12</f>
        <v>2.078576557769293</v>
      </c>
      <c r="BR118" s="23">
        <f>EXP(-LN(2)/2)*BR117+(1-EXP(-LN(2)/2))/(LN(2)/2)*BL118*BO118*VLOOKUP('Données projet'!$B$11,Paramètres!$A$1:$I$89,3,0)*0.475*44/12</f>
        <v>1.5373984187569635E-14</v>
      </c>
      <c r="BS118" s="24">
        <f t="shared" si="63"/>
        <v>7.0124165109877969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-2.1282176021486519E-13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228.57322051753096</v>
      </c>
      <c r="T119" s="62">
        <f t="shared" si="88"/>
        <v>168.91992124331932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287.69656598881124</v>
      </c>
      <c r="AO119" s="62">
        <f t="shared" si="90"/>
        <v>221.9773436301067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0.55697337148885273</v>
      </c>
      <c r="AW119" s="23">
        <f>EXP(-LN(2)/2)*AW118+(1-EXP(-LN(2)/2))/(LN(2)/2)*AQ119*AT119*VLOOKUP('Données projet'!$B$10,Paramètres!$A$1:$I$89,3,0)*0.475*44/12</f>
        <v>1.6168651846265807E-12</v>
      </c>
      <c r="AX119" s="23">
        <f t="shared" si="60"/>
        <v>0.55697337149046955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4.9658410716801891E-14</v>
      </c>
      <c r="BF119" s="14">
        <f t="shared" si="91"/>
        <v>8.0934058173791862E-13</v>
      </c>
      <c r="BG119" s="22">
        <f t="shared" si="61"/>
        <v>1.4960899118586383E-12</v>
      </c>
      <c r="BH119" s="62">
        <f t="shared" si="62"/>
        <v>293.33333333333479</v>
      </c>
      <c r="BI119" s="62">
        <f ca="1">AVERAGE(OFFSET($BH$3,0,0,'Données projet'!$E$11+1,1))-AVERAGE(OFFSET($H$3,0,0,'Données projet'!$E$11+1,1))</f>
        <v>254.12694970606668</v>
      </c>
      <c r="BJ119" s="62">
        <f t="shared" si="92"/>
        <v>319.62868041131082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4.8370903610810974</v>
      </c>
      <c r="BQ119" s="23">
        <f>EXP(-LN(2)/25)*BQ118+(1-EXP(-LN(2)/25))/(LN(2)/25)*Calculateur!BL119*Calculateur!BN119*VLOOKUP('Données projet'!$B$11,Paramètres!$A$1:$I$89,3,0)*0.475*44/12</f>
        <v>2.0217377724895012</v>
      </c>
      <c r="BR119" s="23">
        <f>EXP(-LN(2)/2)*BR118+(1-EXP(-LN(2)/2))/(LN(2)/2)*BL119*BO119*VLOOKUP('Données projet'!$B$11,Paramètres!$A$1:$I$89,3,0)*0.475*44/12</f>
        <v>1.0871048472885244E-14</v>
      </c>
      <c r="BS119" s="24">
        <f t="shared" si="63"/>
        <v>6.8588281335706096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-2.1282176021486519E-13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228.57322051753096</v>
      </c>
      <c r="T120" s="62">
        <f t="shared" si="88"/>
        <v>168.91992124331932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287.69656598881124</v>
      </c>
      <c r="AO120" s="62">
        <f t="shared" si="90"/>
        <v>221.9773436301067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0.54174290535553338</v>
      </c>
      <c r="AW120" s="23">
        <f>EXP(-LN(2)/2)*AW119+(1-EXP(-LN(2)/2))/(LN(2)/2)*AQ120*AT120*VLOOKUP('Données projet'!$B$10,Paramètres!$A$1:$I$89,3,0)*0.475*44/12</f>
        <v>1.1432963363138944E-12</v>
      </c>
      <c r="AX120" s="23">
        <f t="shared" si="60"/>
        <v>0.54174290535667669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4.9658410716801891E-14</v>
      </c>
      <c r="BF120" s="14">
        <f t="shared" si="91"/>
        <v>8.0934058173791862E-13</v>
      </c>
      <c r="BG120" s="22">
        <f t="shared" si="61"/>
        <v>1.4960899118586383E-12</v>
      </c>
      <c r="BH120" s="62">
        <f t="shared" si="62"/>
        <v>293.33333333333479</v>
      </c>
      <c r="BI120" s="62">
        <f ca="1">AVERAGE(OFFSET($BH$3,0,0,'Données projet'!$E$11+1,1))-AVERAGE(OFFSET($H$3,0,0,'Données projet'!$E$11+1,1))</f>
        <v>254.12694970606668</v>
      </c>
      <c r="BJ120" s="62">
        <f t="shared" si="92"/>
        <v>319.62868041131082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4.7422379694340959</v>
      </c>
      <c r="BQ120" s="23">
        <f>EXP(-LN(2)/25)*BQ119+(1-EXP(-LN(2)/25))/(LN(2)/25)*Calculateur!BL120*Calculateur!BN120*VLOOKUP('Données projet'!$B$11,Paramètres!$A$1:$I$89,3,0)*0.475*44/12</f>
        <v>1.9664532467822071</v>
      </c>
      <c r="BR120" s="23">
        <f>EXP(-LN(2)/2)*BR119+(1-EXP(-LN(2)/2))/(LN(2)/2)*BL120*BO120*VLOOKUP('Données projet'!$B$11,Paramètres!$A$1:$I$89,3,0)*0.475*44/12</f>
        <v>7.6869920937848177E-15</v>
      </c>
      <c r="BS120" s="24">
        <f t="shared" si="63"/>
        <v>6.7086912162163115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-2.1282176021486519E-13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228.57322051753096</v>
      </c>
      <c r="T121" s="62">
        <f t="shared" si="88"/>
        <v>168.91992124331932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287.69656598881124</v>
      </c>
      <c r="AO121" s="62">
        <f t="shared" si="90"/>
        <v>221.9773436301067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0.52692891711956513</v>
      </c>
      <c r="AW121" s="23">
        <f>EXP(-LN(2)/2)*AW120+(1-EXP(-LN(2)/2))/(LN(2)/2)*AQ121*AT121*VLOOKUP('Données projet'!$B$10,Paramètres!$A$1:$I$89,3,0)*0.475*44/12</f>
        <v>8.0843259231329037E-13</v>
      </c>
      <c r="AX121" s="23">
        <f t="shared" si="60"/>
        <v>0.5269289171203736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4.9658410716801891E-14</v>
      </c>
      <c r="BF121" s="14">
        <f t="shared" si="91"/>
        <v>8.0934058173791862E-13</v>
      </c>
      <c r="BG121" s="22">
        <f t="shared" si="61"/>
        <v>1.4960899118586383E-12</v>
      </c>
      <c r="BH121" s="62">
        <f t="shared" si="62"/>
        <v>293.33333333333479</v>
      </c>
      <c r="BI121" s="62">
        <f ca="1">AVERAGE(OFFSET($BH$3,0,0,'Données projet'!$E$11+1,1))-AVERAGE(OFFSET($H$3,0,0,'Données projet'!$E$11+1,1))</f>
        <v>254.12694970606668</v>
      </c>
      <c r="BJ121" s="62">
        <f t="shared" si="92"/>
        <v>319.62868041131082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4.6492455753330457</v>
      </c>
      <c r="BQ121" s="23">
        <f>EXP(-LN(2)/25)*BQ120+(1-EXP(-LN(2)/25))/(LN(2)/25)*Calculateur!BL121*Calculateur!BN121*VLOOKUP('Données projet'!$B$11,Paramètres!$A$1:$I$89,3,0)*0.475*44/12</f>
        <v>1.9126804793376657</v>
      </c>
      <c r="BR121" s="23">
        <f>EXP(-LN(2)/2)*BR120+(1-EXP(-LN(2)/2))/(LN(2)/2)*BL121*BO121*VLOOKUP('Données projet'!$B$11,Paramètres!$A$1:$I$89,3,0)*0.475*44/12</f>
        <v>5.4355242364426219E-15</v>
      </c>
      <c r="BS121" s="24">
        <f t="shared" si="63"/>
        <v>6.5619260546707165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-2.1282176021486519E-13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228.57322051753096</v>
      </c>
      <c r="T122" s="62">
        <f t="shared" si="88"/>
        <v>168.91992124331932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287.69656598881124</v>
      </c>
      <c r="AO122" s="62">
        <f t="shared" si="90"/>
        <v>221.9773436301067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0.51252001817094317</v>
      </c>
      <c r="AW122" s="23">
        <f>EXP(-LN(2)/2)*AW121+(1-EXP(-LN(2)/2))/(LN(2)/2)*AQ122*AT122*VLOOKUP('Données projet'!$B$10,Paramètres!$A$1:$I$89,3,0)*0.475*44/12</f>
        <v>5.7164816815694719E-13</v>
      </c>
      <c r="AX122" s="23">
        <f t="shared" si="60"/>
        <v>0.51252001817151482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4.9658410716801891E-14</v>
      </c>
      <c r="BF122" s="14">
        <f t="shared" si="91"/>
        <v>8.0934058173791862E-13</v>
      </c>
      <c r="BG122" s="22">
        <f t="shared" si="61"/>
        <v>1.4960899118586383E-12</v>
      </c>
      <c r="BH122" s="62">
        <f t="shared" si="62"/>
        <v>293.33333333333479</v>
      </c>
      <c r="BI122" s="62">
        <f ca="1">AVERAGE(OFFSET($BH$3,0,0,'Données projet'!$E$11+1,1))-AVERAGE(OFFSET($H$3,0,0,'Données projet'!$E$11+1,1))</f>
        <v>254.12694970606668</v>
      </c>
      <c r="BJ122" s="62">
        <f t="shared" si="92"/>
        <v>319.62868041131082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4.5580767053605573</v>
      </c>
      <c r="BQ122" s="23">
        <f>EXP(-LN(2)/25)*BQ121+(1-EXP(-LN(2)/25))/(LN(2)/25)*Calculateur!BL122*Calculateur!BN122*VLOOKUP('Données projet'!$B$11,Paramètres!$A$1:$I$89,3,0)*0.475*44/12</f>
        <v>1.8603781310466823</v>
      </c>
      <c r="BR122" s="23">
        <f>EXP(-LN(2)/2)*BR121+(1-EXP(-LN(2)/2))/(LN(2)/2)*BL122*BO122*VLOOKUP('Données projet'!$B$11,Paramètres!$A$1:$I$89,3,0)*0.475*44/12</f>
        <v>3.8434960468924088E-15</v>
      </c>
      <c r="BS122" s="24">
        <f t="shared" si="63"/>
        <v>6.4184548364072427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-2.1282176021486519E-13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228.57322051753096</v>
      </c>
      <c r="T123" s="62">
        <f t="shared" si="88"/>
        <v>168.91992124331932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287.69656598881124</v>
      </c>
      <c r="AO123" s="62">
        <f t="shared" si="90"/>
        <v>221.9773436301067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0.49850513132180235</v>
      </c>
      <c r="AW123" s="23">
        <f>EXP(-LN(2)/2)*AW122+(1-EXP(-LN(2)/2))/(LN(2)/2)*AQ123*AT123*VLOOKUP('Données projet'!$B$10,Paramètres!$A$1:$I$89,3,0)*0.475*44/12</f>
        <v>4.0421629615664519E-13</v>
      </c>
      <c r="AX123" s="23">
        <f t="shared" si="60"/>
        <v>0.49850513132220658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4.9658410716801891E-14</v>
      </c>
      <c r="BF123" s="14">
        <f t="shared" si="91"/>
        <v>8.0934058173791862E-13</v>
      </c>
      <c r="BG123" s="22">
        <f t="shared" si="61"/>
        <v>1.4960899118586383E-12</v>
      </c>
      <c r="BH123" s="62">
        <f t="shared" si="62"/>
        <v>293.33333333333479</v>
      </c>
      <c r="BI123" s="62">
        <f ca="1">AVERAGE(OFFSET($BH$3,0,0,'Données projet'!$E$11+1,1))-AVERAGE(OFFSET($H$3,0,0,'Données projet'!$E$11+1,1))</f>
        <v>254.12694970606668</v>
      </c>
      <c r="BJ123" s="62">
        <f t="shared" si="92"/>
        <v>319.62868041131082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4.46869560132071</v>
      </c>
      <c r="BQ123" s="23">
        <f>EXP(-LN(2)/25)*BQ122+(1-EXP(-LN(2)/25))/(LN(2)/25)*Calculateur!BL123*Calculateur!BN123*VLOOKUP('Données projet'!$B$11,Paramètres!$A$1:$I$89,3,0)*0.475*44/12</f>
        <v>1.8095059932201767</v>
      </c>
      <c r="BR123" s="23">
        <f>EXP(-LN(2)/2)*BR122+(1-EXP(-LN(2)/2))/(LN(2)/2)*BL123*BO123*VLOOKUP('Données projet'!$B$11,Paramètres!$A$1:$I$89,3,0)*0.475*44/12</f>
        <v>2.717762118221311E-15</v>
      </c>
      <c r="BS123" s="24">
        <f t="shared" si="63"/>
        <v>6.2782015945408896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-2.1282176021486519E-13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228.57322051753096</v>
      </c>
      <c r="T124" s="62">
        <f t="shared" si="88"/>
        <v>168.91992124331932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287.69656598881124</v>
      </c>
      <c r="AO124" s="62">
        <f t="shared" si="90"/>
        <v>221.9773436301067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0.48487348229056215</v>
      </c>
      <c r="AW124" s="23">
        <f>EXP(-LN(2)/2)*AW123+(1-EXP(-LN(2)/2))/(LN(2)/2)*AQ124*AT124*VLOOKUP('Données projet'!$B$10,Paramètres!$A$1:$I$89,3,0)*0.475*44/12</f>
        <v>2.858240840784736E-13</v>
      </c>
      <c r="AX124" s="23">
        <f t="shared" si="60"/>
        <v>0.48487348229084798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4.9658410716801891E-14</v>
      </c>
      <c r="BF124" s="14">
        <f t="shared" si="91"/>
        <v>8.0934058173791862E-13</v>
      </c>
      <c r="BG124" s="22">
        <f t="shared" si="61"/>
        <v>1.4960899118586383E-12</v>
      </c>
      <c r="BH124" s="62">
        <f t="shared" si="62"/>
        <v>293.33333333333479</v>
      </c>
      <c r="BI124" s="62">
        <f ca="1">AVERAGE(OFFSET($BH$3,0,0,'Données projet'!$E$11+1,1))-AVERAGE(OFFSET($H$3,0,0,'Données projet'!$E$11+1,1))</f>
        <v>254.12694970606668</v>
      </c>
      <c r="BJ124" s="62">
        <f t="shared" si="92"/>
        <v>319.62868041131082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4.3810672062139933</v>
      </c>
      <c r="BQ124" s="23">
        <f>EXP(-LN(2)/25)*BQ123+(1-EXP(-LN(2)/25))/(LN(2)/25)*Calculateur!BL124*Calculateur!BN124*VLOOKUP('Données projet'!$B$11,Paramètres!$A$1:$I$89,3,0)*0.475*44/12</f>
        <v>1.7600249566777864</v>
      </c>
      <c r="BR124" s="23">
        <f>EXP(-LN(2)/2)*BR123+(1-EXP(-LN(2)/2))/(LN(2)/2)*BL124*BO124*VLOOKUP('Données projet'!$B$11,Paramètres!$A$1:$I$89,3,0)*0.475*44/12</f>
        <v>1.9217480234462044E-15</v>
      </c>
      <c r="BS124" s="24">
        <f t="shared" si="63"/>
        <v>6.1410921628917814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-2.1282176021486519E-13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228.57322051753096</v>
      </c>
      <c r="T125" s="62">
        <f t="shared" si="88"/>
        <v>168.91992124331932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287.69656598881124</v>
      </c>
      <c r="AO125" s="62">
        <f t="shared" si="90"/>
        <v>221.9773436301067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0.47161459141893847</v>
      </c>
      <c r="AW125" s="23">
        <f>EXP(-LN(2)/2)*AW124+(1-EXP(-LN(2)/2))/(LN(2)/2)*AQ125*AT125*VLOOKUP('Données projet'!$B$10,Paramètres!$A$1:$I$89,3,0)*0.475*44/12</f>
        <v>2.0210814807832259E-13</v>
      </c>
      <c r="AX125" s="23">
        <f t="shared" si="60"/>
        <v>0.47161459141914058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4.9658410716801891E-14</v>
      </c>
      <c r="BF125" s="14">
        <f t="shared" si="91"/>
        <v>8.0934058173791862E-13</v>
      </c>
      <c r="BG125" s="22">
        <f t="shared" si="61"/>
        <v>1.4960899118586383E-12</v>
      </c>
      <c r="BH125" s="62">
        <f t="shared" si="62"/>
        <v>293.33333333333479</v>
      </c>
      <c r="BI125" s="62">
        <f ca="1">AVERAGE(OFFSET($BH$3,0,0,'Données projet'!$E$11+1,1))-AVERAGE(OFFSET($H$3,0,0,'Données projet'!$E$11+1,1))</f>
        <v>254.12694970606668</v>
      </c>
      <c r="BJ125" s="62">
        <f t="shared" si="92"/>
        <v>319.62868041131082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4.2951571504872756</v>
      </c>
      <c r="BQ125" s="23">
        <f>EXP(-LN(2)/25)*BQ124+(1-EXP(-LN(2)/25))/(LN(2)/25)*Calculateur!BL125*Calculateur!BN125*VLOOKUP('Données projet'!$B$11,Paramètres!$A$1:$I$89,3,0)*0.475*44/12</f>
        <v>1.7118969816817424</v>
      </c>
      <c r="BR125" s="23">
        <f>EXP(-LN(2)/2)*BR124+(1-EXP(-LN(2)/2))/(LN(2)/2)*BL125*BO125*VLOOKUP('Données projet'!$B$11,Paramètres!$A$1:$I$89,3,0)*0.475*44/12</f>
        <v>1.3588810591106555E-15</v>
      </c>
      <c r="BS125" s="24">
        <f t="shared" si="63"/>
        <v>6.0070541321690198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-2.1282176021486519E-13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228.57322051753096</v>
      </c>
      <c r="T126" s="62">
        <f t="shared" si="88"/>
        <v>168.91992124331932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287.69656598881124</v>
      </c>
      <c r="AO126" s="62">
        <f t="shared" si="90"/>
        <v>221.9773436301067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0.45871826561545415</v>
      </c>
      <c r="AW126" s="23">
        <f>EXP(-LN(2)/2)*AW125+(1-EXP(-LN(2)/2))/(LN(2)/2)*AQ126*AT126*VLOOKUP('Données projet'!$B$10,Paramètres!$A$1:$I$89,3,0)*0.475*44/12</f>
        <v>1.429120420392368E-13</v>
      </c>
      <c r="AX126" s="23">
        <f t="shared" si="60"/>
        <v>0.45871826561559703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4.9658410716801891E-14</v>
      </c>
      <c r="BF126" s="14">
        <f t="shared" si="91"/>
        <v>8.0934058173791862E-13</v>
      </c>
      <c r="BG126" s="22">
        <f t="shared" si="61"/>
        <v>1.4960899118586383E-12</v>
      </c>
      <c r="BH126" s="62">
        <f t="shared" si="62"/>
        <v>293.33333333333479</v>
      </c>
      <c r="BI126" s="62">
        <f ca="1">AVERAGE(OFFSET($BH$3,0,0,'Données projet'!$E$11+1,1))-AVERAGE(OFFSET($H$3,0,0,'Données projet'!$E$11+1,1))</f>
        <v>254.12694970606668</v>
      </c>
      <c r="BJ126" s="62">
        <f t="shared" si="92"/>
        <v>319.62868041131082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4.2109317385533993</v>
      </c>
      <c r="BQ126" s="23">
        <f>EXP(-LN(2)/25)*BQ125+(1-EXP(-LN(2)/25))/(LN(2)/25)*Calculateur!BL126*Calculateur!BN126*VLOOKUP('Données projet'!$B$11,Paramètres!$A$1:$I$89,3,0)*0.475*44/12</f>
        <v>1.6650850686929055</v>
      </c>
      <c r="BR126" s="23">
        <f>EXP(-LN(2)/2)*BR125+(1-EXP(-LN(2)/2))/(LN(2)/2)*BL126*BO126*VLOOKUP('Données projet'!$B$11,Paramètres!$A$1:$I$89,3,0)*0.475*44/12</f>
        <v>9.6087401172310221E-16</v>
      </c>
      <c r="BS126" s="24">
        <f t="shared" si="63"/>
        <v>5.8760168072463062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-2.1282176021486519E-13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228.57322051753096</v>
      </c>
      <c r="T127" s="62">
        <f t="shared" si="88"/>
        <v>168.91992124331932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287.69656598881124</v>
      </c>
      <c r="AO127" s="62">
        <f t="shared" si="90"/>
        <v>221.9773436301067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0.4461745905192544</v>
      </c>
      <c r="AW127" s="23">
        <f>EXP(-LN(2)/2)*AW126+(1-EXP(-LN(2)/2))/(LN(2)/2)*AQ127*AT127*VLOOKUP('Données projet'!$B$10,Paramètres!$A$1:$I$89,3,0)*0.475*44/12</f>
        <v>1.010540740391613E-13</v>
      </c>
      <c r="AX127" s="23">
        <f t="shared" si="60"/>
        <v>0.44617459051935543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4.9658410716801891E-14</v>
      </c>
      <c r="BF127" s="14">
        <f t="shared" si="91"/>
        <v>8.0934058173791862E-13</v>
      </c>
      <c r="BG127" s="22">
        <f t="shared" si="61"/>
        <v>1.4960899118586383E-12</v>
      </c>
      <c r="BH127" s="62">
        <f t="shared" si="62"/>
        <v>293.33333333333479</v>
      </c>
      <c r="BI127" s="62">
        <f ca="1">AVERAGE(OFFSET($BH$3,0,0,'Données projet'!$E$11+1,1))-AVERAGE(OFFSET($H$3,0,0,'Données projet'!$E$11+1,1))</f>
        <v>254.12694970606668</v>
      </c>
      <c r="BJ127" s="62">
        <f t="shared" si="92"/>
        <v>319.62868041131082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4.1283579355751181</v>
      </c>
      <c r="BQ127" s="23">
        <f>EXP(-LN(2)/25)*BQ126+(1-EXP(-LN(2)/25))/(LN(2)/25)*Calculateur!BL127*Calculateur!BN127*VLOOKUP('Données projet'!$B$11,Paramètres!$A$1:$I$89,3,0)*0.475*44/12</f>
        <v>1.6195532299264799</v>
      </c>
      <c r="BR127" s="23">
        <f>EXP(-LN(2)/2)*BR126+(1-EXP(-LN(2)/2))/(LN(2)/2)*BL127*BO127*VLOOKUP('Données projet'!$B$11,Paramètres!$A$1:$I$89,3,0)*0.475*44/12</f>
        <v>6.7944052955532774E-16</v>
      </c>
      <c r="BS127" s="24">
        <f t="shared" si="63"/>
        <v>5.7479111655015993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-2.1282176021486519E-13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228.57322051753096</v>
      </c>
      <c r="T128" s="62">
        <f t="shared" si="88"/>
        <v>168.91992124331932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287.69656598881124</v>
      </c>
      <c r="AO128" s="62">
        <f t="shared" si="90"/>
        <v>221.9773436301067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0.43397392287820341</v>
      </c>
      <c r="AW128" s="23">
        <f>EXP(-LN(2)/2)*AW127+(1-EXP(-LN(2)/2))/(LN(2)/2)*AQ128*AT128*VLOOKUP('Données projet'!$B$10,Paramètres!$A$1:$I$89,3,0)*0.475*44/12</f>
        <v>7.1456021019618399E-14</v>
      </c>
      <c r="AX128" s="23">
        <f t="shared" si="60"/>
        <v>0.43397392287827485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4.9658410716801891E-14</v>
      </c>
      <c r="BF128" s="14">
        <f t="shared" si="91"/>
        <v>8.0934058173791862E-13</v>
      </c>
      <c r="BG128" s="22">
        <f t="shared" si="61"/>
        <v>1.4960899118586383E-12</v>
      </c>
      <c r="BH128" s="62">
        <f t="shared" si="62"/>
        <v>293.33333333333479</v>
      </c>
      <c r="BI128" s="62">
        <f ca="1">AVERAGE(OFFSET($BH$3,0,0,'Données projet'!$E$11+1,1))-AVERAGE(OFFSET($H$3,0,0,'Données projet'!$E$11+1,1))</f>
        <v>254.12694970606668</v>
      </c>
      <c r="BJ128" s="62">
        <f t="shared" si="92"/>
        <v>319.62868041131082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4.0474033545081936</v>
      </c>
      <c r="BQ128" s="23">
        <f>EXP(-LN(2)/25)*BQ127+(1-EXP(-LN(2)/25))/(LN(2)/25)*Calculateur!BL128*Calculateur!BN128*VLOOKUP('Données projet'!$B$11,Paramètres!$A$1:$I$89,3,0)*0.475*44/12</f>
        <v>1.5752664616855374</v>
      </c>
      <c r="BR128" s="23">
        <f>EXP(-LN(2)/2)*BR127+(1-EXP(-LN(2)/2))/(LN(2)/2)*BL128*BO128*VLOOKUP('Données projet'!$B$11,Paramètres!$A$1:$I$89,3,0)*0.475*44/12</f>
        <v>4.804370058615511E-16</v>
      </c>
      <c r="BS128" s="24">
        <f t="shared" si="63"/>
        <v>5.6226698161937323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-2.1282176021486519E-13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228.57322051753096</v>
      </c>
      <c r="T129" s="62">
        <f t="shared" si="88"/>
        <v>168.91992124331932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287.69656598881124</v>
      </c>
      <c r="AO129" s="62">
        <f t="shared" si="90"/>
        <v>221.9773436301067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0.42210688313540218</v>
      </c>
      <c r="AW129" s="23">
        <f>EXP(-LN(2)/2)*AW128+(1-EXP(-LN(2)/2))/(LN(2)/2)*AQ129*AT129*VLOOKUP('Données projet'!$B$10,Paramètres!$A$1:$I$89,3,0)*0.475*44/12</f>
        <v>5.0527037019580648E-14</v>
      </c>
      <c r="AX129" s="23">
        <f t="shared" si="60"/>
        <v>0.42210688313545269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4.9658410716801891E-14</v>
      </c>
      <c r="BF129" s="14">
        <f t="shared" si="91"/>
        <v>8.0934058173791862E-13</v>
      </c>
      <c r="BG129" s="22">
        <f t="shared" si="61"/>
        <v>1.4960899118586383E-12</v>
      </c>
      <c r="BH129" s="62">
        <f t="shared" si="62"/>
        <v>293.33333333333479</v>
      </c>
      <c r="BI129" s="62">
        <f ca="1">AVERAGE(OFFSET($BH$3,0,0,'Données projet'!$E$11+1,1))-AVERAGE(OFFSET($H$3,0,0,'Données projet'!$E$11+1,1))</f>
        <v>254.12694970606668</v>
      </c>
      <c r="BJ129" s="62">
        <f t="shared" si="92"/>
        <v>319.62868041131082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3.968036243398573</v>
      </c>
      <c r="BQ129" s="23">
        <f>EXP(-LN(2)/25)*BQ128+(1-EXP(-LN(2)/25))/(LN(2)/25)*Calculateur!BL129*Calculateur!BN129*VLOOKUP('Données projet'!$B$11,Paramètres!$A$1:$I$89,3,0)*0.475*44/12</f>
        <v>1.5321907174510836</v>
      </c>
      <c r="BR129" s="23">
        <f>EXP(-LN(2)/2)*BR128+(1-EXP(-LN(2)/2))/(LN(2)/2)*BL129*BO129*VLOOKUP('Données projet'!$B$11,Paramètres!$A$1:$I$89,3,0)*0.475*44/12</f>
        <v>3.3972026477766387E-16</v>
      </c>
      <c r="BS129" s="24">
        <f t="shared" si="63"/>
        <v>5.5002269608496563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-2.1282176021486519E-13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228.57322051753096</v>
      </c>
      <c r="T130" s="62">
        <f t="shared" si="88"/>
        <v>168.91992124331932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287.69656598881124</v>
      </c>
      <c r="AO130" s="62">
        <f t="shared" si="90"/>
        <v>221.9773436301067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0.41056434821842835</v>
      </c>
      <c r="AW130" s="23">
        <f>EXP(-LN(2)/2)*AW129+(1-EXP(-LN(2)/2))/(LN(2)/2)*AQ130*AT130*VLOOKUP('Données projet'!$B$10,Paramètres!$A$1:$I$89,3,0)*0.475*44/12</f>
        <v>3.5728010509809199E-14</v>
      </c>
      <c r="AX130" s="23">
        <f t="shared" si="60"/>
        <v>0.4105643482184641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4.9658410716801891E-14</v>
      </c>
      <c r="BF130" s="14">
        <f t="shared" si="91"/>
        <v>8.0934058173791862E-13</v>
      </c>
      <c r="BG130" s="22">
        <f t="shared" si="61"/>
        <v>1.4960899118586383E-12</v>
      </c>
      <c r="BH130" s="62">
        <f t="shared" si="62"/>
        <v>293.33333333333479</v>
      </c>
      <c r="BI130" s="62">
        <f ca="1">AVERAGE(OFFSET($BH$3,0,0,'Données projet'!$E$11+1,1))-AVERAGE(OFFSET($H$3,0,0,'Données projet'!$E$11+1,1))</f>
        <v>254.12694970606668</v>
      </c>
      <c r="BJ130" s="62">
        <f t="shared" si="92"/>
        <v>319.62868041131082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3.8902254729286545</v>
      </c>
      <c r="BQ130" s="23">
        <f>EXP(-LN(2)/25)*BQ129+(1-EXP(-LN(2)/25))/(LN(2)/25)*Calculateur!BL130*Calculateur!BN130*VLOOKUP('Données projet'!$B$11,Paramètres!$A$1:$I$89,3,0)*0.475*44/12</f>
        <v>1.4902928817079757</v>
      </c>
      <c r="BR130" s="23">
        <f>EXP(-LN(2)/2)*BR129+(1-EXP(-LN(2)/2))/(LN(2)/2)*BL130*BO130*VLOOKUP('Données projet'!$B$11,Paramètres!$A$1:$I$89,3,0)*0.475*44/12</f>
        <v>2.4021850293077555E-16</v>
      </c>
      <c r="BS130" s="24">
        <f t="shared" si="63"/>
        <v>5.3805183546366298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-2.1282176021486519E-13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228.57322051753096</v>
      </c>
      <c r="T131" s="62">
        <f t="shared" si="88"/>
        <v>168.91992124331932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287.69656598881124</v>
      </c>
      <c r="AO131" s="62">
        <f t="shared" si="90"/>
        <v>221.9773436301067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0.3993374445257547</v>
      </c>
      <c r="AW131" s="23">
        <f>EXP(-LN(2)/2)*AW130+(1-EXP(-LN(2)/2))/(LN(2)/2)*AQ131*AT131*VLOOKUP('Données projet'!$B$10,Paramètres!$A$1:$I$89,3,0)*0.475*44/12</f>
        <v>2.5263518509790324E-14</v>
      </c>
      <c r="AX131" s="23">
        <f t="shared" si="60"/>
        <v>0.39933744452577996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4.9658410716801891E-14</v>
      </c>
      <c r="BF131" s="14">
        <f t="shared" si="91"/>
        <v>8.0934058173791862E-13</v>
      </c>
      <c r="BG131" s="22">
        <f t="shared" si="61"/>
        <v>1.4960899118586383E-12</v>
      </c>
      <c r="BH131" s="62">
        <f t="shared" si="62"/>
        <v>293.33333333333479</v>
      </c>
      <c r="BI131" s="62">
        <f ca="1">AVERAGE(OFFSET($BH$3,0,0,'Données projet'!$E$11+1,1))-AVERAGE(OFFSET($H$3,0,0,'Données projet'!$E$11+1,1))</f>
        <v>254.12694970606668</v>
      </c>
      <c r="BJ131" s="62">
        <f t="shared" si="92"/>
        <v>319.62868041131082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3.8139405242077671</v>
      </c>
      <c r="BQ131" s="23">
        <f>EXP(-LN(2)/25)*BQ130+(1-EXP(-LN(2)/25))/(LN(2)/25)*Calculateur!BL131*Calculateur!BN131*VLOOKUP('Données projet'!$B$11,Paramètres!$A$1:$I$89,3,0)*0.475*44/12</f>
        <v>1.4495407444865747</v>
      </c>
      <c r="BR131" s="23">
        <f>EXP(-LN(2)/2)*BR130+(1-EXP(-LN(2)/2))/(LN(2)/2)*BL131*BO131*VLOOKUP('Données projet'!$B$11,Paramètres!$A$1:$I$89,3,0)*0.475*44/12</f>
        <v>1.6986013238883194E-16</v>
      </c>
      <c r="BS131" s="24">
        <f t="shared" si="63"/>
        <v>5.263481268694342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-2.1282176021486519E-13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228.57322051753096</v>
      </c>
      <c r="T132" s="62">
        <f t="shared" si="88"/>
        <v>168.91992124331932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287.69656598881124</v>
      </c>
      <c r="AO132" s="62">
        <f t="shared" si="90"/>
        <v>221.9773436301067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0.38841754110495441</v>
      </c>
      <c r="AW132" s="23">
        <f>EXP(-LN(2)/2)*AW131+(1-EXP(-LN(2)/2))/(LN(2)/2)*AQ132*AT132*VLOOKUP('Données projet'!$B$10,Paramètres!$A$1:$I$89,3,0)*0.475*44/12</f>
        <v>1.78640052549046E-14</v>
      </c>
      <c r="AX132" s="23">
        <f t="shared" ref="AX132:AX153" si="114">SUM(AU132:AW132)</f>
        <v>0.38841754110497229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4.9658410716801891E-14</v>
      </c>
      <c r="BF132" s="14">
        <f t="shared" si="91"/>
        <v>8.0934058173791862E-13</v>
      </c>
      <c r="BG132" s="22">
        <f t="shared" ref="BG132:BG153" si="115">(BE132+BF132)*0.475*44/12</f>
        <v>1.4960899118586383E-12</v>
      </c>
      <c r="BH132" s="62">
        <f t="shared" ref="BH132:BH195" si="116">BG132+(AY132+AZ132)*44/12</f>
        <v>293.33333333333479</v>
      </c>
      <c r="BI132" s="62">
        <f ca="1">AVERAGE(OFFSET($BH$3,0,0,'Données projet'!$E$11+1,1))-AVERAGE(OFFSET($H$3,0,0,'Données projet'!$E$11+1,1))</f>
        <v>254.12694970606668</v>
      </c>
      <c r="BJ132" s="62">
        <f t="shared" si="92"/>
        <v>319.62868041131082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3.7391514768020722</v>
      </c>
      <c r="BQ132" s="23">
        <f>EXP(-LN(2)/25)*BQ131+(1-EXP(-LN(2)/25))/(LN(2)/25)*Calculateur!BL132*Calculateur!BN132*VLOOKUP('Données projet'!$B$11,Paramètres!$A$1:$I$89,3,0)*0.475*44/12</f>
        <v>1.4099029766005544</v>
      </c>
      <c r="BR132" s="23">
        <f>EXP(-LN(2)/2)*BR131+(1-EXP(-LN(2)/2))/(LN(2)/2)*BL132*BO132*VLOOKUP('Données projet'!$B$11,Paramètres!$A$1:$I$89,3,0)*0.475*44/12</f>
        <v>1.2010925146538778E-16</v>
      </c>
      <c r="BS132" s="24">
        <f t="shared" ref="BS132:BS153" si="117">SUM(BP132:BR132)</f>
        <v>5.149054453402627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-2.1282176021486519E-13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228.57322051753096</v>
      </c>
      <c r="T133" s="62">
        <f t="shared" ref="T133:T196" si="142">$T$3</f>
        <v>168.91992124331932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287.69656598881124</v>
      </c>
      <c r="AO133" s="62">
        <f t="shared" ref="AO133:AO196" si="144">$AO$3</f>
        <v>221.9773436301067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0.37779624301744869</v>
      </c>
      <c r="AW133" s="23">
        <f>EXP(-LN(2)/2)*AW132+(1-EXP(-LN(2)/2))/(LN(2)/2)*AQ133*AT133*VLOOKUP('Données projet'!$B$10,Paramètres!$A$1:$I$89,3,0)*0.475*44/12</f>
        <v>1.2631759254895162E-14</v>
      </c>
      <c r="AX133" s="23">
        <f t="shared" si="114"/>
        <v>0.37779624301746134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4.9658410716801891E-14</v>
      </c>
      <c r="BF133" s="14">
        <f t="shared" ref="BF133:BF153" si="145">EXP(-1.0587+0.8836*LN(BE133)+0.284)</f>
        <v>8.0934058173791862E-13</v>
      </c>
      <c r="BG133" s="22">
        <f t="shared" si="115"/>
        <v>1.4960899118586383E-12</v>
      </c>
      <c r="BH133" s="62">
        <f t="shared" si="116"/>
        <v>293.33333333333479</v>
      </c>
      <c r="BI133" s="62">
        <f ca="1">AVERAGE(OFFSET($BH$3,0,0,'Données projet'!$E$11+1,1))-AVERAGE(OFFSET($H$3,0,0,'Données projet'!$E$11+1,1))</f>
        <v>254.12694970606668</v>
      </c>
      <c r="BJ133" s="62">
        <f t="shared" ref="BJ133:BJ196" si="146">$BJ$3</f>
        <v>319.62868041131082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3.665828996999188</v>
      </c>
      <c r="BQ133" s="23">
        <f>EXP(-LN(2)/25)*BQ132+(1-EXP(-LN(2)/25))/(LN(2)/25)*Calculateur!BL133*Calculateur!BN133*VLOOKUP('Données projet'!$B$11,Paramètres!$A$1:$I$89,3,0)*0.475*44/12</f>
        <v>1.3713491055618372</v>
      </c>
      <c r="BR133" s="23">
        <f>EXP(-LN(2)/2)*BR132+(1-EXP(-LN(2)/2))/(LN(2)/2)*BL133*BO133*VLOOKUP('Données projet'!$B$11,Paramètres!$A$1:$I$89,3,0)*0.475*44/12</f>
        <v>8.4930066194415968E-17</v>
      </c>
      <c r="BS133" s="24">
        <f t="shared" si="117"/>
        <v>5.0371781025610254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-2.1282176021486519E-13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228.57322051753096</v>
      </c>
      <c r="T134" s="62">
        <f t="shared" si="142"/>
        <v>168.91992124331932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287.69656598881124</v>
      </c>
      <c r="AO134" s="62">
        <f t="shared" si="144"/>
        <v>221.9773436301067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0.3674653848846956</v>
      </c>
      <c r="AW134" s="23">
        <f>EXP(-LN(2)/2)*AW133+(1-EXP(-LN(2)/2))/(LN(2)/2)*AQ134*AT134*VLOOKUP('Données projet'!$B$10,Paramètres!$A$1:$I$89,3,0)*0.475*44/12</f>
        <v>8.9320026274522999E-15</v>
      </c>
      <c r="AX134" s="23">
        <f t="shared" si="114"/>
        <v>0.36746538488470454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4.9658410716801891E-14</v>
      </c>
      <c r="BF134" s="14">
        <f t="shared" si="145"/>
        <v>8.0934058173791862E-13</v>
      </c>
      <c r="BG134" s="22">
        <f t="shared" si="115"/>
        <v>1.4960899118586383E-12</v>
      </c>
      <c r="BH134" s="62">
        <f t="shared" si="116"/>
        <v>293.33333333333479</v>
      </c>
      <c r="BI134" s="62">
        <f ca="1">AVERAGE(OFFSET($BH$3,0,0,'Données projet'!$E$11+1,1))-AVERAGE(OFFSET($H$3,0,0,'Données projet'!$E$11+1,1))</f>
        <v>254.12694970606668</v>
      </c>
      <c r="BJ134" s="62">
        <f t="shared" si="146"/>
        <v>319.62868041131082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3.593944326302942</v>
      </c>
      <c r="BQ134" s="23">
        <f>EXP(-LN(2)/25)*BQ133+(1-EXP(-LN(2)/25))/(LN(2)/25)*Calculateur!BL134*Calculateur!BN134*VLOOKUP('Données projet'!$B$11,Paramètres!$A$1:$I$89,3,0)*0.475*44/12</f>
        <v>1.3338494921541335</v>
      </c>
      <c r="BR134" s="23">
        <f>EXP(-LN(2)/2)*BR133+(1-EXP(-LN(2)/2))/(LN(2)/2)*BL134*BO134*VLOOKUP('Données projet'!$B$11,Paramètres!$A$1:$I$89,3,0)*0.475*44/12</f>
        <v>6.0054625732693888E-17</v>
      </c>
      <c r="BS134" s="24">
        <f t="shared" si="117"/>
        <v>4.9277938184570758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-2.1282176021486519E-13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228.57322051753096</v>
      </c>
      <c r="T135" s="62">
        <f t="shared" si="142"/>
        <v>168.91992124331932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287.69656598881124</v>
      </c>
      <c r="AO135" s="62">
        <f t="shared" si="144"/>
        <v>221.9773436301067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0.35741702461085884</v>
      </c>
      <c r="AW135" s="23">
        <f>EXP(-LN(2)/2)*AW134+(1-EXP(-LN(2)/2))/(LN(2)/2)*AQ135*AT135*VLOOKUP('Données projet'!$B$10,Paramètres!$A$1:$I$89,3,0)*0.475*44/12</f>
        <v>6.315879627447581E-15</v>
      </c>
      <c r="AX135" s="23">
        <f t="shared" si="114"/>
        <v>0.35741702461086516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4.9658410716801891E-14</v>
      </c>
      <c r="BF135" s="14">
        <f t="shared" si="145"/>
        <v>8.0934058173791862E-13</v>
      </c>
      <c r="BG135" s="22">
        <f t="shared" si="115"/>
        <v>1.4960899118586383E-12</v>
      </c>
      <c r="BH135" s="62">
        <f t="shared" si="116"/>
        <v>293.33333333333479</v>
      </c>
      <c r="BI135" s="62">
        <f ca="1">AVERAGE(OFFSET($BH$3,0,0,'Données projet'!$E$11+1,1))-AVERAGE(OFFSET($H$3,0,0,'Données projet'!$E$11+1,1))</f>
        <v>254.12694970606668</v>
      </c>
      <c r="BJ135" s="62">
        <f t="shared" si="146"/>
        <v>319.62868041131082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3.5234692701537296</v>
      </c>
      <c r="BQ135" s="23">
        <f>EXP(-LN(2)/25)*BQ134+(1-EXP(-LN(2)/25))/(LN(2)/25)*Calculateur!BL135*Calculateur!BN135*VLOOKUP('Données projet'!$B$11,Paramètres!$A$1:$I$89,3,0)*0.475*44/12</f>
        <v>1.2973753076470824</v>
      </c>
      <c r="BR135" s="23">
        <f>EXP(-LN(2)/2)*BR134+(1-EXP(-LN(2)/2))/(LN(2)/2)*BL135*BO135*VLOOKUP('Données projet'!$B$11,Paramètres!$A$1:$I$89,3,0)*0.475*44/12</f>
        <v>4.2465033097207984E-17</v>
      </c>
      <c r="BS135" s="24">
        <f t="shared" si="117"/>
        <v>4.8208445778008118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-2.1282176021486519E-13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228.57322051753096</v>
      </c>
      <c r="T136" s="62">
        <f t="shared" si="142"/>
        <v>168.91992124331932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287.69656598881124</v>
      </c>
      <c r="AO136" s="62">
        <f t="shared" si="144"/>
        <v>221.9773436301067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0.34764343727713048</v>
      </c>
      <c r="AW136" s="23">
        <f>EXP(-LN(2)/2)*AW135+(1-EXP(-LN(2)/2))/(LN(2)/2)*AQ136*AT136*VLOOKUP('Données projet'!$B$10,Paramètres!$A$1:$I$89,3,0)*0.475*44/12</f>
        <v>4.4660013137261499E-15</v>
      </c>
      <c r="AX136" s="23">
        <f t="shared" si="114"/>
        <v>0.34764343727713493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4.9658410716801891E-14</v>
      </c>
      <c r="BF136" s="14">
        <f t="shared" si="145"/>
        <v>8.0934058173791862E-13</v>
      </c>
      <c r="BG136" s="22">
        <f t="shared" si="115"/>
        <v>1.4960899118586383E-12</v>
      </c>
      <c r="BH136" s="62">
        <f t="shared" si="116"/>
        <v>293.33333333333479</v>
      </c>
      <c r="BI136" s="62">
        <f ca="1">AVERAGE(OFFSET($BH$3,0,0,'Données projet'!$E$11+1,1))-AVERAGE(OFFSET($H$3,0,0,'Données projet'!$E$11+1,1))</f>
        <v>254.12694970606668</v>
      </c>
      <c r="BJ136" s="62">
        <f t="shared" si="146"/>
        <v>319.62868041131082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3.4543761868700633</v>
      </c>
      <c r="BQ136" s="23">
        <f>EXP(-LN(2)/25)*BQ135+(1-EXP(-LN(2)/25))/(LN(2)/25)*Calculateur!BL136*Calculateur!BN136*VLOOKUP('Données projet'!$B$11,Paramètres!$A$1:$I$89,3,0)*0.475*44/12</f>
        <v>1.2618985116334707</v>
      </c>
      <c r="BR136" s="23">
        <f>EXP(-LN(2)/2)*BR135+(1-EXP(-LN(2)/2))/(LN(2)/2)*BL136*BO136*VLOOKUP('Données projet'!$B$11,Paramètres!$A$1:$I$89,3,0)*0.475*44/12</f>
        <v>3.0027312866346944E-17</v>
      </c>
      <c r="BS136" s="24">
        <f t="shared" si="117"/>
        <v>4.7162746985035344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-2.1282176021486519E-13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228.57322051753096</v>
      </c>
      <c r="T137" s="62">
        <f t="shared" si="142"/>
        <v>168.91992124331932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287.69656598881124</v>
      </c>
      <c r="AO137" s="62">
        <f t="shared" si="144"/>
        <v>221.9773436301067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0.33813710920301354</v>
      </c>
      <c r="AW137" s="23">
        <f>EXP(-LN(2)/2)*AW136+(1-EXP(-LN(2)/2))/(LN(2)/2)*AQ137*AT137*VLOOKUP('Données projet'!$B$10,Paramètres!$A$1:$I$89,3,0)*0.475*44/12</f>
        <v>3.1579398137237905E-15</v>
      </c>
      <c r="AX137" s="23">
        <f t="shared" si="114"/>
        <v>0.33813710920301671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4.9658410716801891E-14</v>
      </c>
      <c r="BF137" s="14">
        <f t="shared" si="145"/>
        <v>8.0934058173791862E-13</v>
      </c>
      <c r="BG137" s="22">
        <f t="shared" si="115"/>
        <v>1.4960899118586383E-12</v>
      </c>
      <c r="BH137" s="62">
        <f t="shared" si="116"/>
        <v>293.33333333333479</v>
      </c>
      <c r="BI137" s="62">
        <f ca="1">AVERAGE(OFFSET($BH$3,0,0,'Données projet'!$E$11+1,1))-AVERAGE(OFFSET($H$3,0,0,'Données projet'!$E$11+1,1))</f>
        <v>254.12694970606668</v>
      </c>
      <c r="BJ137" s="62">
        <f t="shared" si="146"/>
        <v>319.62868041131082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3.3866379768069703</v>
      </c>
      <c r="BQ137" s="23">
        <f>EXP(-LN(2)/25)*BQ136+(1-EXP(-LN(2)/25))/(LN(2)/25)*Calculateur!BL137*Calculateur!BN137*VLOOKUP('Données projet'!$B$11,Paramètres!$A$1:$I$89,3,0)*0.475*44/12</f>
        <v>1.2273918304724949</v>
      </c>
      <c r="BR137" s="23">
        <f>EXP(-LN(2)/2)*BR136+(1-EXP(-LN(2)/2))/(LN(2)/2)*BL137*BO137*VLOOKUP('Données projet'!$B$11,Paramètres!$A$1:$I$89,3,0)*0.475*44/12</f>
        <v>2.1232516548603992E-17</v>
      </c>
      <c r="BS137" s="24">
        <f t="shared" si="117"/>
        <v>4.614029807279465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-2.1282176021486519E-13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228.57322051753096</v>
      </c>
      <c r="T138" s="62">
        <f t="shared" si="142"/>
        <v>168.91992124331932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287.69656598881124</v>
      </c>
      <c r="AO138" s="62">
        <f t="shared" si="144"/>
        <v>221.9773436301067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0.32889073216999937</v>
      </c>
      <c r="AW138" s="23">
        <f>EXP(-LN(2)/2)*AW137+(1-EXP(-LN(2)/2))/(LN(2)/2)*AQ138*AT138*VLOOKUP('Données projet'!$B$10,Paramètres!$A$1:$I$89,3,0)*0.475*44/12</f>
        <v>2.233000656863075E-15</v>
      </c>
      <c r="AX138" s="23">
        <f t="shared" si="114"/>
        <v>0.32889073217000159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4.9658410716801891E-14</v>
      </c>
      <c r="BF138" s="14">
        <f t="shared" si="145"/>
        <v>8.0934058173791862E-13</v>
      </c>
      <c r="BG138" s="22">
        <f t="shared" si="115"/>
        <v>1.4960899118586383E-12</v>
      </c>
      <c r="BH138" s="62">
        <f t="shared" si="116"/>
        <v>293.33333333333479</v>
      </c>
      <c r="BI138" s="62">
        <f ca="1">AVERAGE(OFFSET($BH$3,0,0,'Données projet'!$E$11+1,1))-AVERAGE(OFFSET($H$3,0,0,'Données projet'!$E$11+1,1))</f>
        <v>254.12694970606668</v>
      </c>
      <c r="BJ138" s="62">
        <f t="shared" si="146"/>
        <v>319.62868041131082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3.3202280717269859</v>
      </c>
      <c r="BQ138" s="23">
        <f>EXP(-LN(2)/25)*BQ137+(1-EXP(-LN(2)/25))/(LN(2)/25)*Calculateur!BL138*Calculateur!BN138*VLOOKUP('Données projet'!$B$11,Paramètres!$A$1:$I$89,3,0)*0.475*44/12</f>
        <v>1.1938287363224933</v>
      </c>
      <c r="BR138" s="23">
        <f>EXP(-LN(2)/2)*BR137+(1-EXP(-LN(2)/2))/(LN(2)/2)*BL138*BO138*VLOOKUP('Données projet'!$B$11,Paramètres!$A$1:$I$89,3,0)*0.475*44/12</f>
        <v>1.5013656433173472E-17</v>
      </c>
      <c r="BS138" s="24">
        <f t="shared" si="117"/>
        <v>4.514056808049479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-2.1282176021486519E-13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228.57322051753096</v>
      </c>
      <c r="T139" s="62">
        <f t="shared" si="142"/>
        <v>168.91992124331932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287.69656598881124</v>
      </c>
      <c r="AO139" s="62">
        <f t="shared" si="144"/>
        <v>221.9773436301067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0.31989719780319881</v>
      </c>
      <c r="AW139" s="23">
        <f>EXP(-LN(2)/2)*AW138+(1-EXP(-LN(2)/2))/(LN(2)/2)*AQ139*AT139*VLOOKUP('Données projet'!$B$10,Paramètres!$A$1:$I$89,3,0)*0.475*44/12</f>
        <v>1.5789699068618953E-15</v>
      </c>
      <c r="AX139" s="23">
        <f t="shared" si="114"/>
        <v>0.31989719780320036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4.9658410716801891E-14</v>
      </c>
      <c r="BF139" s="14">
        <f t="shared" si="145"/>
        <v>8.0934058173791862E-13</v>
      </c>
      <c r="BG139" s="22">
        <f t="shared" si="115"/>
        <v>1.4960899118586383E-12</v>
      </c>
      <c r="BH139" s="62">
        <f t="shared" si="116"/>
        <v>293.33333333333479</v>
      </c>
      <c r="BI139" s="62">
        <f ca="1">AVERAGE(OFFSET($BH$3,0,0,'Données projet'!$E$11+1,1))-AVERAGE(OFFSET($H$3,0,0,'Données projet'!$E$11+1,1))</f>
        <v>254.12694970606668</v>
      </c>
      <c r="BJ139" s="62">
        <f t="shared" si="146"/>
        <v>319.62868041131082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3.2551204243795775</v>
      </c>
      <c r="BQ139" s="23">
        <f>EXP(-LN(2)/25)*BQ138+(1-EXP(-LN(2)/25))/(LN(2)/25)*Calculateur!BL139*Calculateur!BN139*VLOOKUP('Données projet'!$B$11,Paramètres!$A$1:$I$89,3,0)*0.475*44/12</f>
        <v>1.16118342674703</v>
      </c>
      <c r="BR139" s="23">
        <f>EXP(-LN(2)/2)*BR138+(1-EXP(-LN(2)/2))/(LN(2)/2)*BL139*BO139*VLOOKUP('Données projet'!$B$11,Paramètres!$A$1:$I$89,3,0)*0.475*44/12</f>
        <v>1.0616258274301996E-17</v>
      </c>
      <c r="BS139" s="24">
        <f t="shared" si="117"/>
        <v>4.4163038511266075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-2.1282176021486519E-13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228.57322051753096</v>
      </c>
      <c r="T140" s="62">
        <f t="shared" si="142"/>
        <v>168.91992124331932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287.69656598881124</v>
      </c>
      <c r="AO140" s="62">
        <f t="shared" si="144"/>
        <v>221.9773436301067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0.31114959210660786</v>
      </c>
      <c r="AW140" s="23">
        <f>EXP(-LN(2)/2)*AW139+(1-EXP(-LN(2)/2))/(LN(2)/2)*AQ140*AT140*VLOOKUP('Données projet'!$B$10,Paramètres!$A$1:$I$89,3,0)*0.475*44/12</f>
        <v>1.1165003284315375E-15</v>
      </c>
      <c r="AX140" s="23">
        <f t="shared" si="114"/>
        <v>0.31114959210660897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4.9658410716801891E-14</v>
      </c>
      <c r="BF140" s="14">
        <f t="shared" si="145"/>
        <v>8.0934058173791862E-13</v>
      </c>
      <c r="BG140" s="22">
        <f t="shared" si="115"/>
        <v>1.4960899118586383E-12</v>
      </c>
      <c r="BH140" s="62">
        <f t="shared" si="116"/>
        <v>293.33333333333479</v>
      </c>
      <c r="BI140" s="62">
        <f ca="1">AVERAGE(OFFSET($BH$3,0,0,'Données projet'!$E$11+1,1))-AVERAGE(OFFSET($H$3,0,0,'Données projet'!$E$11+1,1))</f>
        <v>254.12694970606668</v>
      </c>
      <c r="BJ140" s="62">
        <f t="shared" si="146"/>
        <v>319.62868041131082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3.1912894982849083</v>
      </c>
      <c r="BQ140" s="23">
        <f>EXP(-LN(2)/25)*BQ139+(1-EXP(-LN(2)/25))/(LN(2)/25)*Calculateur!BL140*Calculateur!BN140*VLOOKUP('Données projet'!$B$11,Paramètres!$A$1:$I$89,3,0)*0.475*44/12</f>
        <v>1.1294308048786499</v>
      </c>
      <c r="BR140" s="23">
        <f>EXP(-LN(2)/2)*BR139+(1-EXP(-LN(2)/2))/(LN(2)/2)*BL140*BO140*VLOOKUP('Données projet'!$B$11,Paramètres!$A$1:$I$89,3,0)*0.475*44/12</f>
        <v>7.506828216586736E-18</v>
      </c>
      <c r="BS140" s="24">
        <f t="shared" si="117"/>
        <v>4.3207203031635579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-2.1282176021486519E-13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228.57322051753096</v>
      </c>
      <c r="T141" s="62">
        <f t="shared" si="142"/>
        <v>168.91992124331932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287.69656598881124</v>
      </c>
      <c r="AO141" s="62">
        <f t="shared" si="144"/>
        <v>221.9773436301067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0.30264119014780677</v>
      </c>
      <c r="AW141" s="23">
        <f>EXP(-LN(2)/2)*AW140+(1-EXP(-LN(2)/2))/(LN(2)/2)*AQ141*AT141*VLOOKUP('Données projet'!$B$10,Paramètres!$A$1:$I$89,3,0)*0.475*44/12</f>
        <v>7.8948495343094763E-16</v>
      </c>
      <c r="AX141" s="23">
        <f t="shared" si="114"/>
        <v>0.30264119014780755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4.9658410716801891E-14</v>
      </c>
      <c r="BF141" s="14">
        <f t="shared" si="145"/>
        <v>8.0934058173791862E-13</v>
      </c>
      <c r="BG141" s="22">
        <f t="shared" si="115"/>
        <v>1.4960899118586383E-12</v>
      </c>
      <c r="BH141" s="62">
        <f t="shared" si="116"/>
        <v>293.33333333333479</v>
      </c>
      <c r="BI141" s="62">
        <f ca="1">AVERAGE(OFFSET($BH$3,0,0,'Données projet'!$E$11+1,1))-AVERAGE(OFFSET($H$3,0,0,'Données projet'!$E$11+1,1))</f>
        <v>254.12694970606668</v>
      </c>
      <c r="BJ141" s="62">
        <f t="shared" si="146"/>
        <v>319.62868041131082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3.1287102577179349</v>
      </c>
      <c r="BQ141" s="23">
        <f>EXP(-LN(2)/25)*BQ140+(1-EXP(-LN(2)/25))/(LN(2)/25)*Calculateur!BL141*Calculateur!BN141*VLOOKUP('Données projet'!$B$11,Paramètres!$A$1:$I$89,3,0)*0.475*44/12</f>
        <v>1.0985464601250585</v>
      </c>
      <c r="BR141" s="23">
        <f>EXP(-LN(2)/2)*BR140+(1-EXP(-LN(2)/2))/(LN(2)/2)*BL141*BO141*VLOOKUP('Données projet'!$B$11,Paramètres!$A$1:$I$89,3,0)*0.475*44/12</f>
        <v>5.308129137150998E-18</v>
      </c>
      <c r="BS141" s="24">
        <f t="shared" si="117"/>
        <v>4.2272567178429936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-2.1282176021486519E-13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228.57322051753096</v>
      </c>
      <c r="T142" s="62">
        <f t="shared" si="142"/>
        <v>168.91992124331932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287.69656598881124</v>
      </c>
      <c r="AO142" s="62">
        <f t="shared" si="144"/>
        <v>221.9773436301067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0.29436545088800647</v>
      </c>
      <c r="AW142" s="23">
        <f>EXP(-LN(2)/2)*AW141+(1-EXP(-LN(2)/2))/(LN(2)/2)*AQ142*AT142*VLOOKUP('Données projet'!$B$10,Paramètres!$A$1:$I$89,3,0)*0.475*44/12</f>
        <v>5.5825016421576874E-16</v>
      </c>
      <c r="AX142" s="23">
        <f t="shared" si="114"/>
        <v>0.29436545088800703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4.9658410716801891E-14</v>
      </c>
      <c r="BF142" s="14">
        <f t="shared" si="145"/>
        <v>8.0934058173791862E-13</v>
      </c>
      <c r="BG142" s="22">
        <f t="shared" si="115"/>
        <v>1.4960899118586383E-12</v>
      </c>
      <c r="BH142" s="62">
        <f t="shared" si="116"/>
        <v>293.33333333333479</v>
      </c>
      <c r="BI142" s="62">
        <f ca="1">AVERAGE(OFFSET($BH$3,0,0,'Données projet'!$E$11+1,1))-AVERAGE(OFFSET($H$3,0,0,'Données projet'!$E$11+1,1))</f>
        <v>254.12694970606668</v>
      </c>
      <c r="BJ142" s="62">
        <f t="shared" si="146"/>
        <v>319.62868041131082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3.0673581578889118</v>
      </c>
      <c r="BQ142" s="23">
        <f>EXP(-LN(2)/25)*BQ141+(1-EXP(-LN(2)/25))/(LN(2)/25)*Calculateur!BL142*Calculateur!BN142*VLOOKUP('Données projet'!$B$11,Paramètres!$A$1:$I$89,3,0)*0.475*44/12</f>
        <v>1.0685066494028912</v>
      </c>
      <c r="BR142" s="23">
        <f>EXP(-LN(2)/2)*BR141+(1-EXP(-LN(2)/2))/(LN(2)/2)*BL142*BO142*VLOOKUP('Données projet'!$B$11,Paramètres!$A$1:$I$89,3,0)*0.475*44/12</f>
        <v>3.753414108293368E-18</v>
      </c>
      <c r="BS142" s="24">
        <f t="shared" si="117"/>
        <v>4.1358648072918029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-2.1282176021486519E-13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228.57322051753096</v>
      </c>
      <c r="T143" s="62">
        <f t="shared" si="142"/>
        <v>168.91992124331932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287.69656598881124</v>
      </c>
      <c r="AO143" s="62">
        <f t="shared" si="144"/>
        <v>221.9773436301067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0.28631601215346764</v>
      </c>
      <c r="AW143" s="23">
        <f>EXP(-LN(2)/2)*AW142+(1-EXP(-LN(2)/2))/(LN(2)/2)*AQ143*AT143*VLOOKUP('Données projet'!$B$10,Paramètres!$A$1:$I$89,3,0)*0.475*44/12</f>
        <v>3.9474247671547381E-16</v>
      </c>
      <c r="AX143" s="23">
        <f t="shared" si="114"/>
        <v>0.28631601215346802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4.9658410716801891E-14</v>
      </c>
      <c r="BF143" s="14">
        <f t="shared" si="145"/>
        <v>8.0934058173791862E-13</v>
      </c>
      <c r="BG143" s="22">
        <f t="shared" si="115"/>
        <v>1.4960899118586383E-12</v>
      </c>
      <c r="BH143" s="62">
        <f t="shared" si="116"/>
        <v>293.33333333333479</v>
      </c>
      <c r="BI143" s="62">
        <f ca="1">AVERAGE(OFFSET($BH$3,0,0,'Données projet'!$E$11+1,1))-AVERAGE(OFFSET($H$3,0,0,'Données projet'!$E$11+1,1))</f>
        <v>254.12694970606668</v>
      </c>
      <c r="BJ143" s="62">
        <f t="shared" si="146"/>
        <v>319.62868041131082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3.0072091353164501</v>
      </c>
      <c r="BQ143" s="23">
        <f>EXP(-LN(2)/25)*BQ142+(1-EXP(-LN(2)/25))/(LN(2)/25)*Calculateur!BL143*Calculateur!BN143*VLOOKUP('Données projet'!$B$11,Paramètres!$A$1:$I$89,3,0)*0.475*44/12</f>
        <v>1.0392882788846465</v>
      </c>
      <c r="BR143" s="23">
        <f>EXP(-LN(2)/2)*BR142+(1-EXP(-LN(2)/2))/(LN(2)/2)*BL143*BO143*VLOOKUP('Données projet'!$B$11,Paramètres!$A$1:$I$89,3,0)*0.475*44/12</f>
        <v>2.654064568575499E-18</v>
      </c>
      <c r="BS143" s="24">
        <f t="shared" si="117"/>
        <v>4.046497414201097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-2.1282176021486519E-13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228.57322051753096</v>
      </c>
      <c r="T144" s="62">
        <f t="shared" si="142"/>
        <v>168.91992124331932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287.69656598881124</v>
      </c>
      <c r="AO144" s="62">
        <f t="shared" si="144"/>
        <v>221.9773436301067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0.27848668574442637</v>
      </c>
      <c r="AW144" s="23">
        <f>EXP(-LN(2)/2)*AW143+(1-EXP(-LN(2)/2))/(LN(2)/2)*AQ144*AT144*VLOOKUP('Données projet'!$B$10,Paramètres!$A$1:$I$89,3,0)*0.475*44/12</f>
        <v>2.7912508210788437E-16</v>
      </c>
      <c r="AX144" s="23">
        <f t="shared" si="114"/>
        <v>0.27848668574442664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4.9658410716801891E-14</v>
      </c>
      <c r="BF144" s="14">
        <f t="shared" si="145"/>
        <v>8.0934058173791862E-13</v>
      </c>
      <c r="BG144" s="22">
        <f t="shared" si="115"/>
        <v>1.4960899118586383E-12</v>
      </c>
      <c r="BH144" s="62">
        <f t="shared" si="116"/>
        <v>293.33333333333479</v>
      </c>
      <c r="BI144" s="62">
        <f ca="1">AVERAGE(OFFSET($BH$3,0,0,'Données projet'!$E$11+1,1))-AVERAGE(OFFSET($H$3,0,0,'Données projet'!$E$11+1,1))</f>
        <v>254.12694970606668</v>
      </c>
      <c r="BJ144" s="62">
        <f t="shared" si="146"/>
        <v>319.62868041131082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2.9482395983893532</v>
      </c>
      <c r="BQ144" s="23">
        <f>EXP(-LN(2)/25)*BQ143+(1-EXP(-LN(2)/25))/(LN(2)/25)*Calculateur!BL144*Calculateur!BN144*VLOOKUP('Données projet'!$B$11,Paramètres!$A$1:$I$89,3,0)*0.475*44/12</f>
        <v>1.0108688862447506</v>
      </c>
      <c r="BR144" s="23">
        <f>EXP(-LN(2)/2)*BR143+(1-EXP(-LN(2)/2))/(LN(2)/2)*BL144*BO144*VLOOKUP('Données projet'!$B$11,Paramètres!$A$1:$I$89,3,0)*0.475*44/12</f>
        <v>1.876707054146684E-18</v>
      </c>
      <c r="BS144" s="24">
        <f t="shared" si="117"/>
        <v>3.959108484634104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-2.1282176021486519E-13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228.57322051753096</v>
      </c>
      <c r="T145" s="62">
        <f t="shared" si="142"/>
        <v>168.91992124331932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287.69656598881124</v>
      </c>
      <c r="AO145" s="62">
        <f t="shared" si="144"/>
        <v>221.9773436301067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0.27087145267776669</v>
      </c>
      <c r="AW145" s="23">
        <f>EXP(-LN(2)/2)*AW144+(1-EXP(-LN(2)/2))/(LN(2)/2)*AQ145*AT145*VLOOKUP('Données projet'!$B$10,Paramètres!$A$1:$I$89,3,0)*0.475*44/12</f>
        <v>1.9737123835773691E-16</v>
      </c>
      <c r="AX145" s="23">
        <f t="shared" si="114"/>
        <v>0.27087145267776691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4.9658410716801891E-14</v>
      </c>
      <c r="BF145" s="14">
        <f t="shared" si="145"/>
        <v>8.0934058173791862E-13</v>
      </c>
      <c r="BG145" s="22">
        <f t="shared" si="115"/>
        <v>1.4960899118586383E-12</v>
      </c>
      <c r="BH145" s="62">
        <f t="shared" si="116"/>
        <v>293.33333333333479</v>
      </c>
      <c r="BI145" s="62">
        <f ca="1">AVERAGE(OFFSET($BH$3,0,0,'Données projet'!$E$11+1,1))-AVERAGE(OFFSET($H$3,0,0,'Données projet'!$E$11+1,1))</f>
        <v>254.12694970606668</v>
      </c>
      <c r="BJ145" s="62">
        <f t="shared" si="146"/>
        <v>319.62868041131082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2.8904264181135306</v>
      </c>
      <c r="BQ145" s="23">
        <f>EXP(-LN(2)/25)*BQ144+(1-EXP(-LN(2)/25))/(LN(2)/25)*Calculateur!BL145*Calculateur!BN145*VLOOKUP('Données projet'!$B$11,Paramètres!$A$1:$I$89,3,0)*0.475*44/12</f>
        <v>0.98322662339110356</v>
      </c>
      <c r="BR145" s="23">
        <f>EXP(-LN(2)/2)*BR144+(1-EXP(-LN(2)/2))/(LN(2)/2)*BL145*BO145*VLOOKUP('Données projet'!$B$11,Paramètres!$A$1:$I$89,3,0)*0.475*44/12</f>
        <v>1.3270322842877495E-18</v>
      </c>
      <c r="BS145" s="24">
        <f t="shared" si="117"/>
        <v>3.8736530415046344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-2.1282176021486519E-13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228.57322051753096</v>
      </c>
      <c r="T146" s="62">
        <f t="shared" si="142"/>
        <v>168.91992124331932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287.69656598881124</v>
      </c>
      <c r="AO146" s="62">
        <f t="shared" si="144"/>
        <v>221.9773436301067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0.26346445855978257</v>
      </c>
      <c r="AW146" s="23">
        <f>EXP(-LN(2)/2)*AW145+(1-EXP(-LN(2)/2))/(LN(2)/2)*AQ146*AT146*VLOOKUP('Données projet'!$B$10,Paramètres!$A$1:$I$89,3,0)*0.475*44/12</f>
        <v>1.3956254105394219E-16</v>
      </c>
      <c r="AX146" s="23">
        <f t="shared" si="114"/>
        <v>0.26346445855978273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4.9658410716801891E-14</v>
      </c>
      <c r="BF146" s="14">
        <f t="shared" si="145"/>
        <v>8.0934058173791862E-13</v>
      </c>
      <c r="BG146" s="22">
        <f t="shared" si="115"/>
        <v>1.4960899118586383E-12</v>
      </c>
      <c r="BH146" s="62">
        <f t="shared" si="116"/>
        <v>293.33333333333479</v>
      </c>
      <c r="BI146" s="62">
        <f ca="1">AVERAGE(OFFSET($BH$3,0,0,'Données projet'!$E$11+1,1))-AVERAGE(OFFSET($H$3,0,0,'Données projet'!$E$11+1,1))</f>
        <v>254.12694970606668</v>
      </c>
      <c r="BJ146" s="62">
        <f t="shared" si="146"/>
        <v>319.62868041131082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2.833746919040359</v>
      </c>
      <c r="BQ146" s="23">
        <f>EXP(-LN(2)/25)*BQ145+(1-EXP(-LN(2)/25))/(LN(2)/25)*Calculateur!BL146*Calculateur!BN146*VLOOKUP('Données projet'!$B$11,Paramètres!$A$1:$I$89,3,0)*0.475*44/12</f>
        <v>0.95634023966883286</v>
      </c>
      <c r="BR146" s="23">
        <f>EXP(-LN(2)/2)*BR145+(1-EXP(-LN(2)/2))/(LN(2)/2)*BL146*BO146*VLOOKUP('Données projet'!$B$11,Paramètres!$A$1:$I$89,3,0)*0.475*44/12</f>
        <v>9.38353527073342E-19</v>
      </c>
      <c r="BS146" s="24">
        <f t="shared" si="117"/>
        <v>3.7900871587091918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-2.1282176021486519E-13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228.57322051753096</v>
      </c>
      <c r="T147" s="62">
        <f t="shared" si="142"/>
        <v>168.91992124331932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287.69656598881124</v>
      </c>
      <c r="AO147" s="62">
        <f t="shared" si="144"/>
        <v>221.9773436301067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0.25626000908547159</v>
      </c>
      <c r="AW147" s="23">
        <f>EXP(-LN(2)/2)*AW146+(1-EXP(-LN(2)/2))/(LN(2)/2)*AQ147*AT147*VLOOKUP('Données projet'!$B$10,Paramètres!$A$1:$I$89,3,0)*0.475*44/12</f>
        <v>9.8685619178868454E-17</v>
      </c>
      <c r="AX147" s="23">
        <f t="shared" si="114"/>
        <v>0.2562600090854717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4.9658410716801891E-14</v>
      </c>
      <c r="BF147" s="14">
        <f t="shared" si="145"/>
        <v>8.0934058173791862E-13</v>
      </c>
      <c r="BG147" s="22">
        <f t="shared" si="115"/>
        <v>1.4960899118586383E-12</v>
      </c>
      <c r="BH147" s="62">
        <f t="shared" si="116"/>
        <v>293.33333333333479</v>
      </c>
      <c r="BI147" s="62">
        <f ca="1">AVERAGE(OFFSET($BH$3,0,0,'Données projet'!$E$11+1,1))-AVERAGE(OFFSET($H$3,0,0,'Données projet'!$E$11+1,1))</f>
        <v>254.12694970606668</v>
      </c>
      <c r="BJ147" s="62">
        <f t="shared" si="146"/>
        <v>319.62868041131082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2.7781788703729315</v>
      </c>
      <c r="BQ147" s="23">
        <f>EXP(-LN(2)/25)*BQ146+(1-EXP(-LN(2)/25))/(LN(2)/25)*Calculateur!BL147*Calculateur!BN147*VLOOKUP('Données projet'!$B$11,Paramètres!$A$1:$I$89,3,0)*0.475*44/12</f>
        <v>0.93018906552334113</v>
      </c>
      <c r="BR147" s="23">
        <f>EXP(-LN(2)/2)*BR146+(1-EXP(-LN(2)/2))/(LN(2)/2)*BL147*BO147*VLOOKUP('Données projet'!$B$11,Paramètres!$A$1:$I$89,3,0)*0.475*44/12</f>
        <v>6.6351614214387475E-19</v>
      </c>
      <c r="BS147" s="24">
        <f t="shared" si="117"/>
        <v>3.7083679358962724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-2.1282176021486519E-13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228.57322051753096</v>
      </c>
      <c r="T148" s="62">
        <f t="shared" si="142"/>
        <v>168.91992124331932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287.69656598881124</v>
      </c>
      <c r="AO148" s="62">
        <f t="shared" si="144"/>
        <v>221.9773436301067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0.24925256566090118</v>
      </c>
      <c r="AW148" s="23">
        <f>EXP(-LN(2)/2)*AW147+(1-EXP(-LN(2)/2))/(LN(2)/2)*AQ148*AT148*VLOOKUP('Données projet'!$B$10,Paramètres!$A$1:$I$89,3,0)*0.475*44/12</f>
        <v>6.9781270526971093E-17</v>
      </c>
      <c r="AX148" s="23">
        <f t="shared" si="114"/>
        <v>0.24925256566090126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4.9658410716801891E-14</v>
      </c>
      <c r="BF148" s="14">
        <f t="shared" si="145"/>
        <v>8.0934058173791862E-13</v>
      </c>
      <c r="BG148" s="22">
        <f t="shared" si="115"/>
        <v>1.4960899118586383E-12</v>
      </c>
      <c r="BH148" s="62">
        <f t="shared" si="116"/>
        <v>293.33333333333479</v>
      </c>
      <c r="BI148" s="62">
        <f ca="1">AVERAGE(OFFSET($BH$3,0,0,'Données projet'!$E$11+1,1))-AVERAGE(OFFSET($H$3,0,0,'Données projet'!$E$11+1,1))</f>
        <v>254.12694970606668</v>
      </c>
      <c r="BJ148" s="62">
        <f t="shared" si="146"/>
        <v>319.62868041131082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2.7237004772467093</v>
      </c>
      <c r="BQ148" s="23">
        <f>EXP(-LN(2)/25)*BQ147+(1-EXP(-LN(2)/25))/(LN(2)/25)*Calculateur!BL148*Calculateur!BN148*VLOOKUP('Données projet'!$B$11,Paramètres!$A$1:$I$89,3,0)*0.475*44/12</f>
        <v>0.90475299661008834</v>
      </c>
      <c r="BR148" s="23">
        <f>EXP(-LN(2)/2)*BR147+(1-EXP(-LN(2)/2))/(LN(2)/2)*BL148*BO148*VLOOKUP('Données projet'!$B$11,Paramètres!$A$1:$I$89,3,0)*0.475*44/12</f>
        <v>4.69176763536671E-19</v>
      </c>
      <c r="BS148" s="24">
        <f t="shared" si="117"/>
        <v>3.6284534738567977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-2.1282176021486519E-13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228.57322051753096</v>
      </c>
      <c r="T149" s="62">
        <f t="shared" si="142"/>
        <v>168.91992124331932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287.69656598881124</v>
      </c>
      <c r="AO149" s="62">
        <f t="shared" si="144"/>
        <v>221.9773436301067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0.24243674114528108</v>
      </c>
      <c r="AW149" s="23">
        <f>EXP(-LN(2)/2)*AW148+(1-EXP(-LN(2)/2))/(LN(2)/2)*AQ149*AT149*VLOOKUP('Données projet'!$B$10,Paramètres!$A$1:$I$89,3,0)*0.475*44/12</f>
        <v>4.9342809589434227E-17</v>
      </c>
      <c r="AX149" s="23">
        <f t="shared" si="114"/>
        <v>0.24243674114528113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4.9658410716801891E-14</v>
      </c>
      <c r="BF149" s="14">
        <f t="shared" si="145"/>
        <v>8.0934058173791862E-13</v>
      </c>
      <c r="BG149" s="22">
        <f t="shared" si="115"/>
        <v>1.4960899118586383E-12</v>
      </c>
      <c r="BH149" s="62">
        <f t="shared" si="116"/>
        <v>293.33333333333479</v>
      </c>
      <c r="BI149" s="62">
        <f ca="1">AVERAGE(OFFSET($BH$3,0,0,'Données projet'!$E$11+1,1))-AVERAGE(OFFSET($H$3,0,0,'Données projet'!$E$11+1,1))</f>
        <v>254.12694970606668</v>
      </c>
      <c r="BJ149" s="62">
        <f t="shared" si="146"/>
        <v>319.62868041131082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2.6702903721811535</v>
      </c>
      <c r="BQ149" s="23">
        <f>EXP(-LN(2)/25)*BQ148+(1-EXP(-LN(2)/25))/(LN(2)/25)*Calculateur!BL149*Calculateur!BN149*VLOOKUP('Données projet'!$B$11,Paramètres!$A$1:$I$89,3,0)*0.475*44/12</f>
        <v>0.88001247833889318</v>
      </c>
      <c r="BR149" s="23">
        <f>EXP(-LN(2)/2)*BR148+(1-EXP(-LN(2)/2))/(LN(2)/2)*BL149*BO149*VLOOKUP('Données projet'!$B$11,Paramètres!$A$1:$I$89,3,0)*0.475*44/12</f>
        <v>3.3175807107193737E-19</v>
      </c>
      <c r="BS149" s="24">
        <f t="shared" si="117"/>
        <v>3.5503028505200467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-2.1282176021486519E-13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228.57322051753096</v>
      </c>
      <c r="T150" s="62">
        <f t="shared" si="142"/>
        <v>168.91992124331932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287.69656598881124</v>
      </c>
      <c r="AO150" s="62">
        <f t="shared" si="144"/>
        <v>221.9773436301067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0.23580729570946923</v>
      </c>
      <c r="AW150" s="23">
        <f>EXP(-LN(2)/2)*AW149+(1-EXP(-LN(2)/2))/(LN(2)/2)*AQ150*AT150*VLOOKUP('Données projet'!$B$10,Paramètres!$A$1:$I$89,3,0)*0.475*44/12</f>
        <v>3.4890635263485546E-17</v>
      </c>
      <c r="AX150" s="23">
        <f t="shared" si="114"/>
        <v>0.23580729570946926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4.9658410716801891E-14</v>
      </c>
      <c r="BF150" s="14">
        <f t="shared" si="145"/>
        <v>8.0934058173791862E-13</v>
      </c>
      <c r="BG150" s="22">
        <f t="shared" si="115"/>
        <v>1.4960899118586383E-12</v>
      </c>
      <c r="BH150" s="62">
        <f t="shared" si="116"/>
        <v>293.33333333333479</v>
      </c>
      <c r="BI150" s="62">
        <f ca="1">AVERAGE(OFFSET($BH$3,0,0,'Données projet'!$E$11+1,1))-AVERAGE(OFFSET($H$3,0,0,'Données projet'!$E$11+1,1))</f>
        <v>254.12694970606668</v>
      </c>
      <c r="BJ150" s="62">
        <f t="shared" si="146"/>
        <v>319.62868041131082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2.6179276066989856</v>
      </c>
      <c r="BQ150" s="23">
        <f>EXP(-LN(2)/25)*BQ149+(1-EXP(-LN(2)/25))/(LN(2)/25)*Calculateur!BL150*Calculateur!BN150*VLOOKUP('Données projet'!$B$11,Paramètres!$A$1:$I$89,3,0)*0.475*44/12</f>
        <v>0.85594849084087121</v>
      </c>
      <c r="BR150" s="23">
        <f>EXP(-LN(2)/2)*BR149+(1-EXP(-LN(2)/2))/(LN(2)/2)*BL150*BO150*VLOOKUP('Données projet'!$B$11,Paramètres!$A$1:$I$89,3,0)*0.475*44/12</f>
        <v>2.345883817683355E-19</v>
      </c>
      <c r="BS150" s="24">
        <f t="shared" si="117"/>
        <v>3.4738760975398568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-2.1282176021486519E-13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228.57322051753096</v>
      </c>
      <c r="T151" s="62">
        <f t="shared" si="142"/>
        <v>168.91992124331932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287.69656598881124</v>
      </c>
      <c r="AO151" s="62">
        <f t="shared" si="144"/>
        <v>221.9773436301067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0.22935913280772707</v>
      </c>
      <c r="AW151" s="23">
        <f>EXP(-LN(2)/2)*AW150+(1-EXP(-LN(2)/2))/(LN(2)/2)*AQ151*AT151*VLOOKUP('Données projet'!$B$10,Paramètres!$A$1:$I$89,3,0)*0.475*44/12</f>
        <v>2.4671404794717113E-17</v>
      </c>
      <c r="AX151" s="23">
        <f t="shared" si="114"/>
        <v>0.2293591328077271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4.9658410716801891E-14</v>
      </c>
      <c r="BF151" s="14">
        <f t="shared" si="145"/>
        <v>8.0934058173791862E-13</v>
      </c>
      <c r="BG151" s="22">
        <f t="shared" si="115"/>
        <v>1.4960899118586383E-12</v>
      </c>
      <c r="BH151" s="62">
        <f t="shared" si="116"/>
        <v>293.33333333333479</v>
      </c>
      <c r="BI151" s="62">
        <f ca="1">AVERAGE(OFFSET($BH$3,0,0,'Données projet'!$E$11+1,1))-AVERAGE(OFFSET($H$3,0,0,'Données projet'!$E$11+1,1))</f>
        <v>254.12694970606668</v>
      </c>
      <c r="BJ151" s="62">
        <f t="shared" si="146"/>
        <v>319.62868041131082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2.5665916431097897</v>
      </c>
      <c r="BQ151" s="23">
        <f>EXP(-LN(2)/25)*BQ150+(1-EXP(-LN(2)/25))/(LN(2)/25)*Calculateur!BL151*Calculateur!BN151*VLOOKUP('Données projet'!$B$11,Paramètres!$A$1:$I$89,3,0)*0.475*44/12</f>
        <v>0.83254253434645276</v>
      </c>
      <c r="BR151" s="23">
        <f>EXP(-LN(2)/2)*BR150+(1-EXP(-LN(2)/2))/(LN(2)/2)*BL151*BO151*VLOOKUP('Données projet'!$B$11,Paramètres!$A$1:$I$89,3,0)*0.475*44/12</f>
        <v>1.6587903553596869E-19</v>
      </c>
      <c r="BS151" s="24">
        <f t="shared" si="117"/>
        <v>3.3991341774562427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-2.1282176021486519E-13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228.57322051753096</v>
      </c>
      <c r="T152" s="62">
        <f t="shared" si="142"/>
        <v>168.91992124331932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287.69656598881124</v>
      </c>
      <c r="AO152" s="62">
        <f t="shared" si="144"/>
        <v>221.9773436301067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0.2230872952596272</v>
      </c>
      <c r="AW152" s="23">
        <f>EXP(-LN(2)/2)*AW151+(1-EXP(-LN(2)/2))/(LN(2)/2)*AQ152*AT152*VLOOKUP('Données projet'!$B$10,Paramètres!$A$1:$I$89,3,0)*0.475*44/12</f>
        <v>1.7445317631742773E-17</v>
      </c>
      <c r="AX152" s="23">
        <f t="shared" si="114"/>
        <v>0.22308729525962723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4.9658410716801891E-14</v>
      </c>
      <c r="BF152" s="14">
        <f t="shared" si="145"/>
        <v>8.0934058173791862E-13</v>
      </c>
      <c r="BG152" s="22">
        <f t="shared" si="115"/>
        <v>1.4960899118586383E-12</v>
      </c>
      <c r="BH152" s="62">
        <f t="shared" si="116"/>
        <v>293.33333333333479</v>
      </c>
      <c r="BI152" s="62">
        <f ca="1">AVERAGE(OFFSET($BH$3,0,0,'Données projet'!$E$11+1,1))-AVERAGE(OFFSET($H$3,0,0,'Données projet'!$E$11+1,1))</f>
        <v>254.12694970606668</v>
      </c>
      <c r="BJ152" s="62">
        <f t="shared" si="146"/>
        <v>319.62868041131082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2.5162623464547322</v>
      </c>
      <c r="BQ152" s="23">
        <f>EXP(-LN(2)/25)*BQ151+(1-EXP(-LN(2)/25))/(LN(2)/25)*Calculateur!BL152*Calculateur!BN152*VLOOKUP('Données projet'!$B$11,Paramètres!$A$1:$I$89,3,0)*0.475*44/12</f>
        <v>0.80977661496323994</v>
      </c>
      <c r="BR152" s="23">
        <f>EXP(-LN(2)/2)*BR151+(1-EXP(-LN(2)/2))/(LN(2)/2)*BL152*BO152*VLOOKUP('Données projet'!$B$11,Paramètres!$A$1:$I$89,3,0)*0.475*44/12</f>
        <v>1.1729419088416775E-19</v>
      </c>
      <c r="BS152" s="24">
        <f t="shared" si="117"/>
        <v>3.3260389614179724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-2.1282176021486519E-13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228.57322051753096</v>
      </c>
      <c r="T153" s="62">
        <f t="shared" si="142"/>
        <v>168.91992124331932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287.69656598881124</v>
      </c>
      <c r="AO153" s="62">
        <f t="shared" si="144"/>
        <v>221.9773436301067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0.21698696143910171</v>
      </c>
      <c r="AW153" s="23">
        <f>EXP(-LN(2)/2)*AW152+(1-EXP(-LN(2)/2))/(LN(2)/2)*AQ153*AT153*VLOOKUP('Données projet'!$B$10,Paramètres!$A$1:$I$89,3,0)*0.475*44/12</f>
        <v>1.2335702397358557E-17</v>
      </c>
      <c r="AX153" s="23">
        <f t="shared" si="114"/>
        <v>0.21698696143910171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4.9658410716801891E-14</v>
      </c>
      <c r="BF153" s="14">
        <f t="shared" si="145"/>
        <v>8.0934058173791862E-13</v>
      </c>
      <c r="BG153" s="22">
        <f t="shared" si="115"/>
        <v>1.4960899118586383E-12</v>
      </c>
      <c r="BH153" s="62">
        <f t="shared" si="116"/>
        <v>293.33333333333479</v>
      </c>
      <c r="BI153" s="62">
        <f ca="1">AVERAGE(OFFSET($BH$3,0,0,'Données projet'!$E$11+1,1))-AVERAGE(OFFSET($H$3,0,0,'Données projet'!$E$11+1,1))</f>
        <v>254.12694970606668</v>
      </c>
      <c r="BJ153" s="62">
        <f t="shared" si="146"/>
        <v>319.62868041131082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2.4669199766092405</v>
      </c>
      <c r="BQ153" s="23">
        <f>EXP(-LN(2)/25)*BQ152+(1-EXP(-LN(2)/25))/(LN(2)/25)*Calculateur!BL153*Calculateur!BN153*VLOOKUP('Données projet'!$B$11,Paramètres!$A$1:$I$89,3,0)*0.475*44/12</f>
        <v>0.78763323084276871</v>
      </c>
      <c r="BR153" s="23">
        <f>EXP(-LN(2)/2)*BR152+(1-EXP(-LN(2)/2))/(LN(2)/2)*BL153*BO153*VLOOKUP('Données projet'!$B$11,Paramètres!$A$1:$I$89,3,0)*0.475*44/12</f>
        <v>8.2939517767984343E-20</v>
      </c>
      <c r="BS153" s="24">
        <f t="shared" si="117"/>
        <v>3.2545532074520089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-2.1282176021486519E-13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228.57322051753096</v>
      </c>
      <c r="T154" s="62">
        <f t="shared" si="142"/>
        <v>168.91992124331932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287.69656598881124</v>
      </c>
      <c r="AO154" s="62">
        <f t="shared" si="144"/>
        <v>221.9773436301067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0.21105344156770109</v>
      </c>
      <c r="AW154" s="23">
        <f>EXP(-LN(2)/2)*AW153+(1-EXP(-LN(2)/2))/(LN(2)/2)*AQ154*AT154*VLOOKUP('Données projet'!$B$10,Paramètres!$A$1:$I$89,3,0)*0.475*44/12</f>
        <v>8.7226588158713866E-18</v>
      </c>
      <c r="AX154" s="23">
        <f t="shared" ref="AX154:AX203" si="166">SUM(AU154:AW154)</f>
        <v>0.21105344156770109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4.9658410716801891E-14</v>
      </c>
      <c r="BF154" s="14">
        <f t="shared" ref="BF154:BF203" si="167">EXP(-1.0587+0.8836*LN(BE154)+0.284)</f>
        <v>8.0934058173791862E-13</v>
      </c>
      <c r="BG154" s="22">
        <f t="shared" ref="BG154:BG203" si="168">(BE154+BF154)*0.475*44/12</f>
        <v>1.4960899118586383E-12</v>
      </c>
      <c r="BH154" s="62">
        <f t="shared" si="116"/>
        <v>293.33333333333479</v>
      </c>
      <c r="BI154" s="62">
        <f ca="1">AVERAGE(OFFSET($BH$3,0,0,'Données projet'!$E$11+1,1))-AVERAGE(OFFSET($H$3,0,0,'Données projet'!$E$11+1,1))</f>
        <v>254.12694970606668</v>
      </c>
      <c r="BJ154" s="62">
        <f t="shared" si="146"/>
        <v>319.62868041131082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2.4185451805405447</v>
      </c>
      <c r="BQ154" s="23">
        <f>EXP(-LN(2)/25)*BQ153+(1-EXP(-LN(2)/25))/(LN(2)/25)*Calculateur!BL154*Calculateur!BN154*VLOOKUP('Données projet'!$B$11,Paramètres!$A$1:$I$89,3,0)*0.475*44/12</f>
        <v>0.7660953587255418</v>
      </c>
      <c r="BR154" s="23">
        <f>EXP(-LN(2)/2)*BR153+(1-EXP(-LN(2)/2))/(LN(2)/2)*BL154*BO154*VLOOKUP('Données projet'!$B$11,Paramètres!$A$1:$I$89,3,0)*0.475*44/12</f>
        <v>5.8647095442083875E-20</v>
      </c>
      <c r="BS154" s="24">
        <f t="shared" ref="BS154:BS203" si="169">SUM(BP154:BR154)</f>
        <v>3.1846405392660864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-2.1282176021486519E-13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228.57322051753096</v>
      </c>
      <c r="T155" s="62">
        <f t="shared" si="142"/>
        <v>168.91992124331932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287.69656598881124</v>
      </c>
      <c r="AO155" s="62">
        <f t="shared" si="144"/>
        <v>221.9773436301067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0.20528217410921418</v>
      </c>
      <c r="AW155" s="23">
        <f>EXP(-LN(2)/2)*AW154+(1-EXP(-LN(2)/2))/(LN(2)/2)*AQ155*AT155*VLOOKUP('Données projet'!$B$10,Paramètres!$A$1:$I$89,3,0)*0.475*44/12</f>
        <v>6.1678511986792784E-18</v>
      </c>
      <c r="AX155" s="23">
        <f t="shared" si="166"/>
        <v>0.20528217410921418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4.9658410716801891E-14</v>
      </c>
      <c r="BF155" s="14">
        <f t="shared" si="167"/>
        <v>8.0934058173791862E-13</v>
      </c>
      <c r="BG155" s="22">
        <f t="shared" si="168"/>
        <v>1.4960899118586383E-12</v>
      </c>
      <c r="BH155" s="62">
        <f t="shared" si="116"/>
        <v>293.33333333333479</v>
      </c>
      <c r="BI155" s="62">
        <f ca="1">AVERAGE(OFFSET($BH$3,0,0,'Données projet'!$E$11+1,1))-AVERAGE(OFFSET($H$3,0,0,'Données projet'!$E$11+1,1))</f>
        <v>254.12694970606668</v>
      </c>
      <c r="BJ155" s="62">
        <f t="shared" si="146"/>
        <v>319.62868041131082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2.371118984717044</v>
      </c>
      <c r="BQ155" s="23">
        <f>EXP(-LN(2)/25)*BQ154+(1-EXP(-LN(2)/25))/(LN(2)/25)*Calculateur!BL155*Calculateur!BN155*VLOOKUP('Données projet'!$B$11,Paramètres!$A$1:$I$89,3,0)*0.475*44/12</f>
        <v>0.74514644085398785</v>
      </c>
      <c r="BR155" s="23">
        <f>EXP(-LN(2)/2)*BR154+(1-EXP(-LN(2)/2))/(LN(2)/2)*BL155*BO155*VLOOKUP('Données projet'!$B$11,Paramètres!$A$1:$I$89,3,0)*0.475*44/12</f>
        <v>4.1469758883992172E-20</v>
      </c>
      <c r="BS155" s="24">
        <f t="shared" si="169"/>
        <v>3.116265425571032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-2.1282176021486519E-13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228.57322051753096</v>
      </c>
      <c r="T156" s="62">
        <f t="shared" si="142"/>
        <v>168.91992124331932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287.69656598881124</v>
      </c>
      <c r="AO156" s="62">
        <f t="shared" si="144"/>
        <v>221.9773436301067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0.19966872226287735</v>
      </c>
      <c r="AW156" s="23">
        <f>EXP(-LN(2)/2)*AW155+(1-EXP(-LN(2)/2))/(LN(2)/2)*AQ156*AT156*VLOOKUP('Données projet'!$B$10,Paramètres!$A$1:$I$89,3,0)*0.475*44/12</f>
        <v>4.3613294079356933E-18</v>
      </c>
      <c r="AX156" s="23">
        <f t="shared" si="166"/>
        <v>0.19966872226287735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4.9658410716801891E-14</v>
      </c>
      <c r="BF156" s="14">
        <f t="shared" si="167"/>
        <v>8.0934058173791862E-13</v>
      </c>
      <c r="BG156" s="22">
        <f t="shared" si="168"/>
        <v>1.4960899118586383E-12</v>
      </c>
      <c r="BH156" s="62">
        <f t="shared" si="116"/>
        <v>293.33333333333479</v>
      </c>
      <c r="BI156" s="62">
        <f ca="1">AVERAGE(OFFSET($BH$3,0,0,'Données projet'!$E$11+1,1))-AVERAGE(OFFSET($H$3,0,0,'Données projet'!$E$11+1,1))</f>
        <v>254.12694970606668</v>
      </c>
      <c r="BJ156" s="62">
        <f t="shared" si="146"/>
        <v>319.62868041131082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2.3246227876665193</v>
      </c>
      <c r="BQ156" s="23">
        <f>EXP(-LN(2)/25)*BQ155+(1-EXP(-LN(2)/25))/(LN(2)/25)*Calculateur!BL156*Calculateur!BN156*VLOOKUP('Données projet'!$B$11,Paramètres!$A$1:$I$89,3,0)*0.475*44/12</f>
        <v>0.72477037224328733</v>
      </c>
      <c r="BR156" s="23">
        <f>EXP(-LN(2)/2)*BR155+(1-EXP(-LN(2)/2))/(LN(2)/2)*BL156*BO156*VLOOKUP('Données projet'!$B$11,Paramètres!$A$1:$I$89,3,0)*0.475*44/12</f>
        <v>2.9323547721041938E-20</v>
      </c>
      <c r="BS156" s="24">
        <f t="shared" si="169"/>
        <v>3.0493931599098065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-2.1282176021486519E-13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228.57322051753096</v>
      </c>
      <c r="T157" s="62">
        <f t="shared" si="142"/>
        <v>168.91992124331932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287.69656598881124</v>
      </c>
      <c r="AO157" s="62">
        <f t="shared" si="144"/>
        <v>221.9773436301067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0.19420877055247721</v>
      </c>
      <c r="AW157" s="23">
        <f>EXP(-LN(2)/2)*AW156+(1-EXP(-LN(2)/2))/(LN(2)/2)*AQ157*AT157*VLOOKUP('Données projet'!$B$10,Paramètres!$A$1:$I$89,3,0)*0.475*44/12</f>
        <v>3.0839255993396392E-18</v>
      </c>
      <c r="AX157" s="23">
        <f t="shared" si="166"/>
        <v>0.19420877055247721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4.9658410716801891E-14</v>
      </c>
      <c r="BF157" s="14">
        <f t="shared" si="167"/>
        <v>8.0934058173791862E-13</v>
      </c>
      <c r="BG157" s="22">
        <f t="shared" si="168"/>
        <v>1.4960899118586383E-12</v>
      </c>
      <c r="BH157" s="62">
        <f t="shared" si="116"/>
        <v>293.33333333333479</v>
      </c>
      <c r="BI157" s="62">
        <f ca="1">AVERAGE(OFFSET($BH$3,0,0,'Données projet'!$E$11+1,1))-AVERAGE(OFFSET($H$3,0,0,'Données projet'!$E$11+1,1))</f>
        <v>254.12694970606668</v>
      </c>
      <c r="BJ157" s="62">
        <f t="shared" si="146"/>
        <v>319.62868041131082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2.2790383526802755</v>
      </c>
      <c r="BQ157" s="23">
        <f>EXP(-LN(2)/25)*BQ156+(1-EXP(-LN(2)/25))/(LN(2)/25)*Calculateur!BL157*Calculateur!BN157*VLOOKUP('Données projet'!$B$11,Paramètres!$A$1:$I$89,3,0)*0.475*44/12</f>
        <v>0.70495148830027721</v>
      </c>
      <c r="BR157" s="23">
        <f>EXP(-LN(2)/2)*BR156+(1-EXP(-LN(2)/2))/(LN(2)/2)*BL157*BO157*VLOOKUP('Données projet'!$B$11,Paramètres!$A$1:$I$89,3,0)*0.475*44/12</f>
        <v>2.0734879441996086E-20</v>
      </c>
      <c r="BS157" s="24">
        <f t="shared" si="169"/>
        <v>2.983989840980553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-2.1282176021486519E-13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228.57322051753096</v>
      </c>
      <c r="T158" s="62">
        <f t="shared" si="142"/>
        <v>168.91992124331932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287.69656598881124</v>
      </c>
      <c r="AO158" s="62">
        <f t="shared" si="144"/>
        <v>221.9773436301067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0.18889812150872434</v>
      </c>
      <c r="AW158" s="23">
        <f>EXP(-LN(2)/2)*AW157+(1-EXP(-LN(2)/2))/(LN(2)/2)*AQ158*AT158*VLOOKUP('Données projet'!$B$10,Paramètres!$A$1:$I$89,3,0)*0.475*44/12</f>
        <v>2.1806647039678466E-18</v>
      </c>
      <c r="AX158" s="23">
        <f t="shared" si="166"/>
        <v>0.18889812150872434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4.9658410716801891E-14</v>
      </c>
      <c r="BF158" s="14">
        <f t="shared" si="167"/>
        <v>8.0934058173791862E-13</v>
      </c>
      <c r="BG158" s="22">
        <f t="shared" si="168"/>
        <v>1.4960899118586383E-12</v>
      </c>
      <c r="BH158" s="62">
        <f t="shared" si="116"/>
        <v>293.33333333333479</v>
      </c>
      <c r="BI158" s="62">
        <f ca="1">AVERAGE(OFFSET($BH$3,0,0,'Données projet'!$E$11+1,1))-AVERAGE(OFFSET($H$3,0,0,'Données projet'!$E$11+1,1))</f>
        <v>254.12694970606668</v>
      </c>
      <c r="BJ158" s="62">
        <f t="shared" si="146"/>
        <v>319.62868041131082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2.2343478006603519</v>
      </c>
      <c r="BQ158" s="23">
        <f>EXP(-LN(2)/25)*BQ157+(1-EXP(-LN(2)/25))/(LN(2)/25)*Calculateur!BL158*Calculateur!BN158*VLOOKUP('Données projet'!$B$11,Paramètres!$A$1:$I$89,3,0)*0.475*44/12</f>
        <v>0.6856745527809186</v>
      </c>
      <c r="BR158" s="23">
        <f>EXP(-LN(2)/2)*BR157+(1-EXP(-LN(2)/2))/(LN(2)/2)*BL158*BO158*VLOOKUP('Données projet'!$B$11,Paramètres!$A$1:$I$89,3,0)*0.475*44/12</f>
        <v>1.4661773860520969E-20</v>
      </c>
      <c r="BS158" s="24">
        <f t="shared" si="169"/>
        <v>2.9200223534412704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-2.1282176021486519E-13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228.57322051753096</v>
      </c>
      <c r="T159" s="62">
        <f t="shared" si="142"/>
        <v>168.91992124331932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287.69656598881124</v>
      </c>
      <c r="AO159" s="62">
        <f t="shared" si="144"/>
        <v>221.9773436301067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0.1837326924423478</v>
      </c>
      <c r="AW159" s="23">
        <f>EXP(-LN(2)/2)*AW158+(1-EXP(-LN(2)/2))/(LN(2)/2)*AQ159*AT159*VLOOKUP('Données projet'!$B$10,Paramètres!$A$1:$I$89,3,0)*0.475*44/12</f>
        <v>1.5419627996698196E-18</v>
      </c>
      <c r="AX159" s="23">
        <f t="shared" si="166"/>
        <v>0.1837326924423478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4.9658410716801891E-14</v>
      </c>
      <c r="BF159" s="14">
        <f t="shared" si="167"/>
        <v>8.0934058173791862E-13</v>
      </c>
      <c r="BG159" s="22">
        <f t="shared" si="168"/>
        <v>1.4960899118586383E-12</v>
      </c>
      <c r="BH159" s="62">
        <f t="shared" si="116"/>
        <v>293.33333333333479</v>
      </c>
      <c r="BI159" s="62">
        <f ca="1">AVERAGE(OFFSET($BH$3,0,0,'Données projet'!$E$11+1,1))-AVERAGE(OFFSET($H$3,0,0,'Données projet'!$E$11+1,1))</f>
        <v>254.12694970606668</v>
      </c>
      <c r="BJ159" s="62">
        <f t="shared" si="146"/>
        <v>319.62868041131082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2.1905336031069935</v>
      </c>
      <c r="BQ159" s="23">
        <f>EXP(-LN(2)/25)*BQ158+(1-EXP(-LN(2)/25))/(LN(2)/25)*Calculateur!BL159*Calculateur!BN159*VLOOKUP('Données projet'!$B$11,Paramètres!$A$1:$I$89,3,0)*0.475*44/12</f>
        <v>0.66692474607706675</v>
      </c>
      <c r="BR159" s="23">
        <f>EXP(-LN(2)/2)*BR158+(1-EXP(-LN(2)/2))/(LN(2)/2)*BL159*BO159*VLOOKUP('Données projet'!$B$11,Paramètres!$A$1:$I$89,3,0)*0.475*44/12</f>
        <v>1.0367439720998043E-20</v>
      </c>
      <c r="BS159" s="24">
        <f t="shared" si="169"/>
        <v>2.8574583491840602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-2.1282176021486519E-13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228.57322051753096</v>
      </c>
      <c r="T160" s="62">
        <f t="shared" si="142"/>
        <v>168.91992124331932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287.69656598881124</v>
      </c>
      <c r="AO160" s="62">
        <f t="shared" si="144"/>
        <v>221.9773436301067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0.17870851230542942</v>
      </c>
      <c r="AW160" s="23">
        <f>EXP(-LN(2)/2)*AW159+(1-EXP(-LN(2)/2))/(LN(2)/2)*AQ160*AT160*VLOOKUP('Données projet'!$B$10,Paramètres!$A$1:$I$89,3,0)*0.475*44/12</f>
        <v>1.0903323519839233E-18</v>
      </c>
      <c r="AX160" s="23">
        <f t="shared" si="166"/>
        <v>0.17870851230542942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4.9658410716801891E-14</v>
      </c>
      <c r="BF160" s="14">
        <f t="shared" si="167"/>
        <v>8.0934058173791862E-13</v>
      </c>
      <c r="BG160" s="22">
        <f t="shared" si="168"/>
        <v>1.4960899118586383E-12</v>
      </c>
      <c r="BH160" s="62">
        <f t="shared" si="116"/>
        <v>293.33333333333479</v>
      </c>
      <c r="BI160" s="62">
        <f ca="1">AVERAGE(OFFSET($BH$3,0,0,'Données projet'!$E$11+1,1))-AVERAGE(OFFSET($H$3,0,0,'Données projet'!$E$11+1,1))</f>
        <v>254.12694970606668</v>
      </c>
      <c r="BJ160" s="62">
        <f t="shared" si="146"/>
        <v>319.62868041131082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2.1475785752436352</v>
      </c>
      <c r="BQ160" s="23">
        <f>EXP(-LN(2)/25)*BQ159+(1-EXP(-LN(2)/25))/(LN(2)/25)*Calculateur!BL160*Calculateur!BN160*VLOOKUP('Données projet'!$B$11,Paramètres!$A$1:$I$89,3,0)*0.475*44/12</f>
        <v>0.64868765382354121</v>
      </c>
      <c r="BR160" s="23">
        <f>EXP(-LN(2)/2)*BR159+(1-EXP(-LN(2)/2))/(LN(2)/2)*BL160*BO160*VLOOKUP('Données projet'!$B$11,Paramètres!$A$1:$I$89,3,0)*0.475*44/12</f>
        <v>7.3308869302604844E-21</v>
      </c>
      <c r="BS160" s="24">
        <f t="shared" si="169"/>
        <v>2.7962662290671765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-2.1282176021486519E-13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228.57322051753096</v>
      </c>
      <c r="T161" s="62">
        <f t="shared" si="142"/>
        <v>168.91992124331932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287.69656598881124</v>
      </c>
      <c r="AO161" s="62">
        <f t="shared" si="144"/>
        <v>221.9773436301067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0.17382171863856524</v>
      </c>
      <c r="AW161" s="23">
        <f>EXP(-LN(2)/2)*AW160+(1-EXP(-LN(2)/2))/(LN(2)/2)*AQ161*AT161*VLOOKUP('Données projet'!$B$10,Paramètres!$A$1:$I$89,3,0)*0.475*44/12</f>
        <v>7.7098139983490979E-19</v>
      </c>
      <c r="AX161" s="23">
        <f t="shared" si="166"/>
        <v>0.17382171863856524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4.9658410716801891E-14</v>
      </c>
      <c r="BF161" s="14">
        <f t="shared" si="167"/>
        <v>8.0934058173791862E-13</v>
      </c>
      <c r="BG161" s="22">
        <f t="shared" si="168"/>
        <v>1.4960899118586383E-12</v>
      </c>
      <c r="BH161" s="62">
        <f t="shared" si="116"/>
        <v>293.33333333333479</v>
      </c>
      <c r="BI161" s="62">
        <f ca="1">AVERAGE(OFFSET($BH$3,0,0,'Données projet'!$E$11+1,1))-AVERAGE(OFFSET($H$3,0,0,'Données projet'!$E$11+1,1))</f>
        <v>254.12694970606668</v>
      </c>
      <c r="BJ161" s="62">
        <f t="shared" si="146"/>
        <v>319.62868041131082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2.105465869276697</v>
      </c>
      <c r="BQ161" s="23">
        <f>EXP(-LN(2)/25)*BQ160+(1-EXP(-LN(2)/25))/(LN(2)/25)*Calculateur!BL161*Calculateur!BN161*VLOOKUP('Données projet'!$B$11,Paramètres!$A$1:$I$89,3,0)*0.475*44/12</f>
        <v>0.63094925581673533</v>
      </c>
      <c r="BR161" s="23">
        <f>EXP(-LN(2)/2)*BR160+(1-EXP(-LN(2)/2))/(LN(2)/2)*BL161*BO161*VLOOKUP('Données projet'!$B$11,Paramètres!$A$1:$I$89,3,0)*0.475*44/12</f>
        <v>5.1837198604990215E-21</v>
      </c>
      <c r="BS161" s="24">
        <f t="shared" si="169"/>
        <v>2.7364151250934325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-2.1282176021486519E-13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228.57322051753096</v>
      </c>
      <c r="T162" s="62">
        <f t="shared" si="142"/>
        <v>168.91992124331932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287.69656598881124</v>
      </c>
      <c r="AO162" s="62">
        <f t="shared" si="144"/>
        <v>221.9773436301067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0.16906855460150677</v>
      </c>
      <c r="AW162" s="23">
        <f>EXP(-LN(2)/2)*AW161+(1-EXP(-LN(2)/2))/(LN(2)/2)*AQ162*AT162*VLOOKUP('Données projet'!$B$10,Paramètres!$A$1:$I$89,3,0)*0.475*44/12</f>
        <v>5.4516617599196166E-19</v>
      </c>
      <c r="AX162" s="23">
        <f t="shared" si="166"/>
        <v>0.16906855460150677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4.9658410716801891E-14</v>
      </c>
      <c r="BF162" s="14">
        <f t="shared" si="167"/>
        <v>8.0934058173791862E-13</v>
      </c>
      <c r="BG162" s="22">
        <f t="shared" si="168"/>
        <v>1.4960899118586383E-12</v>
      </c>
      <c r="BH162" s="62">
        <f t="shared" si="116"/>
        <v>293.33333333333479</v>
      </c>
      <c r="BI162" s="62">
        <f ca="1">AVERAGE(OFFSET($BH$3,0,0,'Données projet'!$E$11+1,1))-AVERAGE(OFFSET($H$3,0,0,'Données projet'!$E$11+1,1))</f>
        <v>254.12694970606668</v>
      </c>
      <c r="BJ162" s="62">
        <f t="shared" si="146"/>
        <v>319.62868041131082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2.0641789677875564</v>
      </c>
      <c r="BQ162" s="23">
        <f>EXP(-LN(2)/25)*BQ161+(1-EXP(-LN(2)/25))/(LN(2)/25)*Calculateur!BL162*Calculateur!BN162*VLOOKUP('Données projet'!$B$11,Paramètres!$A$1:$I$89,3,0)*0.475*44/12</f>
        <v>0.61369591523624745</v>
      </c>
      <c r="BR162" s="23">
        <f>EXP(-LN(2)/2)*BR161+(1-EXP(-LN(2)/2))/(LN(2)/2)*BL162*BO162*VLOOKUP('Données projet'!$B$11,Paramètres!$A$1:$I$89,3,0)*0.475*44/12</f>
        <v>3.6654434651302422E-21</v>
      </c>
      <c r="BS162" s="24">
        <f t="shared" si="169"/>
        <v>2.6778748830238039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-2.1282176021486519E-13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228.57322051753096</v>
      </c>
      <c r="T163" s="62">
        <f t="shared" si="142"/>
        <v>168.91992124331932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287.69656598881124</v>
      </c>
      <c r="AO163" s="62">
        <f t="shared" si="144"/>
        <v>221.9773436301067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0.16444536608499968</v>
      </c>
      <c r="AW163" s="23">
        <f>EXP(-LN(2)/2)*AW162+(1-EXP(-LN(2)/2))/(LN(2)/2)*AQ163*AT163*VLOOKUP('Données projet'!$B$10,Paramètres!$A$1:$I$89,3,0)*0.475*44/12</f>
        <v>3.854906999174549E-19</v>
      </c>
      <c r="AX163" s="23">
        <f t="shared" si="166"/>
        <v>0.16444536608499968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4.9658410716801891E-14</v>
      </c>
      <c r="BF163" s="14">
        <f t="shared" si="167"/>
        <v>8.0934058173791862E-13</v>
      </c>
      <c r="BG163" s="22">
        <f t="shared" si="168"/>
        <v>1.4960899118586383E-12</v>
      </c>
      <c r="BH163" s="62">
        <f t="shared" si="116"/>
        <v>293.33333333333479</v>
      </c>
      <c r="BI163" s="62">
        <f ca="1">AVERAGE(OFFSET($BH$3,0,0,'Données projet'!$E$11+1,1))-AVERAGE(OFFSET($H$3,0,0,'Données projet'!$E$11+1,1))</f>
        <v>254.12694970606668</v>
      </c>
      <c r="BJ163" s="62">
        <f t="shared" si="146"/>
        <v>319.62868041131082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2.0237016772540946</v>
      </c>
      <c r="BQ163" s="23">
        <f>EXP(-LN(2)/25)*BQ162+(1-EXP(-LN(2)/25))/(LN(2)/25)*Calculateur!BL163*Calculateur!BN163*VLOOKUP('Données projet'!$B$11,Paramètres!$A$1:$I$89,3,0)*0.475*44/12</f>
        <v>0.59691436816124666</v>
      </c>
      <c r="BR163" s="23">
        <f>EXP(-LN(2)/2)*BR162+(1-EXP(-LN(2)/2))/(LN(2)/2)*BL163*BO163*VLOOKUP('Données projet'!$B$11,Paramètres!$A$1:$I$89,3,0)*0.475*44/12</f>
        <v>2.5918599302495107E-21</v>
      </c>
      <c r="BS163" s="24">
        <f t="shared" si="169"/>
        <v>2.6206160454153413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-2.1282176021486519E-13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228.57322051753096</v>
      </c>
      <c r="T164" s="62">
        <f t="shared" si="142"/>
        <v>168.91992124331932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287.69656598881124</v>
      </c>
      <c r="AO164" s="62">
        <f t="shared" si="144"/>
        <v>221.9773436301067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0.1599485989015994</v>
      </c>
      <c r="AW164" s="23">
        <f>EXP(-LN(2)/2)*AW163+(1-EXP(-LN(2)/2))/(LN(2)/2)*AQ164*AT164*VLOOKUP('Données projet'!$B$10,Paramètres!$A$1:$I$89,3,0)*0.475*44/12</f>
        <v>2.7258308799598083E-19</v>
      </c>
      <c r="AX164" s="23">
        <f t="shared" si="166"/>
        <v>0.1599485989015994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4.9658410716801891E-14</v>
      </c>
      <c r="BF164" s="14">
        <f t="shared" si="167"/>
        <v>8.0934058173791862E-13</v>
      </c>
      <c r="BG164" s="22">
        <f t="shared" si="168"/>
        <v>1.4960899118586383E-12</v>
      </c>
      <c r="BH164" s="62">
        <f t="shared" si="116"/>
        <v>293.33333333333479</v>
      </c>
      <c r="BI164" s="62">
        <f ca="1">AVERAGE(OFFSET($BH$3,0,0,'Données projet'!$E$11+1,1))-AVERAGE(OFFSET($H$3,0,0,'Données projet'!$E$11+1,1))</f>
        <v>254.12694970606668</v>
      </c>
      <c r="BJ164" s="62">
        <f t="shared" si="146"/>
        <v>319.62868041131082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1.9840181216992843</v>
      </c>
      <c r="BQ164" s="23">
        <f>EXP(-LN(2)/25)*BQ163+(1-EXP(-LN(2)/25))/(LN(2)/25)*Calculateur!BL164*Calculateur!BN164*VLOOKUP('Données projet'!$B$11,Paramètres!$A$1:$I$89,3,0)*0.475*44/12</f>
        <v>0.58059171337351501</v>
      </c>
      <c r="BR164" s="23">
        <f>EXP(-LN(2)/2)*BR163+(1-EXP(-LN(2)/2))/(LN(2)/2)*BL164*BO164*VLOOKUP('Données projet'!$B$11,Paramètres!$A$1:$I$89,3,0)*0.475*44/12</f>
        <v>1.8327217325651211E-21</v>
      </c>
      <c r="BS164" s="24">
        <f t="shared" si="169"/>
        <v>2.5646098350727993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-2.1282176021486519E-13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228.57322051753096</v>
      </c>
      <c r="T165" s="62">
        <f t="shared" si="142"/>
        <v>168.91992124331932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287.69656598881124</v>
      </c>
      <c r="AO165" s="62">
        <f t="shared" si="144"/>
        <v>221.9773436301067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0.15557479605330393</v>
      </c>
      <c r="AW165" s="23">
        <f>EXP(-LN(2)/2)*AW164+(1-EXP(-LN(2)/2))/(LN(2)/2)*AQ165*AT165*VLOOKUP('Données projet'!$B$10,Paramètres!$A$1:$I$89,3,0)*0.475*44/12</f>
        <v>1.9274534995872745E-19</v>
      </c>
      <c r="AX165" s="23">
        <f t="shared" si="166"/>
        <v>0.15557479605330393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4.9658410716801891E-14</v>
      </c>
      <c r="BF165" s="14">
        <f t="shared" si="167"/>
        <v>8.0934058173791862E-13</v>
      </c>
      <c r="BG165" s="22">
        <f t="shared" si="168"/>
        <v>1.4960899118586383E-12</v>
      </c>
      <c r="BH165" s="62">
        <f t="shared" si="116"/>
        <v>293.33333333333479</v>
      </c>
      <c r="BI165" s="62">
        <f ca="1">AVERAGE(OFFSET($BH$3,0,0,'Données projet'!$E$11+1,1))-AVERAGE(OFFSET($H$3,0,0,'Données projet'!$E$11+1,1))</f>
        <v>254.12694970606668</v>
      </c>
      <c r="BJ165" s="62">
        <f t="shared" si="146"/>
        <v>319.62868041131082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1.945112736464325</v>
      </c>
      <c r="BQ165" s="23">
        <f>EXP(-LN(2)/25)*BQ164+(1-EXP(-LN(2)/25))/(LN(2)/25)*Calculateur!BL165*Calculateur!BN165*VLOOKUP('Données projet'!$B$11,Paramètres!$A$1:$I$89,3,0)*0.475*44/12</f>
        <v>0.56471540243932494</v>
      </c>
      <c r="BR165" s="23">
        <f>EXP(-LN(2)/2)*BR164+(1-EXP(-LN(2)/2))/(LN(2)/2)*BL165*BO165*VLOOKUP('Données projet'!$B$11,Paramètres!$A$1:$I$89,3,0)*0.475*44/12</f>
        <v>1.2959299651247554E-21</v>
      </c>
      <c r="BS165" s="24">
        <f t="shared" si="169"/>
        <v>2.5098281389036501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-2.1282176021486519E-13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228.57322051753096</v>
      </c>
      <c r="T166" s="62">
        <f t="shared" si="142"/>
        <v>168.91992124331932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287.69656598881124</v>
      </c>
      <c r="AO166" s="62">
        <f t="shared" si="144"/>
        <v>221.9773436301067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0.15132059507390339</v>
      </c>
      <c r="AW166" s="23">
        <f>EXP(-LN(2)/2)*AW165+(1-EXP(-LN(2)/2))/(LN(2)/2)*AQ166*AT166*VLOOKUP('Données projet'!$B$10,Paramètres!$A$1:$I$89,3,0)*0.475*44/12</f>
        <v>1.3629154399799042E-19</v>
      </c>
      <c r="AX166" s="23">
        <f t="shared" si="166"/>
        <v>0.15132059507390339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4.9658410716801891E-14</v>
      </c>
      <c r="BF166" s="14">
        <f t="shared" si="167"/>
        <v>8.0934058173791862E-13</v>
      </c>
      <c r="BG166" s="22">
        <f t="shared" si="168"/>
        <v>1.4960899118586383E-12</v>
      </c>
      <c r="BH166" s="62">
        <f t="shared" si="116"/>
        <v>293.33333333333479</v>
      </c>
      <c r="BI166" s="62">
        <f ca="1">AVERAGE(OFFSET($BH$3,0,0,'Données projet'!$E$11+1,1))-AVERAGE(OFFSET($H$3,0,0,'Données projet'!$E$11+1,1))</f>
        <v>254.12694970606668</v>
      </c>
      <c r="BJ166" s="62">
        <f t="shared" si="146"/>
        <v>319.62868041131082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1.9069702621038815</v>
      </c>
      <c r="BQ166" s="23">
        <f>EXP(-LN(2)/25)*BQ165+(1-EXP(-LN(2)/25))/(LN(2)/25)*Calculateur!BL166*Calculateur!BN166*VLOOKUP('Données projet'!$B$11,Paramètres!$A$1:$I$89,3,0)*0.475*44/12</f>
        <v>0.54927323006252926</v>
      </c>
      <c r="BR166" s="23">
        <f>EXP(-LN(2)/2)*BR165+(1-EXP(-LN(2)/2))/(LN(2)/2)*BL166*BO166*VLOOKUP('Données projet'!$B$11,Paramètres!$A$1:$I$89,3,0)*0.475*44/12</f>
        <v>9.1636086628256055E-22</v>
      </c>
      <c r="BS166" s="24">
        <f t="shared" si="169"/>
        <v>2.4562434921664109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-2.1282176021486519E-13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228.57322051753096</v>
      </c>
      <c r="T167" s="62">
        <f t="shared" si="142"/>
        <v>168.91992124331932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287.69656598881124</v>
      </c>
      <c r="AO167" s="62">
        <f t="shared" si="144"/>
        <v>221.9773436301067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0.14718272544400324</v>
      </c>
      <c r="AW167" s="23">
        <f>EXP(-LN(2)/2)*AW166+(1-EXP(-LN(2)/2))/(LN(2)/2)*AQ167*AT167*VLOOKUP('Données projet'!$B$10,Paramètres!$A$1:$I$89,3,0)*0.475*44/12</f>
        <v>9.6372674979363724E-20</v>
      </c>
      <c r="AX167" s="23">
        <f t="shared" si="166"/>
        <v>0.14718272544400324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4.9658410716801891E-14</v>
      </c>
      <c r="BF167" s="14">
        <f t="shared" si="167"/>
        <v>8.0934058173791862E-13</v>
      </c>
      <c r="BG167" s="22">
        <f t="shared" si="168"/>
        <v>1.4960899118586383E-12</v>
      </c>
      <c r="BH167" s="62">
        <f t="shared" si="116"/>
        <v>293.33333333333479</v>
      </c>
      <c r="BI167" s="62">
        <f ca="1">AVERAGE(OFFSET($BH$3,0,0,'Données projet'!$E$11+1,1))-AVERAGE(OFFSET($H$3,0,0,'Données projet'!$E$11+1,1))</f>
        <v>254.12694970606668</v>
      </c>
      <c r="BJ167" s="62">
        <f t="shared" si="146"/>
        <v>319.62868041131082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1.8695757384010341</v>
      </c>
      <c r="BQ167" s="23">
        <f>EXP(-LN(2)/25)*BQ166+(1-EXP(-LN(2)/25))/(LN(2)/25)*Calculateur!BL167*Calculateur!BN167*VLOOKUP('Données projet'!$B$11,Paramètres!$A$1:$I$89,3,0)*0.475*44/12</f>
        <v>0.5342533247014456</v>
      </c>
      <c r="BR167" s="23">
        <f>EXP(-LN(2)/2)*BR166+(1-EXP(-LN(2)/2))/(LN(2)/2)*BL167*BO167*VLOOKUP('Données projet'!$B$11,Paramètres!$A$1:$I$89,3,0)*0.475*44/12</f>
        <v>6.4796498256237768E-22</v>
      </c>
      <c r="BS167" s="24">
        <f t="shared" si="169"/>
        <v>2.4038290631024797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-2.1282176021486519E-13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228.57322051753096</v>
      </c>
      <c r="T168" s="62">
        <f t="shared" si="142"/>
        <v>168.91992124331932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287.69656598881124</v>
      </c>
      <c r="AO168" s="62">
        <f t="shared" si="144"/>
        <v>221.9773436301067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0.14315800607673382</v>
      </c>
      <c r="AW168" s="23">
        <f>EXP(-LN(2)/2)*AW167+(1-EXP(-LN(2)/2))/(LN(2)/2)*AQ168*AT168*VLOOKUP('Données projet'!$B$10,Paramètres!$A$1:$I$89,3,0)*0.475*44/12</f>
        <v>6.8145771998995208E-20</v>
      </c>
      <c r="AX168" s="23">
        <f t="shared" si="166"/>
        <v>0.14315800607673382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4.9658410716801891E-14</v>
      </c>
      <c r="BF168" s="14">
        <f t="shared" si="167"/>
        <v>8.0934058173791862E-13</v>
      </c>
      <c r="BG168" s="22">
        <f t="shared" si="168"/>
        <v>1.4960899118586383E-12</v>
      </c>
      <c r="BH168" s="62">
        <f t="shared" si="116"/>
        <v>293.33333333333479</v>
      </c>
      <c r="BI168" s="62">
        <f ca="1">AVERAGE(OFFSET($BH$3,0,0,'Données projet'!$E$11+1,1))-AVERAGE(OFFSET($H$3,0,0,'Données projet'!$E$11+1,1))</f>
        <v>254.12694970606668</v>
      </c>
      <c r="BJ168" s="62">
        <f t="shared" si="146"/>
        <v>319.62868041131082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1.8329144984995922</v>
      </c>
      <c r="BQ168" s="23">
        <f>EXP(-LN(2)/25)*BQ167+(1-EXP(-LN(2)/25))/(LN(2)/25)*Calculateur!BL168*Calculateur!BN168*VLOOKUP('Données projet'!$B$11,Paramètres!$A$1:$I$89,3,0)*0.475*44/12</f>
        <v>0.51964413944232324</v>
      </c>
      <c r="BR168" s="23">
        <f>EXP(-LN(2)/2)*BR167+(1-EXP(-LN(2)/2))/(LN(2)/2)*BL168*BO168*VLOOKUP('Données projet'!$B$11,Paramètres!$A$1:$I$89,3,0)*0.475*44/12</f>
        <v>4.5818043314128027E-22</v>
      </c>
      <c r="BS168" s="24">
        <f t="shared" si="169"/>
        <v>2.3525586379419154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-2.1282176021486519E-13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228.57322051753096</v>
      </c>
      <c r="T169" s="62">
        <f t="shared" si="142"/>
        <v>168.91992124331932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287.69656598881124</v>
      </c>
      <c r="AO169" s="62">
        <f t="shared" si="144"/>
        <v>221.9773436301067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0.13924334287221318</v>
      </c>
      <c r="AW169" s="23">
        <f>EXP(-LN(2)/2)*AW168+(1-EXP(-LN(2)/2))/(LN(2)/2)*AQ169*AT169*VLOOKUP('Données projet'!$B$10,Paramètres!$A$1:$I$89,3,0)*0.475*44/12</f>
        <v>4.8186337489681862E-20</v>
      </c>
      <c r="AX169" s="23">
        <f t="shared" si="166"/>
        <v>0.13924334287221318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4.9658410716801891E-14</v>
      </c>
      <c r="BF169" s="14">
        <f t="shared" si="167"/>
        <v>8.0934058173791862E-13</v>
      </c>
      <c r="BG169" s="22">
        <f t="shared" si="168"/>
        <v>1.4960899118586383E-12</v>
      </c>
      <c r="BH169" s="62">
        <f t="shared" si="116"/>
        <v>293.33333333333479</v>
      </c>
      <c r="BI169" s="62">
        <f ca="1">AVERAGE(OFFSET($BH$3,0,0,'Données projet'!$E$11+1,1))-AVERAGE(OFFSET($H$3,0,0,'Données projet'!$E$11+1,1))</f>
        <v>254.12694970606668</v>
      </c>
      <c r="BJ169" s="62">
        <f t="shared" si="146"/>
        <v>319.62868041131082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1.7969721631514692</v>
      </c>
      <c r="BQ169" s="23">
        <f>EXP(-LN(2)/25)*BQ168+(1-EXP(-LN(2)/25))/(LN(2)/25)*Calculateur!BL169*Calculateur!BN169*VLOOKUP('Données projet'!$B$11,Paramètres!$A$1:$I$89,3,0)*0.475*44/12</f>
        <v>0.50543444312237529</v>
      </c>
      <c r="BR169" s="23">
        <f>EXP(-LN(2)/2)*BR168+(1-EXP(-LN(2)/2))/(LN(2)/2)*BL169*BO169*VLOOKUP('Données projet'!$B$11,Paramètres!$A$1:$I$89,3,0)*0.475*44/12</f>
        <v>3.2398249128118884E-22</v>
      </c>
      <c r="BS169" s="24">
        <f t="shared" si="169"/>
        <v>2.3024066062738444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-2.1282176021486519E-13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228.57322051753096</v>
      </c>
      <c r="T170" s="62">
        <f t="shared" si="142"/>
        <v>168.91992124331932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287.69656598881124</v>
      </c>
      <c r="AO170" s="62">
        <f t="shared" si="144"/>
        <v>221.9773436301067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0.13543572633888334</v>
      </c>
      <c r="AW170" s="23">
        <f>EXP(-LN(2)/2)*AW169+(1-EXP(-LN(2)/2))/(LN(2)/2)*AQ170*AT170*VLOOKUP('Données projet'!$B$10,Paramètres!$A$1:$I$89,3,0)*0.475*44/12</f>
        <v>3.4072885999497604E-20</v>
      </c>
      <c r="AX170" s="23">
        <f t="shared" si="166"/>
        <v>0.13543572633888334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4.9658410716801891E-14</v>
      </c>
      <c r="BF170" s="14">
        <f t="shared" si="167"/>
        <v>8.0934058173791862E-13</v>
      </c>
      <c r="BG170" s="22">
        <f t="shared" si="168"/>
        <v>1.4960899118586383E-12</v>
      </c>
      <c r="BH170" s="62">
        <f t="shared" si="116"/>
        <v>293.33333333333479</v>
      </c>
      <c r="BI170" s="62">
        <f ca="1">AVERAGE(OFFSET($BH$3,0,0,'Données projet'!$E$11+1,1))-AVERAGE(OFFSET($H$3,0,0,'Données projet'!$E$11+1,1))</f>
        <v>254.12694970606668</v>
      </c>
      <c r="BJ170" s="62">
        <f t="shared" si="146"/>
        <v>319.62868041131082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1.761734635076863</v>
      </c>
      <c r="BQ170" s="23">
        <f>EXP(-LN(2)/25)*BQ169+(1-EXP(-LN(2)/25))/(LN(2)/25)*Calculateur!BL170*Calculateur!BN170*VLOOKUP('Données projet'!$B$11,Paramètres!$A$1:$I$89,3,0)*0.475*44/12</f>
        <v>0.49161331169555178</v>
      </c>
      <c r="BR170" s="23">
        <f>EXP(-LN(2)/2)*BR169+(1-EXP(-LN(2)/2))/(LN(2)/2)*BL170*BO170*VLOOKUP('Données projet'!$B$11,Paramètres!$A$1:$I$89,3,0)*0.475*44/12</f>
        <v>2.2909021657064014E-22</v>
      </c>
      <c r="BS170" s="24">
        <f t="shared" si="169"/>
        <v>2.2533479467724149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-2.1282176021486519E-13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228.57322051753096</v>
      </c>
      <c r="T171" s="62">
        <f t="shared" si="142"/>
        <v>168.91992124331932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287.69656598881124</v>
      </c>
      <c r="AO171" s="62">
        <f t="shared" si="144"/>
        <v>221.9773436301067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0.13173222927989128</v>
      </c>
      <c r="AW171" s="23">
        <f>EXP(-LN(2)/2)*AW170+(1-EXP(-LN(2)/2))/(LN(2)/2)*AQ171*AT171*VLOOKUP('Données projet'!$B$10,Paramètres!$A$1:$I$89,3,0)*0.475*44/12</f>
        <v>2.4093168744840931E-20</v>
      </c>
      <c r="AX171" s="23">
        <f t="shared" si="166"/>
        <v>0.13173222927989128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4.9658410716801891E-14</v>
      </c>
      <c r="BF171" s="14">
        <f t="shared" si="167"/>
        <v>8.0934058173791862E-13</v>
      </c>
      <c r="BG171" s="22">
        <f t="shared" si="168"/>
        <v>1.4960899118586383E-12</v>
      </c>
      <c r="BH171" s="62">
        <f t="shared" si="116"/>
        <v>293.33333333333479</v>
      </c>
      <c r="BI171" s="62">
        <f ca="1">AVERAGE(OFFSET($BH$3,0,0,'Données projet'!$E$11+1,1))-AVERAGE(OFFSET($H$3,0,0,'Données projet'!$E$11+1,1))</f>
        <v>254.12694970606668</v>
      </c>
      <c r="BJ171" s="62">
        <f t="shared" si="146"/>
        <v>319.62868041131082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1.7271880934350299</v>
      </c>
      <c r="BQ171" s="23">
        <f>EXP(-LN(2)/25)*BQ170+(1-EXP(-LN(2)/25))/(LN(2)/25)*Calculateur!BL171*Calculateur!BN171*VLOOKUP('Données projet'!$B$11,Paramètres!$A$1:$I$89,3,0)*0.475*44/12</f>
        <v>0.47817011983441643</v>
      </c>
      <c r="BR171" s="23">
        <f>EXP(-LN(2)/2)*BR170+(1-EXP(-LN(2)/2))/(LN(2)/2)*BL171*BO171*VLOOKUP('Données projet'!$B$11,Paramètres!$A$1:$I$89,3,0)*0.475*44/12</f>
        <v>1.6199124564059442E-22</v>
      </c>
      <c r="BS171" s="24">
        <f t="shared" si="169"/>
        <v>2.2053582132694465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-2.1282176021486519E-13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228.57322051753096</v>
      </c>
      <c r="T172" s="62">
        <f t="shared" si="142"/>
        <v>168.91992124331932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287.69656598881124</v>
      </c>
      <c r="AO172" s="62">
        <f t="shared" si="144"/>
        <v>221.9773436301067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0.12813000454273579</v>
      </c>
      <c r="AW172" s="23">
        <f>EXP(-LN(2)/2)*AW171+(1-EXP(-LN(2)/2))/(LN(2)/2)*AQ172*AT172*VLOOKUP('Données projet'!$B$10,Paramètres!$A$1:$I$89,3,0)*0.475*44/12</f>
        <v>1.7036442999748802E-20</v>
      </c>
      <c r="AX172" s="23">
        <f t="shared" si="166"/>
        <v>0.12813000454273579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4.9658410716801891E-14</v>
      </c>
      <c r="BF172" s="14">
        <f t="shared" si="167"/>
        <v>8.0934058173791862E-13</v>
      </c>
      <c r="BG172" s="22">
        <f t="shared" si="168"/>
        <v>1.4960899118586383E-12</v>
      </c>
      <c r="BH172" s="62">
        <f t="shared" si="116"/>
        <v>293.33333333333479</v>
      </c>
      <c r="BI172" s="62">
        <f ca="1">AVERAGE(OFFSET($BH$3,0,0,'Données projet'!$E$11+1,1))-AVERAGE(OFFSET($H$3,0,0,'Données projet'!$E$11+1,1))</f>
        <v>254.12694970606668</v>
      </c>
      <c r="BJ172" s="62">
        <f t="shared" si="146"/>
        <v>319.62868041131082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1.6933189884034834</v>
      </c>
      <c r="BQ172" s="23">
        <f>EXP(-LN(2)/25)*BQ171+(1-EXP(-LN(2)/25))/(LN(2)/25)*Calculateur!BL172*Calculateur!BN172*VLOOKUP('Données projet'!$B$11,Paramètres!$A$1:$I$89,3,0)*0.475*44/12</f>
        <v>0.46509453276167056</v>
      </c>
      <c r="BR172" s="23">
        <f>EXP(-LN(2)/2)*BR171+(1-EXP(-LN(2)/2))/(LN(2)/2)*BL172*BO172*VLOOKUP('Données projet'!$B$11,Paramètres!$A$1:$I$89,3,0)*0.475*44/12</f>
        <v>1.1454510828532007E-22</v>
      </c>
      <c r="BS172" s="24">
        <f t="shared" si="169"/>
        <v>2.1584135211651541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-2.1282176021486519E-13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228.57322051753096</v>
      </c>
      <c r="T173" s="62">
        <f t="shared" si="142"/>
        <v>168.91992124331932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287.69656598881124</v>
      </c>
      <c r="AO173" s="62">
        <f t="shared" si="144"/>
        <v>221.9773436301067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0.12462628283045059</v>
      </c>
      <c r="AW173" s="23">
        <f>EXP(-LN(2)/2)*AW172+(1-EXP(-LN(2)/2))/(LN(2)/2)*AQ173*AT173*VLOOKUP('Données projet'!$B$10,Paramètres!$A$1:$I$89,3,0)*0.475*44/12</f>
        <v>1.2046584372420466E-20</v>
      </c>
      <c r="AX173" s="23">
        <f t="shared" si="166"/>
        <v>0.12462628283045059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4.9658410716801891E-14</v>
      </c>
      <c r="BF173" s="14">
        <f t="shared" si="167"/>
        <v>8.0934058173791862E-13</v>
      </c>
      <c r="BG173" s="22">
        <f t="shared" si="168"/>
        <v>1.4960899118586383E-12</v>
      </c>
      <c r="BH173" s="62">
        <f t="shared" si="116"/>
        <v>293.33333333333479</v>
      </c>
      <c r="BI173" s="62">
        <f ca="1">AVERAGE(OFFSET($BH$3,0,0,'Données projet'!$E$11+1,1))-AVERAGE(OFFSET($H$3,0,0,'Données projet'!$E$11+1,1))</f>
        <v>254.12694970606668</v>
      </c>
      <c r="BJ173" s="62">
        <f t="shared" si="146"/>
        <v>319.62868041131082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1.6601140358634912</v>
      </c>
      <c r="BQ173" s="23">
        <f>EXP(-LN(2)/25)*BQ172+(1-EXP(-LN(2)/25))/(LN(2)/25)*Calculateur!BL173*Calculateur!BN173*VLOOKUP('Données projet'!$B$11,Paramètres!$A$1:$I$89,3,0)*0.475*44/12</f>
        <v>0.45237649830504417</v>
      </c>
      <c r="BR173" s="23">
        <f>EXP(-LN(2)/2)*BR172+(1-EXP(-LN(2)/2))/(LN(2)/2)*BL173*BO173*VLOOKUP('Données projet'!$B$11,Paramètres!$A$1:$I$89,3,0)*0.475*44/12</f>
        <v>8.099562282029721E-23</v>
      </c>
      <c r="BS173" s="24">
        <f t="shared" si="169"/>
        <v>2.1124905341685354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-2.1282176021486519E-13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228.57322051753096</v>
      </c>
      <c r="T174" s="62">
        <f t="shared" si="142"/>
        <v>168.91992124331932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287.69656598881124</v>
      </c>
      <c r="AO174" s="62">
        <f t="shared" si="144"/>
        <v>221.9773436301067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0.12121837057264054</v>
      </c>
      <c r="AW174" s="23">
        <f>EXP(-LN(2)/2)*AW173+(1-EXP(-LN(2)/2))/(LN(2)/2)*AQ174*AT174*VLOOKUP('Données projet'!$B$10,Paramètres!$A$1:$I$89,3,0)*0.475*44/12</f>
        <v>8.518221499874401E-21</v>
      </c>
      <c r="AX174" s="23">
        <f t="shared" si="166"/>
        <v>0.12121837057264054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4.9658410716801891E-14</v>
      </c>
      <c r="BF174" s="14">
        <f t="shared" si="167"/>
        <v>8.0934058173791862E-13</v>
      </c>
      <c r="BG174" s="22">
        <f t="shared" si="168"/>
        <v>1.4960899118586383E-12</v>
      </c>
      <c r="BH174" s="62">
        <f t="shared" si="116"/>
        <v>293.33333333333479</v>
      </c>
      <c r="BI174" s="62">
        <f ca="1">AVERAGE(OFFSET($BH$3,0,0,'Données projet'!$E$11+1,1))-AVERAGE(OFFSET($H$3,0,0,'Données projet'!$E$11+1,1))</f>
        <v>254.12694970606668</v>
      </c>
      <c r="BJ174" s="62">
        <f t="shared" si="146"/>
        <v>319.62868041131082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1.627560212189787</v>
      </c>
      <c r="BQ174" s="23">
        <f>EXP(-LN(2)/25)*BQ173+(1-EXP(-LN(2)/25))/(LN(2)/25)*Calculateur!BL174*Calculateur!BN174*VLOOKUP('Données projet'!$B$11,Paramètres!$A$1:$I$89,3,0)*0.475*44/12</f>
        <v>0.44000623916944659</v>
      </c>
      <c r="BR174" s="23">
        <f>EXP(-LN(2)/2)*BR173+(1-EXP(-LN(2)/2))/(LN(2)/2)*BL174*BO174*VLOOKUP('Données projet'!$B$11,Paramètres!$A$1:$I$89,3,0)*0.475*44/12</f>
        <v>5.7272554142660034E-23</v>
      </c>
      <c r="BS174" s="24">
        <f t="shared" si="169"/>
        <v>2.0675664513592338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-2.1282176021486519E-13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228.57322051753096</v>
      </c>
      <c r="T175" s="62">
        <f t="shared" si="142"/>
        <v>168.91992124331932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287.69656598881124</v>
      </c>
      <c r="AO175" s="62">
        <f t="shared" si="144"/>
        <v>221.9773436301067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0.11790364785473462</v>
      </c>
      <c r="AW175" s="23">
        <f>EXP(-LN(2)/2)*AW174+(1-EXP(-LN(2)/2))/(LN(2)/2)*AQ175*AT175*VLOOKUP('Données projet'!$B$10,Paramètres!$A$1:$I$89,3,0)*0.475*44/12</f>
        <v>6.0232921862102328E-21</v>
      </c>
      <c r="AX175" s="23">
        <f t="shared" si="166"/>
        <v>0.11790364785473462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4.9658410716801891E-14</v>
      </c>
      <c r="BF175" s="14">
        <f t="shared" si="167"/>
        <v>8.0934058173791862E-13</v>
      </c>
      <c r="BG175" s="22">
        <f t="shared" si="168"/>
        <v>1.4960899118586383E-12</v>
      </c>
      <c r="BH175" s="62">
        <f t="shared" si="116"/>
        <v>293.33333333333479</v>
      </c>
      <c r="BI175" s="62">
        <f ca="1">AVERAGE(OFFSET($BH$3,0,0,'Données projet'!$E$11+1,1))-AVERAGE(OFFSET($H$3,0,0,'Données projet'!$E$11+1,1))</f>
        <v>254.12694970606668</v>
      </c>
      <c r="BJ175" s="62">
        <f t="shared" si="146"/>
        <v>319.62868041131082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1.5956447491424524</v>
      </c>
      <c r="BQ175" s="23">
        <f>EXP(-LN(2)/25)*BQ174+(1-EXP(-LN(2)/25))/(LN(2)/25)*Calculateur!BL175*Calculateur!BN175*VLOOKUP('Données projet'!$B$11,Paramètres!$A$1:$I$89,3,0)*0.475*44/12</f>
        <v>0.42797424542043561</v>
      </c>
      <c r="BR175" s="23">
        <f>EXP(-LN(2)/2)*BR174+(1-EXP(-LN(2)/2))/(LN(2)/2)*BL175*BO175*VLOOKUP('Données projet'!$B$11,Paramètres!$A$1:$I$89,3,0)*0.475*44/12</f>
        <v>4.0497811410148605E-23</v>
      </c>
      <c r="BS175" s="24">
        <f t="shared" si="169"/>
        <v>2.023618994562888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-2.1282176021486519E-13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228.57322051753096</v>
      </c>
      <c r="T176" s="62">
        <f t="shared" si="142"/>
        <v>168.91992124331932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287.69656598881124</v>
      </c>
      <c r="AO176" s="62">
        <f t="shared" si="144"/>
        <v>221.9773436301067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0.11467956640386354</v>
      </c>
      <c r="AW176" s="23">
        <f>EXP(-LN(2)/2)*AW175+(1-EXP(-LN(2)/2))/(LN(2)/2)*AQ176*AT176*VLOOKUP('Données projet'!$B$10,Paramètres!$A$1:$I$89,3,0)*0.475*44/12</f>
        <v>4.2591107499372005E-21</v>
      </c>
      <c r="AX176" s="23">
        <f t="shared" si="166"/>
        <v>0.11467956640386354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4.9658410716801891E-14</v>
      </c>
      <c r="BF176" s="14">
        <f t="shared" si="167"/>
        <v>8.0934058173791862E-13</v>
      </c>
      <c r="BG176" s="22">
        <f t="shared" si="168"/>
        <v>1.4960899118586383E-12</v>
      </c>
      <c r="BH176" s="62">
        <f t="shared" si="116"/>
        <v>293.33333333333479</v>
      </c>
      <c r="BI176" s="62">
        <f ca="1">AVERAGE(OFFSET($BH$3,0,0,'Données projet'!$E$11+1,1))-AVERAGE(OFFSET($H$3,0,0,'Données projet'!$E$11+1,1))</f>
        <v>254.12694970606668</v>
      </c>
      <c r="BJ176" s="62">
        <f t="shared" si="146"/>
        <v>319.62868041131082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1.5643551288589657</v>
      </c>
      <c r="BQ176" s="23">
        <f>EXP(-LN(2)/25)*BQ175+(1-EXP(-LN(2)/25))/(LN(2)/25)*Calculateur!BL176*Calculateur!BN176*VLOOKUP('Données projet'!$B$11,Paramètres!$A$1:$I$89,3,0)*0.475*44/12</f>
        <v>0.41627126717322638</v>
      </c>
      <c r="BR176" s="23">
        <f>EXP(-LN(2)/2)*BR175+(1-EXP(-LN(2)/2))/(LN(2)/2)*BL176*BO176*VLOOKUP('Données projet'!$B$11,Paramètres!$A$1:$I$89,3,0)*0.475*44/12</f>
        <v>2.8636277071330017E-23</v>
      </c>
      <c r="BS176" s="24">
        <f t="shared" si="169"/>
        <v>1.9806263960321919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-2.1282176021486519E-13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228.57322051753096</v>
      </c>
      <c r="T177" s="62">
        <f t="shared" si="142"/>
        <v>168.91992124331932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287.69656598881124</v>
      </c>
      <c r="AO177" s="62">
        <f t="shared" si="144"/>
        <v>221.9773436301067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0.1115436476298136</v>
      </c>
      <c r="AW177" s="23">
        <f>EXP(-LN(2)/2)*AW176+(1-EXP(-LN(2)/2))/(LN(2)/2)*AQ177*AT177*VLOOKUP('Données projet'!$B$10,Paramètres!$A$1:$I$89,3,0)*0.475*44/12</f>
        <v>3.0116460931051164E-21</v>
      </c>
      <c r="AX177" s="23">
        <f t="shared" si="166"/>
        <v>0.1115436476298136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4.9658410716801891E-14</v>
      </c>
      <c r="BF177" s="14">
        <f t="shared" si="167"/>
        <v>8.0934058173791862E-13</v>
      </c>
      <c r="BG177" s="22">
        <f t="shared" si="168"/>
        <v>1.4960899118586383E-12</v>
      </c>
      <c r="BH177" s="62">
        <f t="shared" si="116"/>
        <v>293.33333333333479</v>
      </c>
      <c r="BI177" s="62">
        <f ca="1">AVERAGE(OFFSET($BH$3,0,0,'Données projet'!$E$11+1,1))-AVERAGE(OFFSET($H$3,0,0,'Données projet'!$E$11+1,1))</f>
        <v>254.12694970606668</v>
      </c>
      <c r="BJ177" s="62">
        <f t="shared" si="146"/>
        <v>319.62868041131082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1.5336790789444543</v>
      </c>
      <c r="BQ177" s="23">
        <f>EXP(-LN(2)/25)*BQ176+(1-EXP(-LN(2)/25))/(LN(2)/25)*Calculateur!BL177*Calculateur!BN177*VLOOKUP('Données projet'!$B$11,Paramètres!$A$1:$I$89,3,0)*0.475*44/12</f>
        <v>0.40488830748161997</v>
      </c>
      <c r="BR177" s="23">
        <f>EXP(-LN(2)/2)*BR176+(1-EXP(-LN(2)/2))/(LN(2)/2)*BL177*BO177*VLOOKUP('Données projet'!$B$11,Paramètres!$A$1:$I$89,3,0)*0.475*44/12</f>
        <v>2.0248905705074303E-23</v>
      </c>
      <c r="BS177" s="24">
        <f t="shared" si="169"/>
        <v>1.9385673864260742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-2.1282176021486519E-13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228.57322051753096</v>
      </c>
      <c r="T178" s="62">
        <f t="shared" si="142"/>
        <v>168.91992124331932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287.69656598881124</v>
      </c>
      <c r="AO178" s="62">
        <f t="shared" si="144"/>
        <v>221.9773436301067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0.10849348071955085</v>
      </c>
      <c r="AW178" s="23">
        <f>EXP(-LN(2)/2)*AW177+(1-EXP(-LN(2)/2))/(LN(2)/2)*AQ178*AT178*VLOOKUP('Données projet'!$B$10,Paramètres!$A$1:$I$89,3,0)*0.475*44/12</f>
        <v>2.1295553749686002E-21</v>
      </c>
      <c r="AX178" s="23">
        <f t="shared" si="166"/>
        <v>0.10849348071955085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4.9658410716801891E-14</v>
      </c>
      <c r="BF178" s="14">
        <f t="shared" si="167"/>
        <v>8.0934058173791862E-13</v>
      </c>
      <c r="BG178" s="22">
        <f t="shared" si="168"/>
        <v>1.4960899118586383E-12</v>
      </c>
      <c r="BH178" s="62">
        <f t="shared" si="116"/>
        <v>293.33333333333479</v>
      </c>
      <c r="BI178" s="62">
        <f ca="1">AVERAGE(OFFSET($BH$3,0,0,'Données projet'!$E$11+1,1))-AVERAGE(OFFSET($H$3,0,0,'Données projet'!$E$11+1,1))</f>
        <v>254.12694970606668</v>
      </c>
      <c r="BJ178" s="62">
        <f t="shared" si="146"/>
        <v>319.62868041131082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1.5036045676582235</v>
      </c>
      <c r="BQ178" s="23">
        <f>EXP(-LN(2)/25)*BQ177+(1-EXP(-LN(2)/25))/(LN(2)/25)*Calculateur!BL178*Calculateur!BN178*VLOOKUP('Données projet'!$B$11,Paramètres!$A$1:$I$89,3,0)*0.475*44/12</f>
        <v>0.39381661542138435</v>
      </c>
      <c r="BR178" s="23">
        <f>EXP(-LN(2)/2)*BR177+(1-EXP(-LN(2)/2))/(LN(2)/2)*BL178*BO178*VLOOKUP('Données projet'!$B$11,Paramètres!$A$1:$I$89,3,0)*0.475*44/12</f>
        <v>1.4318138535665009E-23</v>
      </c>
      <c r="BS178" s="24">
        <f t="shared" si="169"/>
        <v>1.8974211830796079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-2.1282176021486519E-13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228.57322051753096</v>
      </c>
      <c r="T179" s="62">
        <f t="shared" si="142"/>
        <v>168.91992124331932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287.69656598881124</v>
      </c>
      <c r="AO179" s="62">
        <f t="shared" si="144"/>
        <v>221.9773436301067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0.10552672078385054</v>
      </c>
      <c r="AW179" s="23">
        <f>EXP(-LN(2)/2)*AW178+(1-EXP(-LN(2)/2))/(LN(2)/2)*AQ179*AT179*VLOOKUP('Données projet'!$B$10,Paramètres!$A$1:$I$89,3,0)*0.475*44/12</f>
        <v>1.5058230465525582E-21</v>
      </c>
      <c r="AX179" s="23">
        <f t="shared" si="166"/>
        <v>0.10552672078385054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4.9658410716801891E-14</v>
      </c>
      <c r="BF179" s="14">
        <f t="shared" si="167"/>
        <v>8.0934058173791862E-13</v>
      </c>
      <c r="BG179" s="22">
        <f t="shared" si="168"/>
        <v>1.4960899118586383E-12</v>
      </c>
      <c r="BH179" s="62">
        <f t="shared" si="116"/>
        <v>293.33333333333479</v>
      </c>
      <c r="BI179" s="62">
        <f ca="1">AVERAGE(OFFSET($BH$3,0,0,'Données projet'!$E$11+1,1))-AVERAGE(OFFSET($H$3,0,0,'Données projet'!$E$11+1,1))</f>
        <v>254.12694970606668</v>
      </c>
      <c r="BJ179" s="62">
        <f t="shared" si="146"/>
        <v>319.62868041131082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1.4741197991946751</v>
      </c>
      <c r="BQ179" s="23">
        <f>EXP(-LN(2)/25)*BQ178+(1-EXP(-LN(2)/25))/(LN(2)/25)*Calculateur!BL179*Calculateur!BN179*VLOOKUP('Données projet'!$B$11,Paramètres!$A$1:$I$89,3,0)*0.475*44/12</f>
        <v>0.3830476793627709</v>
      </c>
      <c r="BR179" s="23">
        <f>EXP(-LN(2)/2)*BR178+(1-EXP(-LN(2)/2))/(LN(2)/2)*BL179*BO179*VLOOKUP('Données projet'!$B$11,Paramètres!$A$1:$I$89,3,0)*0.475*44/12</f>
        <v>1.0124452852537151E-23</v>
      </c>
      <c r="BS179" s="24">
        <f t="shared" si="169"/>
        <v>1.8571674785574459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-2.1282176021486519E-13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228.57322051753096</v>
      </c>
      <c r="T180" s="62">
        <f t="shared" si="142"/>
        <v>168.91992124331932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287.69656598881124</v>
      </c>
      <c r="AO180" s="62">
        <f t="shared" si="144"/>
        <v>221.9773436301067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0.10264108705460709</v>
      </c>
      <c r="AW180" s="23">
        <f>EXP(-LN(2)/2)*AW179+(1-EXP(-LN(2)/2))/(LN(2)/2)*AQ180*AT180*VLOOKUP('Données projet'!$B$10,Paramètres!$A$1:$I$89,3,0)*0.475*44/12</f>
        <v>1.0647776874843001E-21</v>
      </c>
      <c r="AX180" s="23">
        <f t="shared" si="166"/>
        <v>0.10264108705460709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4.9658410716801891E-14</v>
      </c>
      <c r="BF180" s="14">
        <f t="shared" si="167"/>
        <v>8.0934058173791862E-13</v>
      </c>
      <c r="BG180" s="22">
        <f t="shared" si="168"/>
        <v>1.4960899118586383E-12</v>
      </c>
      <c r="BH180" s="62">
        <f t="shared" si="116"/>
        <v>293.33333333333479</v>
      </c>
      <c r="BI180" s="62">
        <f ca="1">AVERAGE(OFFSET($BH$3,0,0,'Données projet'!$E$11+1,1))-AVERAGE(OFFSET($H$3,0,0,'Données projet'!$E$11+1,1))</f>
        <v>254.12694970606668</v>
      </c>
      <c r="BJ180" s="62">
        <f t="shared" si="146"/>
        <v>319.62868041131082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1.4452132090567638</v>
      </c>
      <c r="BQ180" s="23">
        <f>EXP(-LN(2)/25)*BQ179+(1-EXP(-LN(2)/25))/(LN(2)/25)*Calculateur!BL180*Calculateur!BN180*VLOOKUP('Données projet'!$B$11,Paramètres!$A$1:$I$89,3,0)*0.475*44/12</f>
        <v>0.37257322042699392</v>
      </c>
      <c r="BR180" s="23">
        <f>EXP(-LN(2)/2)*BR179+(1-EXP(-LN(2)/2))/(LN(2)/2)*BL180*BO180*VLOOKUP('Données projet'!$B$11,Paramètres!$A$1:$I$89,3,0)*0.475*44/12</f>
        <v>7.1590692678325043E-24</v>
      </c>
      <c r="BS180" s="24">
        <f t="shared" si="169"/>
        <v>1.8177864294837578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-2.1282176021486519E-13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228.57322051753096</v>
      </c>
      <c r="T181" s="62">
        <f t="shared" si="142"/>
        <v>168.91992124331932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287.69656598881124</v>
      </c>
      <c r="AO181" s="62">
        <f t="shared" si="144"/>
        <v>221.9773436301067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9.9834361131438676E-2</v>
      </c>
      <c r="AW181" s="23">
        <f>EXP(-LN(2)/2)*AW180+(1-EXP(-LN(2)/2))/(LN(2)/2)*AQ181*AT181*VLOOKUP('Données projet'!$B$10,Paramètres!$A$1:$I$89,3,0)*0.475*44/12</f>
        <v>7.529115232762791E-22</v>
      </c>
      <c r="AX181" s="23">
        <f t="shared" si="166"/>
        <v>9.9834361131438676E-2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4.9658410716801891E-14</v>
      </c>
      <c r="BF181" s="14">
        <f t="shared" si="167"/>
        <v>8.0934058173791862E-13</v>
      </c>
      <c r="BG181" s="22">
        <f t="shared" si="168"/>
        <v>1.4960899118586383E-12</v>
      </c>
      <c r="BH181" s="62">
        <f t="shared" si="116"/>
        <v>293.33333333333479</v>
      </c>
      <c r="BI181" s="62">
        <f ca="1">AVERAGE(OFFSET($BH$3,0,0,'Données projet'!$E$11+1,1))-AVERAGE(OFFSET($H$3,0,0,'Données projet'!$E$11+1,1))</f>
        <v>254.12694970606668</v>
      </c>
      <c r="BJ181" s="62">
        <f t="shared" si="146"/>
        <v>319.62868041131082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1.416873459520178</v>
      </c>
      <c r="BQ181" s="23">
        <f>EXP(-LN(2)/25)*BQ180+(1-EXP(-LN(2)/25))/(LN(2)/25)*Calculateur!BL181*Calculateur!BN181*VLOOKUP('Données projet'!$B$11,Paramètres!$A$1:$I$89,3,0)*0.475*44/12</f>
        <v>0.36238518612164367</v>
      </c>
      <c r="BR181" s="23">
        <f>EXP(-LN(2)/2)*BR180+(1-EXP(-LN(2)/2))/(LN(2)/2)*BL181*BO181*VLOOKUP('Données projet'!$B$11,Paramètres!$A$1:$I$89,3,0)*0.475*44/12</f>
        <v>5.0622264262685756E-24</v>
      </c>
      <c r="BS181" s="24">
        <f t="shared" si="169"/>
        <v>1.7792586456418216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-2.1282176021486519E-13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228.57322051753096</v>
      </c>
      <c r="T182" s="62">
        <f t="shared" si="142"/>
        <v>168.91992124331932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287.69656598881124</v>
      </c>
      <c r="AO182" s="62">
        <f t="shared" si="144"/>
        <v>221.9773436301067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9.7104385276238603E-2</v>
      </c>
      <c r="AW182" s="23">
        <f>EXP(-LN(2)/2)*AW181+(1-EXP(-LN(2)/2))/(LN(2)/2)*AQ182*AT182*VLOOKUP('Données projet'!$B$10,Paramètres!$A$1:$I$89,3,0)*0.475*44/12</f>
        <v>5.3238884374215006E-22</v>
      </c>
      <c r="AX182" s="23">
        <f t="shared" si="166"/>
        <v>9.7104385276238603E-2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4.9658410716801891E-14</v>
      </c>
      <c r="BF182" s="14">
        <f t="shared" si="167"/>
        <v>8.0934058173791862E-13</v>
      </c>
      <c r="BG182" s="22">
        <f t="shared" si="168"/>
        <v>1.4960899118586383E-12</v>
      </c>
      <c r="BH182" s="62">
        <f t="shared" si="116"/>
        <v>293.33333333333479</v>
      </c>
      <c r="BI182" s="62">
        <f ca="1">AVERAGE(OFFSET($BH$3,0,0,'Données projet'!$E$11+1,1))-AVERAGE(OFFSET($H$3,0,0,'Données projet'!$E$11+1,1))</f>
        <v>254.12694970606668</v>
      </c>
      <c r="BJ182" s="62">
        <f t="shared" si="146"/>
        <v>319.62868041131082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1.3890894351864642</v>
      </c>
      <c r="BQ182" s="23">
        <f>EXP(-LN(2)/25)*BQ181+(1-EXP(-LN(2)/25))/(LN(2)/25)*Calculateur!BL182*Calculateur!BN182*VLOOKUP('Données projet'!$B$11,Paramètres!$A$1:$I$89,3,0)*0.475*44/12</f>
        <v>0.3524757441501386</v>
      </c>
      <c r="BR182" s="23">
        <f>EXP(-LN(2)/2)*BR181+(1-EXP(-LN(2)/2))/(LN(2)/2)*BL182*BO182*VLOOKUP('Données projet'!$B$11,Paramètres!$A$1:$I$89,3,0)*0.475*44/12</f>
        <v>3.5795346339162521E-24</v>
      </c>
      <c r="BS182" s="24">
        <f t="shared" si="169"/>
        <v>1.7415651793366029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-2.1282176021486519E-13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228.57322051753096</v>
      </c>
      <c r="T183" s="62">
        <f t="shared" si="142"/>
        <v>168.91992124331932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287.69656598881124</v>
      </c>
      <c r="AO183" s="62">
        <f t="shared" si="144"/>
        <v>221.9773436301067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9.4449060754362171E-2</v>
      </c>
      <c r="AW183" s="23">
        <f>EXP(-LN(2)/2)*AW182+(1-EXP(-LN(2)/2))/(LN(2)/2)*AQ183*AT183*VLOOKUP('Données projet'!$B$10,Paramètres!$A$1:$I$89,3,0)*0.475*44/12</f>
        <v>3.7645576163813955E-22</v>
      </c>
      <c r="AX183" s="23">
        <f t="shared" si="166"/>
        <v>9.4449060754362171E-2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4.9658410716801891E-14</v>
      </c>
      <c r="BF183" s="14">
        <f t="shared" si="167"/>
        <v>8.0934058173791862E-13</v>
      </c>
      <c r="BG183" s="22">
        <f t="shared" si="168"/>
        <v>1.4960899118586383E-12</v>
      </c>
      <c r="BH183" s="62">
        <f t="shared" si="116"/>
        <v>293.33333333333479</v>
      </c>
      <c r="BI183" s="62">
        <f ca="1">AVERAGE(OFFSET($BH$3,0,0,'Données projet'!$E$11+1,1))-AVERAGE(OFFSET($H$3,0,0,'Données projet'!$E$11+1,1))</f>
        <v>254.12694970606668</v>
      </c>
      <c r="BJ183" s="62">
        <f t="shared" si="146"/>
        <v>319.62868041131082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1.3618502386233531</v>
      </c>
      <c r="BQ183" s="23">
        <f>EXP(-LN(2)/25)*BQ182+(1-EXP(-LN(2)/25))/(LN(2)/25)*Calculateur!BL183*Calculateur!BN183*VLOOKUP('Données projet'!$B$11,Paramètres!$A$1:$I$89,3,0)*0.475*44/12</f>
        <v>0.3428372763904593</v>
      </c>
      <c r="BR183" s="23">
        <f>EXP(-LN(2)/2)*BR182+(1-EXP(-LN(2)/2))/(LN(2)/2)*BL183*BO183*VLOOKUP('Données projet'!$B$11,Paramètres!$A$1:$I$89,3,0)*0.475*44/12</f>
        <v>2.5311132131342878E-24</v>
      </c>
      <c r="BS183" s="24">
        <f t="shared" si="169"/>
        <v>1.7046875150138123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-2.1282176021486519E-13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228.57322051753096</v>
      </c>
      <c r="T184" s="62">
        <f t="shared" si="142"/>
        <v>168.91992124331932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287.69656598881124</v>
      </c>
      <c r="AO184" s="62">
        <f t="shared" si="144"/>
        <v>221.9773436301067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9.18663462211739E-2</v>
      </c>
      <c r="AW184" s="23">
        <f>EXP(-LN(2)/2)*AW183+(1-EXP(-LN(2)/2))/(LN(2)/2)*AQ184*AT184*VLOOKUP('Données projet'!$B$10,Paramètres!$A$1:$I$89,3,0)*0.475*44/12</f>
        <v>2.6619442187107503E-22</v>
      </c>
      <c r="AX184" s="23">
        <f t="shared" si="166"/>
        <v>9.18663462211739E-2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4.9658410716801891E-14</v>
      </c>
      <c r="BF184" s="14">
        <f t="shared" si="167"/>
        <v>8.0934058173791862E-13</v>
      </c>
      <c r="BG184" s="22">
        <f t="shared" si="168"/>
        <v>1.4960899118586383E-12</v>
      </c>
      <c r="BH184" s="62">
        <f t="shared" si="116"/>
        <v>293.33333333333479</v>
      </c>
      <c r="BI184" s="62">
        <f ca="1">AVERAGE(OFFSET($BH$3,0,0,'Données projet'!$E$11+1,1))-AVERAGE(OFFSET($H$3,0,0,'Données projet'!$E$11+1,1))</f>
        <v>254.12694970606668</v>
      </c>
      <c r="BJ184" s="62">
        <f t="shared" si="146"/>
        <v>319.62868041131082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1.3351451860905752</v>
      </c>
      <c r="BQ184" s="23">
        <f>EXP(-LN(2)/25)*BQ183+(1-EXP(-LN(2)/25))/(LN(2)/25)*Calculateur!BL184*Calculateur!BN184*VLOOKUP('Données projet'!$B$11,Paramètres!$A$1:$I$89,3,0)*0.475*44/12</f>
        <v>0.33346237303853338</v>
      </c>
      <c r="BR184" s="23">
        <f>EXP(-LN(2)/2)*BR183+(1-EXP(-LN(2)/2))/(LN(2)/2)*BL184*BO184*VLOOKUP('Données projet'!$B$11,Paramètres!$A$1:$I$89,3,0)*0.475*44/12</f>
        <v>1.7897673169581261E-24</v>
      </c>
      <c r="BS184" s="24">
        <f t="shared" si="169"/>
        <v>1.6686075591291085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-2.1282176021486519E-13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228.57322051753096</v>
      </c>
      <c r="T185" s="62">
        <f t="shared" si="142"/>
        <v>168.91992124331932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287.69656598881124</v>
      </c>
      <c r="AO185" s="62">
        <f t="shared" si="144"/>
        <v>221.9773436301067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8.9354256152714709E-2</v>
      </c>
      <c r="AW185" s="23">
        <f>EXP(-LN(2)/2)*AW184+(1-EXP(-LN(2)/2))/(LN(2)/2)*AQ185*AT185*VLOOKUP('Données projet'!$B$10,Paramètres!$A$1:$I$89,3,0)*0.475*44/12</f>
        <v>1.8822788081906977E-22</v>
      </c>
      <c r="AX185" s="23">
        <f t="shared" si="166"/>
        <v>8.9354256152714709E-2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4.9658410716801891E-14</v>
      </c>
      <c r="BF185" s="14">
        <f t="shared" si="167"/>
        <v>8.0934058173791862E-13</v>
      </c>
      <c r="BG185" s="22">
        <f t="shared" si="168"/>
        <v>1.4960899118586383E-12</v>
      </c>
      <c r="BH185" s="62">
        <f t="shared" si="116"/>
        <v>293.33333333333479</v>
      </c>
      <c r="BI185" s="62">
        <f ca="1">AVERAGE(OFFSET($BH$3,0,0,'Données projet'!$E$11+1,1))-AVERAGE(OFFSET($H$3,0,0,'Données projet'!$E$11+1,1))</f>
        <v>254.12694970606668</v>
      </c>
      <c r="BJ185" s="62">
        <f t="shared" si="146"/>
        <v>319.62868041131082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1.3089638033494913</v>
      </c>
      <c r="BQ185" s="23">
        <f>EXP(-LN(2)/25)*BQ184+(1-EXP(-LN(2)/25))/(LN(2)/25)*Calculateur!BL185*Calculateur!BN185*VLOOKUP('Données projet'!$B$11,Paramètres!$A$1:$I$89,3,0)*0.475*44/12</f>
        <v>0.32434382691177061</v>
      </c>
      <c r="BR185" s="23">
        <f>EXP(-LN(2)/2)*BR184+(1-EXP(-LN(2)/2))/(LN(2)/2)*BL185*BO185*VLOOKUP('Données projet'!$B$11,Paramètres!$A$1:$I$89,3,0)*0.475*44/12</f>
        <v>1.2655566065671439E-24</v>
      </c>
      <c r="BS185" s="24">
        <f t="shared" si="169"/>
        <v>1.6333076302612619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-2.1282176021486519E-13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228.57322051753096</v>
      </c>
      <c r="T186" s="62">
        <f t="shared" si="142"/>
        <v>168.91992124331932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287.69656598881124</v>
      </c>
      <c r="AO186" s="62">
        <f t="shared" si="144"/>
        <v>221.9773436301067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8.6910859319282621E-2</v>
      </c>
      <c r="AW186" s="23">
        <f>EXP(-LN(2)/2)*AW185+(1-EXP(-LN(2)/2))/(LN(2)/2)*AQ186*AT186*VLOOKUP('Données projet'!$B$10,Paramètres!$A$1:$I$89,3,0)*0.475*44/12</f>
        <v>1.3309721093553751E-22</v>
      </c>
      <c r="AX186" s="23">
        <f t="shared" si="166"/>
        <v>8.6910859319282621E-2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4.9658410716801891E-14</v>
      </c>
      <c r="BF186" s="14">
        <f t="shared" si="167"/>
        <v>8.0934058173791862E-13</v>
      </c>
      <c r="BG186" s="22">
        <f t="shared" si="168"/>
        <v>1.4960899118586383E-12</v>
      </c>
      <c r="BH186" s="62">
        <f t="shared" si="116"/>
        <v>293.33333333333479</v>
      </c>
      <c r="BI186" s="62">
        <f ca="1">AVERAGE(OFFSET($BH$3,0,0,'Données projet'!$E$11+1,1))-AVERAGE(OFFSET($H$3,0,0,'Données projet'!$E$11+1,1))</f>
        <v>254.12694970606668</v>
      </c>
      <c r="BJ186" s="62">
        <f t="shared" si="146"/>
        <v>319.62868041131082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1.2832958215548933</v>
      </c>
      <c r="BQ186" s="23">
        <f>EXP(-LN(2)/25)*BQ185+(1-EXP(-LN(2)/25))/(LN(2)/25)*Calculateur!BL186*Calculateur!BN186*VLOOKUP('Données projet'!$B$11,Paramètres!$A$1:$I$89,3,0)*0.475*44/12</f>
        <v>0.31547462790836767</v>
      </c>
      <c r="BR186" s="23">
        <f>EXP(-LN(2)/2)*BR185+(1-EXP(-LN(2)/2))/(LN(2)/2)*BL186*BO186*VLOOKUP('Données projet'!$B$11,Paramètres!$A$1:$I$89,3,0)*0.475*44/12</f>
        <v>8.9488365847906304E-25</v>
      </c>
      <c r="BS186" s="24">
        <f t="shared" si="169"/>
        <v>1.5987704494632609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-2.1282176021486519E-13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228.57322051753096</v>
      </c>
      <c r="T187" s="62">
        <f t="shared" si="142"/>
        <v>168.91992124331932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287.69656598881124</v>
      </c>
      <c r="AO187" s="62">
        <f t="shared" si="144"/>
        <v>221.9773436301067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8.4534277300753385E-2</v>
      </c>
      <c r="AW187" s="23">
        <f>EXP(-LN(2)/2)*AW186+(1-EXP(-LN(2)/2))/(LN(2)/2)*AQ187*AT187*VLOOKUP('Données projet'!$B$10,Paramètres!$A$1:$I$89,3,0)*0.475*44/12</f>
        <v>9.4113940409534887E-23</v>
      </c>
      <c r="AX187" s="23">
        <f t="shared" si="166"/>
        <v>8.4534277300753385E-2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4.9658410716801891E-14</v>
      </c>
      <c r="BF187" s="14">
        <f t="shared" si="167"/>
        <v>8.0934058173791862E-13</v>
      </c>
      <c r="BG187" s="22">
        <f t="shared" si="168"/>
        <v>1.4960899118586383E-12</v>
      </c>
      <c r="BH187" s="62">
        <f t="shared" si="116"/>
        <v>293.33333333333479</v>
      </c>
      <c r="BI187" s="62">
        <f ca="1">AVERAGE(OFFSET($BH$3,0,0,'Données projet'!$E$11+1,1))-AVERAGE(OFFSET($H$3,0,0,'Données projet'!$E$11+1,1))</f>
        <v>254.12694970606668</v>
      </c>
      <c r="BJ187" s="62">
        <f t="shared" si="146"/>
        <v>319.62868041131082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1.2581311732273646</v>
      </c>
      <c r="BQ187" s="23">
        <f>EXP(-LN(2)/25)*BQ186+(1-EXP(-LN(2)/25))/(LN(2)/25)*Calculateur!BL187*Calculateur!BN187*VLOOKUP('Données projet'!$B$11,Paramètres!$A$1:$I$89,3,0)*0.475*44/12</f>
        <v>0.30684795761812372</v>
      </c>
      <c r="BR187" s="23">
        <f>EXP(-LN(2)/2)*BR186+(1-EXP(-LN(2)/2))/(LN(2)/2)*BL187*BO187*VLOOKUP('Données projet'!$B$11,Paramètres!$A$1:$I$89,3,0)*0.475*44/12</f>
        <v>6.3277830328357196E-25</v>
      </c>
      <c r="BS187" s="24">
        <f t="shared" si="169"/>
        <v>1.5649791308454883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-2.1282176021486519E-13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228.57322051753096</v>
      </c>
      <c r="T188" s="62">
        <f t="shared" si="142"/>
        <v>168.91992124331932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287.69656598881124</v>
      </c>
      <c r="AO188" s="62">
        <f t="shared" si="144"/>
        <v>221.9773436301067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8.2222683042499842E-2</v>
      </c>
      <c r="AW188" s="23">
        <f>EXP(-LN(2)/2)*AW187+(1-EXP(-LN(2)/2))/(LN(2)/2)*AQ188*AT188*VLOOKUP('Données projet'!$B$10,Paramètres!$A$1:$I$89,3,0)*0.475*44/12</f>
        <v>6.6548605467768757E-23</v>
      </c>
      <c r="AX188" s="23">
        <f t="shared" si="166"/>
        <v>8.2222683042499842E-2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4.9658410716801891E-14</v>
      </c>
      <c r="BF188" s="14">
        <f t="shared" si="167"/>
        <v>8.0934058173791862E-13</v>
      </c>
      <c r="BG188" s="22">
        <f t="shared" si="168"/>
        <v>1.4960899118586383E-12</v>
      </c>
      <c r="BH188" s="62">
        <f t="shared" si="116"/>
        <v>293.33333333333479</v>
      </c>
      <c r="BI188" s="62">
        <f ca="1">AVERAGE(OFFSET($BH$3,0,0,'Données projet'!$E$11+1,1))-AVERAGE(OFFSET($H$3,0,0,'Données projet'!$E$11+1,1))</f>
        <v>254.12694970606668</v>
      </c>
      <c r="BJ188" s="62">
        <f t="shared" si="146"/>
        <v>319.62868041131082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1.2334599883046187</v>
      </c>
      <c r="BQ188" s="23">
        <f>EXP(-LN(2)/25)*BQ187+(1-EXP(-LN(2)/25))/(LN(2)/25)*Calculateur!BL188*Calculateur!BN188*VLOOKUP('Données projet'!$B$11,Paramètres!$A$1:$I$89,3,0)*0.475*44/12</f>
        <v>0.29845718408062333</v>
      </c>
      <c r="BR188" s="23">
        <f>EXP(-LN(2)/2)*BR187+(1-EXP(-LN(2)/2))/(LN(2)/2)*BL188*BO188*VLOOKUP('Données projet'!$B$11,Paramètres!$A$1:$I$89,3,0)*0.475*44/12</f>
        <v>4.4744182923953152E-25</v>
      </c>
      <c r="BS188" s="24">
        <f t="shared" si="169"/>
        <v>1.5319171723852421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-2.1282176021486519E-13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228.57322051753096</v>
      </c>
      <c r="T189" s="62">
        <f t="shared" si="142"/>
        <v>168.91992124331932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287.69656598881124</v>
      </c>
      <c r="AO189" s="62">
        <f t="shared" si="144"/>
        <v>221.9773436301067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7.9974299450799702E-2</v>
      </c>
      <c r="AW189" s="23">
        <f>EXP(-LN(2)/2)*AW188+(1-EXP(-LN(2)/2))/(LN(2)/2)*AQ189*AT189*VLOOKUP('Données projet'!$B$10,Paramètres!$A$1:$I$89,3,0)*0.475*44/12</f>
        <v>4.7056970204767444E-23</v>
      </c>
      <c r="AX189" s="23">
        <f t="shared" si="166"/>
        <v>7.9974299450799702E-2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4.9658410716801891E-14</v>
      </c>
      <c r="BF189" s="14">
        <f t="shared" si="167"/>
        <v>8.0934058173791862E-13</v>
      </c>
      <c r="BG189" s="22">
        <f t="shared" si="168"/>
        <v>1.4960899118586383E-12</v>
      </c>
      <c r="BH189" s="62">
        <f t="shared" si="116"/>
        <v>293.33333333333479</v>
      </c>
      <c r="BI189" s="62">
        <f ca="1">AVERAGE(OFFSET($BH$3,0,0,'Données projet'!$E$11+1,1))-AVERAGE(OFFSET($H$3,0,0,'Données projet'!$E$11+1,1))</f>
        <v>254.12694970606668</v>
      </c>
      <c r="BJ189" s="62">
        <f t="shared" si="146"/>
        <v>319.62868041131082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1.209272590270271</v>
      </c>
      <c r="BQ189" s="23">
        <f>EXP(-LN(2)/25)*BQ188+(1-EXP(-LN(2)/25))/(LN(2)/25)*Calculateur!BL189*Calculateur!BN189*VLOOKUP('Données projet'!$B$11,Paramètres!$A$1:$I$89,3,0)*0.475*44/12</f>
        <v>0.2902958566867575</v>
      </c>
      <c r="BR189" s="23">
        <f>EXP(-LN(2)/2)*BR188+(1-EXP(-LN(2)/2))/(LN(2)/2)*BL189*BO189*VLOOKUP('Données projet'!$B$11,Paramètres!$A$1:$I$89,3,0)*0.475*44/12</f>
        <v>3.1638915164178598E-25</v>
      </c>
      <c r="BS189" s="24">
        <f t="shared" si="169"/>
        <v>1.4995684469570285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-2.1282176021486519E-13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228.57322051753096</v>
      </c>
      <c r="T190" s="62">
        <f t="shared" si="142"/>
        <v>168.91992124331932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287.69656598881124</v>
      </c>
      <c r="AO190" s="62">
        <f t="shared" si="144"/>
        <v>221.9773436301067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7.7787398026651966E-2</v>
      </c>
      <c r="AW190" s="23">
        <f>EXP(-LN(2)/2)*AW189+(1-EXP(-LN(2)/2))/(LN(2)/2)*AQ190*AT190*VLOOKUP('Données projet'!$B$10,Paramètres!$A$1:$I$89,3,0)*0.475*44/12</f>
        <v>3.3274302733884379E-23</v>
      </c>
      <c r="AX190" s="23">
        <f t="shared" si="166"/>
        <v>7.7787398026651966E-2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4.9658410716801891E-14</v>
      </c>
      <c r="BF190" s="14">
        <f t="shared" si="167"/>
        <v>8.0934058173791862E-13</v>
      </c>
      <c r="BG190" s="22">
        <f t="shared" si="168"/>
        <v>1.4960899118586383E-12</v>
      </c>
      <c r="BH190" s="62">
        <f t="shared" si="116"/>
        <v>293.33333333333479</v>
      </c>
      <c r="BI190" s="62">
        <f ca="1">AVERAGE(OFFSET($BH$3,0,0,'Données projet'!$E$11+1,1))-AVERAGE(OFFSET($H$3,0,0,'Données projet'!$E$11+1,1))</f>
        <v>254.12694970606668</v>
      </c>
      <c r="BJ190" s="62">
        <f t="shared" si="146"/>
        <v>319.62868041131082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1.1855594923585207</v>
      </c>
      <c r="BQ190" s="23">
        <f>EXP(-LN(2)/25)*BQ189+(1-EXP(-LN(2)/25))/(LN(2)/25)*Calculateur!BL190*Calculateur!BN190*VLOOKUP('Données projet'!$B$11,Paramètres!$A$1:$I$89,3,0)*0.475*44/12</f>
        <v>0.28235770121966247</v>
      </c>
      <c r="BR190" s="23">
        <f>EXP(-LN(2)/2)*BR189+(1-EXP(-LN(2)/2))/(LN(2)/2)*BL190*BO190*VLOOKUP('Données projet'!$B$11,Paramètres!$A$1:$I$89,3,0)*0.475*44/12</f>
        <v>2.2372091461976576E-25</v>
      </c>
      <c r="BS190" s="24">
        <f t="shared" si="169"/>
        <v>1.4679171935781832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-2.1282176021486519E-13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228.57322051753096</v>
      </c>
      <c r="T191" s="62">
        <f t="shared" si="142"/>
        <v>168.91992124331932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287.69656598881124</v>
      </c>
      <c r="AO191" s="62">
        <f t="shared" si="144"/>
        <v>221.9773436301067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7.5660297536951693E-2</v>
      </c>
      <c r="AW191" s="23">
        <f>EXP(-LN(2)/2)*AW190+(1-EXP(-LN(2)/2))/(LN(2)/2)*AQ191*AT191*VLOOKUP('Données projet'!$B$10,Paramètres!$A$1:$I$89,3,0)*0.475*44/12</f>
        <v>2.3528485102383722E-23</v>
      </c>
      <c r="AX191" s="23">
        <f t="shared" si="166"/>
        <v>7.5660297536951693E-2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4.9658410716801891E-14</v>
      </c>
      <c r="BF191" s="14">
        <f t="shared" si="167"/>
        <v>8.0934058173791862E-13</v>
      </c>
      <c r="BG191" s="22">
        <f t="shared" si="168"/>
        <v>1.4960899118586383E-12</v>
      </c>
      <c r="BH191" s="62">
        <f t="shared" si="116"/>
        <v>293.33333333333479</v>
      </c>
      <c r="BI191" s="62">
        <f ca="1">AVERAGE(OFFSET($BH$3,0,0,'Données projet'!$E$11+1,1))-AVERAGE(OFFSET($H$3,0,0,'Données projet'!$E$11+1,1))</f>
        <v>254.12694970606668</v>
      </c>
      <c r="BJ191" s="62">
        <f t="shared" si="146"/>
        <v>319.62868041131082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1.1623113938332583</v>
      </c>
      <c r="BQ191" s="23">
        <f>EXP(-LN(2)/25)*BQ190+(1-EXP(-LN(2)/25))/(LN(2)/25)*Calculateur!BL191*Calculateur!BN191*VLOOKUP('Données projet'!$B$11,Paramètres!$A$1:$I$89,3,0)*0.475*44/12</f>
        <v>0.27463661503126463</v>
      </c>
      <c r="BR191" s="23">
        <f>EXP(-LN(2)/2)*BR190+(1-EXP(-LN(2)/2))/(LN(2)/2)*BL191*BO191*VLOOKUP('Données projet'!$B$11,Paramètres!$A$1:$I$89,3,0)*0.475*44/12</f>
        <v>1.5819457582089299E-25</v>
      </c>
      <c r="BS191" s="24">
        <f t="shared" si="169"/>
        <v>1.436948008864523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-2.1282176021486519E-13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228.57322051753096</v>
      </c>
      <c r="T192" s="62">
        <f t="shared" si="142"/>
        <v>168.91992124331932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287.69656598881124</v>
      </c>
      <c r="AO192" s="62">
        <f t="shared" si="144"/>
        <v>221.9773436301067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7.3591362722001619E-2</v>
      </c>
      <c r="AW192" s="23">
        <f>EXP(-LN(2)/2)*AW191+(1-EXP(-LN(2)/2))/(LN(2)/2)*AQ192*AT192*VLOOKUP('Données projet'!$B$10,Paramètres!$A$1:$I$89,3,0)*0.475*44/12</f>
        <v>1.6637151366942189E-23</v>
      </c>
      <c r="AX192" s="23">
        <f t="shared" si="166"/>
        <v>7.3591362722001619E-2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4.9658410716801891E-14</v>
      </c>
      <c r="BF192" s="14">
        <f t="shared" si="167"/>
        <v>8.0934058173791862E-13</v>
      </c>
      <c r="BG192" s="22">
        <f t="shared" si="168"/>
        <v>1.4960899118586383E-12</v>
      </c>
      <c r="BH192" s="62">
        <f t="shared" si="116"/>
        <v>293.33333333333479</v>
      </c>
      <c r="BI192" s="62">
        <f ca="1">AVERAGE(OFFSET($BH$3,0,0,'Données projet'!$E$11+1,1))-AVERAGE(OFFSET($H$3,0,0,'Données projet'!$E$11+1,1))</f>
        <v>254.12694970606668</v>
      </c>
      <c r="BJ192" s="62">
        <f t="shared" si="146"/>
        <v>319.62868041131082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1.1395191763401364</v>
      </c>
      <c r="BQ192" s="23">
        <f>EXP(-LN(2)/25)*BQ191+(1-EXP(-LN(2)/25))/(LN(2)/25)*Calculateur!BL192*Calculateur!BN192*VLOOKUP('Données projet'!$B$11,Paramètres!$A$1:$I$89,3,0)*0.475*44/12</f>
        <v>0.2671266623507228</v>
      </c>
      <c r="BR192" s="23">
        <f>EXP(-LN(2)/2)*BR191+(1-EXP(-LN(2)/2))/(LN(2)/2)*BL192*BO192*VLOOKUP('Données projet'!$B$11,Paramètres!$A$1:$I$89,3,0)*0.475*44/12</f>
        <v>1.1186045730988288E-25</v>
      </c>
      <c r="BS192" s="24">
        <f t="shared" si="169"/>
        <v>1.4066458386908591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-2.1282176021486519E-13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228.57322051753096</v>
      </c>
      <c r="T193" s="62">
        <f t="shared" si="142"/>
        <v>168.91992124331932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287.69656598881124</v>
      </c>
      <c r="AO193" s="62">
        <f t="shared" si="144"/>
        <v>221.9773436301067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7.1579003038366909E-2</v>
      </c>
      <c r="AW193" s="23">
        <f>EXP(-LN(2)/2)*AW192+(1-EXP(-LN(2)/2))/(LN(2)/2)*AQ193*AT193*VLOOKUP('Données projet'!$B$10,Paramètres!$A$1:$I$89,3,0)*0.475*44/12</f>
        <v>1.1764242551191861E-23</v>
      </c>
      <c r="AX193" s="23">
        <f t="shared" si="166"/>
        <v>7.1579003038366909E-2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4.9658410716801891E-14</v>
      </c>
      <c r="BF193" s="14">
        <f t="shared" si="167"/>
        <v>8.0934058173791862E-13</v>
      </c>
      <c r="BG193" s="22">
        <f t="shared" si="168"/>
        <v>1.4960899118586383E-12</v>
      </c>
      <c r="BH193" s="62">
        <f t="shared" si="116"/>
        <v>293.33333333333479</v>
      </c>
      <c r="BI193" s="62">
        <f ca="1">AVERAGE(OFFSET($BH$3,0,0,'Données projet'!$E$11+1,1))-AVERAGE(OFFSET($H$3,0,0,'Données projet'!$E$11+1,1))</f>
        <v>254.12694970606668</v>
      </c>
      <c r="BJ193" s="62">
        <f t="shared" si="146"/>
        <v>319.62868041131082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1.1171739003301746</v>
      </c>
      <c r="BQ193" s="23">
        <f>EXP(-LN(2)/25)*BQ192+(1-EXP(-LN(2)/25))/(LN(2)/25)*Calculateur!BL193*Calculateur!BN193*VLOOKUP('Données projet'!$B$11,Paramètres!$A$1:$I$89,3,0)*0.475*44/12</f>
        <v>0.25982206972116162</v>
      </c>
      <c r="BR193" s="23">
        <f>EXP(-LN(2)/2)*BR192+(1-EXP(-LN(2)/2))/(LN(2)/2)*BL193*BO193*VLOOKUP('Données projet'!$B$11,Paramètres!$A$1:$I$89,3,0)*0.475*44/12</f>
        <v>7.9097287910446495E-26</v>
      </c>
      <c r="BS193" s="24">
        <f t="shared" si="169"/>
        <v>1.3769959700513361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-2.1282176021486519E-13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228.57322051753096</v>
      </c>
      <c r="T194" s="62">
        <f t="shared" si="142"/>
        <v>168.91992124331932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287.69656598881124</v>
      </c>
      <c r="AO194" s="62">
        <f t="shared" si="144"/>
        <v>221.9773436301067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6.9621671436106591E-2</v>
      </c>
      <c r="AW194" s="23">
        <f>EXP(-LN(2)/2)*AW193+(1-EXP(-LN(2)/2))/(LN(2)/2)*AQ194*AT194*VLOOKUP('Données projet'!$B$10,Paramètres!$A$1:$I$89,3,0)*0.475*44/12</f>
        <v>8.3185756834710947E-24</v>
      </c>
      <c r="AX194" s="23">
        <f t="shared" si="166"/>
        <v>6.9621671436106591E-2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4.9658410716801891E-14</v>
      </c>
      <c r="BF194" s="14">
        <f t="shared" si="167"/>
        <v>8.0934058173791862E-13</v>
      </c>
      <c r="BG194" s="22">
        <f t="shared" si="168"/>
        <v>1.4960899118586383E-12</v>
      </c>
      <c r="BH194" s="62">
        <f t="shared" si="116"/>
        <v>293.33333333333479</v>
      </c>
      <c r="BI194" s="62">
        <f ca="1">AVERAGE(OFFSET($BH$3,0,0,'Données projet'!$E$11+1,1))-AVERAGE(OFFSET($H$3,0,0,'Données projet'!$E$11+1,1))</f>
        <v>254.12694970606668</v>
      </c>
      <c r="BJ194" s="62">
        <f t="shared" si="146"/>
        <v>319.62868041131082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1.0952668015534957</v>
      </c>
      <c r="BQ194" s="23">
        <f>EXP(-LN(2)/25)*BQ193+(1-EXP(-LN(2)/25))/(LN(2)/25)*Calculateur!BL194*Calculateur!BN194*VLOOKUP('Données projet'!$B$11,Paramètres!$A$1:$I$89,3,0)*0.475*44/12</f>
        <v>0.25271722156118764</v>
      </c>
      <c r="BR194" s="23">
        <f>EXP(-LN(2)/2)*BR193+(1-EXP(-LN(2)/2))/(LN(2)/2)*BL194*BO194*VLOOKUP('Données projet'!$B$11,Paramètres!$A$1:$I$89,3,0)*0.475*44/12</f>
        <v>5.593022865494144E-26</v>
      </c>
      <c r="BS194" s="24">
        <f t="shared" si="169"/>
        <v>1.3479840231146833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-2.1282176021486519E-13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228.57322051753096</v>
      </c>
      <c r="T195" s="62">
        <f t="shared" si="142"/>
        <v>168.91992124331932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287.69656598881124</v>
      </c>
      <c r="AO195" s="62">
        <f t="shared" si="144"/>
        <v>221.9773436301067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6.7717863169441672E-2</v>
      </c>
      <c r="AW195" s="23">
        <f>EXP(-LN(2)/2)*AW194+(1-EXP(-LN(2)/2))/(LN(2)/2)*AQ195*AT195*VLOOKUP('Données projet'!$B$10,Paramètres!$A$1:$I$89,3,0)*0.475*44/12</f>
        <v>5.8821212755959304E-24</v>
      </c>
      <c r="AX195" s="23">
        <f t="shared" si="166"/>
        <v>6.7717863169441672E-2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4.9658410716801891E-14</v>
      </c>
      <c r="BF195" s="14">
        <f t="shared" si="167"/>
        <v>8.0934058173791862E-13</v>
      </c>
      <c r="BG195" s="22">
        <f t="shared" si="168"/>
        <v>1.4960899118586383E-12</v>
      </c>
      <c r="BH195" s="62">
        <f t="shared" si="116"/>
        <v>293.33333333333479</v>
      </c>
      <c r="BI195" s="62">
        <f ca="1">AVERAGE(OFFSET($BH$3,0,0,'Données projet'!$E$11+1,1))-AVERAGE(OFFSET($H$3,0,0,'Données projet'!$E$11+1,1))</f>
        <v>254.12694970606668</v>
      </c>
      <c r="BJ195" s="62">
        <f t="shared" si="146"/>
        <v>319.62868041131082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1.0737892876218165</v>
      </c>
      <c r="BQ195" s="23">
        <f>EXP(-LN(2)/25)*BQ194+(1-EXP(-LN(2)/25))/(LN(2)/25)*Calculateur!BL195*Calculateur!BN195*VLOOKUP('Données projet'!$B$11,Paramètres!$A$1:$I$89,3,0)*0.475*44/12</f>
        <v>0.24580665584777589</v>
      </c>
      <c r="BR195" s="23">
        <f>EXP(-LN(2)/2)*BR194+(1-EXP(-LN(2)/2))/(LN(2)/2)*BL195*BO195*VLOOKUP('Données projet'!$B$11,Paramètres!$A$1:$I$89,3,0)*0.475*44/12</f>
        <v>3.9548643955223247E-26</v>
      </c>
      <c r="BS195" s="24">
        <f t="shared" si="169"/>
        <v>1.3195959434695923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-2.1282176021486519E-13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228.57322051753096</v>
      </c>
      <c r="T196" s="62">
        <f t="shared" si="142"/>
        <v>168.91992124331932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287.69656598881124</v>
      </c>
      <c r="AO196" s="62">
        <f t="shared" si="144"/>
        <v>221.9773436301067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6.5866114639945642E-2</v>
      </c>
      <c r="AW196" s="23">
        <f>EXP(-LN(2)/2)*AW195+(1-EXP(-LN(2)/2))/(LN(2)/2)*AQ196*AT196*VLOOKUP('Données projet'!$B$10,Paramètres!$A$1:$I$89,3,0)*0.475*44/12</f>
        <v>4.1592878417355473E-24</v>
      </c>
      <c r="AX196" s="23">
        <f t="shared" si="166"/>
        <v>6.5866114639945642E-2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4.9658410716801891E-14</v>
      </c>
      <c r="BF196" s="14">
        <f t="shared" si="167"/>
        <v>8.0934058173791862E-13</v>
      </c>
      <c r="BG196" s="22">
        <f t="shared" si="168"/>
        <v>1.4960899118586383E-12</v>
      </c>
      <c r="BH196" s="62">
        <f t="shared" ref="BH196:BH203" si="194">BG196+(AY196+AZ196)*44/12</f>
        <v>293.33333333333479</v>
      </c>
      <c r="BI196" s="62">
        <f ca="1">AVERAGE(OFFSET($BH$3,0,0,'Données projet'!$E$11+1,1))-AVERAGE(OFFSET($H$3,0,0,'Données projet'!$E$11+1,1))</f>
        <v>254.12694970606668</v>
      </c>
      <c r="BJ196" s="62">
        <f t="shared" si="146"/>
        <v>319.62868041131082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1.0527329346383474</v>
      </c>
      <c r="BQ196" s="23">
        <f>EXP(-LN(2)/25)*BQ195+(1-EXP(-LN(2)/25))/(LN(2)/25)*Calculateur!BL196*Calculateur!BN196*VLOOKUP('Données projet'!$B$11,Paramètres!$A$1:$I$89,3,0)*0.475*44/12</f>
        <v>0.23908505991720821</v>
      </c>
      <c r="BR196" s="23">
        <f>EXP(-LN(2)/2)*BR195+(1-EXP(-LN(2)/2))/(LN(2)/2)*BL196*BO196*VLOOKUP('Données projet'!$B$11,Paramètres!$A$1:$I$89,3,0)*0.475*44/12</f>
        <v>2.796511432747072E-26</v>
      </c>
      <c r="BS196" s="24">
        <f t="shared" si="169"/>
        <v>1.2918179945555557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-2.1282176021486519E-13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228.57322051753096</v>
      </c>
      <c r="T197" s="62">
        <f t="shared" ref="T197:T203" si="204">$T$3</f>
        <v>168.91992124331932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287.69656598881124</v>
      </c>
      <c r="AO197" s="62">
        <f t="shared" ref="AO197:AO203" si="205">$AO$3</f>
        <v>221.9773436301067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6.4065002271367896E-2</v>
      </c>
      <c r="AW197" s="23">
        <f>EXP(-LN(2)/2)*AW196+(1-EXP(-LN(2)/2))/(LN(2)/2)*AQ197*AT197*VLOOKUP('Données projet'!$B$10,Paramètres!$A$1:$I$89,3,0)*0.475*44/12</f>
        <v>2.9410606377979652E-24</v>
      </c>
      <c r="AX197" s="23">
        <f t="shared" si="166"/>
        <v>6.4065002271367896E-2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4.9658410716801891E-14</v>
      </c>
      <c r="BF197" s="14">
        <f t="shared" si="167"/>
        <v>8.0934058173791862E-13</v>
      </c>
      <c r="BG197" s="22">
        <f t="shared" si="168"/>
        <v>1.4960899118586383E-12</v>
      </c>
      <c r="BH197" s="62">
        <f t="shared" si="194"/>
        <v>293.33333333333479</v>
      </c>
      <c r="BI197" s="62">
        <f ca="1">AVERAGE(OFFSET($BH$3,0,0,'Données projet'!$E$11+1,1))-AVERAGE(OFFSET($H$3,0,0,'Données projet'!$E$11+1,1))</f>
        <v>254.12694970606668</v>
      </c>
      <c r="BJ197" s="62">
        <f t="shared" ref="BJ197:BJ203" si="206">$BJ$3</f>
        <v>319.62868041131082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1.0320894838937771</v>
      </c>
      <c r="BQ197" s="23">
        <f>EXP(-LN(2)/25)*BQ196+(1-EXP(-LN(2)/25))/(LN(2)/25)*Calculateur!BL197*Calculateur!BN197*VLOOKUP('Données projet'!$B$11,Paramètres!$A$1:$I$89,3,0)*0.475*44/12</f>
        <v>0.23254726638083528</v>
      </c>
      <c r="BR197" s="23">
        <f>EXP(-LN(2)/2)*BR196+(1-EXP(-LN(2)/2))/(LN(2)/2)*BL197*BO197*VLOOKUP('Données projet'!$B$11,Paramètres!$A$1:$I$89,3,0)*0.475*44/12</f>
        <v>1.9774321977611624E-26</v>
      </c>
      <c r="BS197" s="24">
        <f t="shared" si="169"/>
        <v>1.2646367502746123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-2.1282176021486519E-13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228.57322051753096</v>
      </c>
      <c r="T198" s="62">
        <f t="shared" si="204"/>
        <v>168.91992124331932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287.69656598881124</v>
      </c>
      <c r="AO198" s="62">
        <f t="shared" si="205"/>
        <v>221.9773436301067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6.2313141415225294E-2</v>
      </c>
      <c r="AW198" s="23">
        <f>EXP(-LN(2)/2)*AW197+(1-EXP(-LN(2)/2))/(LN(2)/2)*AQ198*AT198*VLOOKUP('Données projet'!$B$10,Paramètres!$A$1:$I$89,3,0)*0.475*44/12</f>
        <v>2.0796439208677737E-24</v>
      </c>
      <c r="AX198" s="23">
        <f t="shared" si="166"/>
        <v>6.2313141415225294E-2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4.9658410716801891E-14</v>
      </c>
      <c r="BF198" s="14">
        <f t="shared" si="167"/>
        <v>8.0934058173791862E-13</v>
      </c>
      <c r="BG198" s="22">
        <f t="shared" si="168"/>
        <v>1.4960899118586383E-12</v>
      </c>
      <c r="BH198" s="62">
        <f t="shared" si="194"/>
        <v>293.33333333333479</v>
      </c>
      <c r="BI198" s="62">
        <f ca="1">AVERAGE(OFFSET($BH$3,0,0,'Données projet'!$E$11+1,1))-AVERAGE(OFFSET($H$3,0,0,'Données projet'!$E$11+1,1))</f>
        <v>254.12694970606668</v>
      </c>
      <c r="BJ198" s="62">
        <f t="shared" si="206"/>
        <v>319.62868041131082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1.0118508386270462</v>
      </c>
      <c r="BQ198" s="23">
        <f>EXP(-LN(2)/25)*BQ197+(1-EXP(-LN(2)/25))/(LN(2)/25)*Calculateur!BL198*Calculateur!BN198*VLOOKUP('Données projet'!$B$11,Paramètres!$A$1:$I$89,3,0)*0.475*44/12</f>
        <v>0.22618824915252209</v>
      </c>
      <c r="BR198" s="23">
        <f>EXP(-LN(2)/2)*BR197+(1-EXP(-LN(2)/2))/(LN(2)/2)*BL198*BO198*VLOOKUP('Données projet'!$B$11,Paramètres!$A$1:$I$89,3,0)*0.475*44/12</f>
        <v>1.398255716373536E-26</v>
      </c>
      <c r="BS198" s="24">
        <f t="shared" si="169"/>
        <v>1.2380390877795682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-2.1282176021486519E-13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228.57322051753096</v>
      </c>
      <c r="T199" s="62">
        <f t="shared" si="204"/>
        <v>168.91992124331932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287.69656598881124</v>
      </c>
      <c r="AO199" s="62">
        <f t="shared" si="205"/>
        <v>221.9773436301067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6.0609185286320269E-2</v>
      </c>
      <c r="AW199" s="23">
        <f>EXP(-LN(2)/2)*AW198+(1-EXP(-LN(2)/2))/(LN(2)/2)*AQ199*AT199*VLOOKUP('Données projet'!$B$10,Paramètres!$A$1:$I$89,3,0)*0.475*44/12</f>
        <v>1.4705303188989826E-24</v>
      </c>
      <c r="AX199" s="23">
        <f t="shared" si="166"/>
        <v>6.0609185286320269E-2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4.9658410716801891E-14</v>
      </c>
      <c r="BF199" s="14">
        <f t="shared" si="167"/>
        <v>8.0934058173791862E-13</v>
      </c>
      <c r="BG199" s="22">
        <f t="shared" si="168"/>
        <v>1.4960899118586383E-12</v>
      </c>
      <c r="BH199" s="62">
        <f t="shared" si="194"/>
        <v>293.33333333333479</v>
      </c>
      <c r="BI199" s="62">
        <f ca="1">AVERAGE(OFFSET($BH$3,0,0,'Données projet'!$E$11+1,1))-AVERAGE(OFFSET($H$3,0,0,'Données projet'!$E$11+1,1))</f>
        <v>254.12694970606668</v>
      </c>
      <c r="BJ199" s="62">
        <f t="shared" si="206"/>
        <v>319.62868041131082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0.99200906084964102</v>
      </c>
      <c r="BQ199" s="23">
        <f>EXP(-LN(2)/25)*BQ198+(1-EXP(-LN(2)/25))/(LN(2)/25)*Calculateur!BL199*Calculateur!BN199*VLOOKUP('Données projet'!$B$11,Paramètres!$A$1:$I$89,3,0)*0.475*44/12</f>
        <v>0.22000311958472329</v>
      </c>
      <c r="BR199" s="23">
        <f>EXP(-LN(2)/2)*BR198+(1-EXP(-LN(2)/2))/(LN(2)/2)*BL199*BO199*VLOOKUP('Données projet'!$B$11,Paramètres!$A$1:$I$89,3,0)*0.475*44/12</f>
        <v>9.8871609888058118E-27</v>
      </c>
      <c r="BS199" s="24">
        <f t="shared" si="169"/>
        <v>1.2120121804343644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-2.1282176021486519E-13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228.57322051753096</v>
      </c>
      <c r="T200" s="62">
        <f t="shared" si="204"/>
        <v>168.91992124331932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287.69656598881124</v>
      </c>
      <c r="AO200" s="62">
        <f t="shared" si="205"/>
        <v>221.9773436301067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5.8951823927367308E-2</v>
      </c>
      <c r="AW200" s="23">
        <f>EXP(-LN(2)/2)*AW199+(1-EXP(-LN(2)/2))/(LN(2)/2)*AQ200*AT200*VLOOKUP('Données projet'!$B$10,Paramètres!$A$1:$I$89,3,0)*0.475*44/12</f>
        <v>1.0398219604338868E-24</v>
      </c>
      <c r="AX200" s="23">
        <f t="shared" si="166"/>
        <v>5.8951823927367308E-2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4.9658410716801891E-14</v>
      </c>
      <c r="BF200" s="14">
        <f t="shared" si="167"/>
        <v>8.0934058173791862E-13</v>
      </c>
      <c r="BG200" s="22">
        <f t="shared" si="168"/>
        <v>1.4960899118586383E-12</v>
      </c>
      <c r="BH200" s="62">
        <f t="shared" si="194"/>
        <v>293.33333333333479</v>
      </c>
      <c r="BI200" s="62">
        <f ca="1">AVERAGE(OFFSET($BH$3,0,0,'Données projet'!$E$11+1,1))-AVERAGE(OFFSET($H$3,0,0,'Données projet'!$E$11+1,1))</f>
        <v>254.12694970606668</v>
      </c>
      <c r="BJ200" s="62">
        <f t="shared" si="206"/>
        <v>319.62868041131082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0.97255636823216141</v>
      </c>
      <c r="BQ200" s="23">
        <f>EXP(-LN(2)/25)*BQ199+(1-EXP(-LN(2)/25))/(LN(2)/25)*Calculateur!BL200*Calculateur!BN200*VLOOKUP('Données projet'!$B$11,Paramètres!$A$1:$I$89,3,0)*0.475*44/12</f>
        <v>0.2139871227102178</v>
      </c>
      <c r="BR200" s="23">
        <f>EXP(-LN(2)/2)*BR199+(1-EXP(-LN(2)/2))/(LN(2)/2)*BL200*BO200*VLOOKUP('Données projet'!$B$11,Paramètres!$A$1:$I$89,3,0)*0.475*44/12</f>
        <v>6.99127858186768E-27</v>
      </c>
      <c r="BS200" s="24">
        <f t="shared" si="169"/>
        <v>1.1865434909423791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-2.1282176021486519E-13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228.57322051753096</v>
      </c>
      <c r="T201" s="62">
        <f t="shared" si="204"/>
        <v>168.91992124331932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287.69656598881124</v>
      </c>
      <c r="AO201" s="62">
        <f t="shared" si="205"/>
        <v>221.9773436301067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5.7339783201931768E-2</v>
      </c>
      <c r="AW201" s="23">
        <f>EXP(-LN(2)/2)*AW200+(1-EXP(-LN(2)/2))/(LN(2)/2)*AQ201*AT201*VLOOKUP('Données projet'!$B$10,Paramètres!$A$1:$I$89,3,0)*0.475*44/12</f>
        <v>7.3526515944949131E-25</v>
      </c>
      <c r="AX201" s="23">
        <f t="shared" si="166"/>
        <v>5.7339783201931768E-2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4.9658410716801891E-14</v>
      </c>
      <c r="BF201" s="14">
        <f t="shared" si="167"/>
        <v>8.0934058173791862E-13</v>
      </c>
      <c r="BG201" s="22">
        <f t="shared" si="168"/>
        <v>1.4960899118586383E-12</v>
      </c>
      <c r="BH201" s="62">
        <f t="shared" si="194"/>
        <v>293.33333333333479</v>
      </c>
      <c r="BI201" s="62">
        <f ca="1">AVERAGE(OFFSET($BH$3,0,0,'Données projet'!$E$11+1,1))-AVERAGE(OFFSET($H$3,0,0,'Données projet'!$E$11+1,1))</f>
        <v>254.12694970606668</v>
      </c>
      <c r="BJ201" s="62">
        <f t="shared" si="206"/>
        <v>319.62868041131082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0.95348513105193966</v>
      </c>
      <c r="BQ201" s="23">
        <f>EXP(-LN(2)/25)*BQ200+(1-EXP(-LN(2)/25))/(LN(2)/25)*Calculateur!BL201*Calculateur!BN201*VLOOKUP('Données projet'!$B$11,Paramètres!$A$1:$I$89,3,0)*0.475*44/12</f>
        <v>0.20813563358661319</v>
      </c>
      <c r="BR201" s="23">
        <f>EXP(-LN(2)/2)*BR200+(1-EXP(-LN(2)/2))/(LN(2)/2)*BL201*BO201*VLOOKUP('Données projet'!$B$11,Paramètres!$A$1:$I$89,3,0)*0.475*44/12</f>
        <v>4.9435804944029059E-27</v>
      </c>
      <c r="BS201" s="24">
        <f t="shared" si="169"/>
        <v>1.1616207646385528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-2.1282176021486519E-13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228.57322051753096</v>
      </c>
      <c r="T202" s="62">
        <f t="shared" si="204"/>
        <v>168.91992124331932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287.69656598881124</v>
      </c>
      <c r="AO202" s="62">
        <f t="shared" si="205"/>
        <v>221.9773436301067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5.57718238149068E-2</v>
      </c>
      <c r="AW202" s="23">
        <f>EXP(-LN(2)/2)*AW201+(1-EXP(-LN(2)/2))/(LN(2)/2)*AQ202*AT202*VLOOKUP('Données projet'!$B$10,Paramètres!$A$1:$I$89,3,0)*0.475*44/12</f>
        <v>5.1991098021694342E-25</v>
      </c>
      <c r="AX202" s="23">
        <f t="shared" si="166"/>
        <v>5.57718238149068E-2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4.9658410716801891E-14</v>
      </c>
      <c r="BF202" s="14">
        <f t="shared" si="167"/>
        <v>8.0934058173791862E-13</v>
      </c>
      <c r="BG202" s="22">
        <f t="shared" si="168"/>
        <v>1.4960899118586383E-12</v>
      </c>
      <c r="BH202" s="62">
        <f t="shared" si="194"/>
        <v>293.33333333333479</v>
      </c>
      <c r="BI202" s="62">
        <f ca="1">AVERAGE(OFFSET($BH$3,0,0,'Données projet'!$E$11+1,1))-AVERAGE(OFFSET($H$3,0,0,'Données projet'!$E$11+1,1))</f>
        <v>254.12694970606668</v>
      </c>
      <c r="BJ202" s="62">
        <f t="shared" si="206"/>
        <v>319.62868041131082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0.93478786920051593</v>
      </c>
      <c r="BQ202" s="23">
        <f>EXP(-LN(2)/25)*BQ201+(1-EXP(-LN(2)/25))/(LN(2)/25)*Calculateur!BL202*Calculateur!BN202*VLOOKUP('Données projet'!$B$11,Paramètres!$A$1:$I$89,3,0)*0.475*44/12</f>
        <v>0.20244415374080998</v>
      </c>
      <c r="BR202" s="23">
        <f>EXP(-LN(2)/2)*BR201+(1-EXP(-LN(2)/2))/(LN(2)/2)*BL202*BO202*VLOOKUP('Données projet'!$B$11,Paramètres!$A$1:$I$89,3,0)*0.475*44/12</f>
        <v>3.49563929093384E-27</v>
      </c>
      <c r="BS202" s="24">
        <f t="shared" si="169"/>
        <v>1.137232022941326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-2.1282176021486519E-13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228.57322051753096</v>
      </c>
      <c r="T203" s="62">
        <f t="shared" si="204"/>
        <v>168.91992124331932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287.69656598881124</v>
      </c>
      <c r="AO203" s="62">
        <f t="shared" si="205"/>
        <v>221.9773436301067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5.4246740359775426E-2</v>
      </c>
      <c r="AW203" s="23">
        <f>EXP(-LN(2)/2)*AW202+(1-EXP(-LN(2)/2))/(LN(2)/2)*AQ203*AT203*VLOOKUP('Données projet'!$B$10,Paramètres!$A$1:$I$89,3,0)*0.475*44/12</f>
        <v>3.6763257972474565E-25</v>
      </c>
      <c r="AX203" s="23">
        <f t="shared" si="166"/>
        <v>5.4246740359775426E-2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4.9658410716801891E-14</v>
      </c>
      <c r="BF203" s="14">
        <f t="shared" si="167"/>
        <v>8.0934058173791862E-13</v>
      </c>
      <c r="BG203" s="22">
        <f t="shared" si="168"/>
        <v>1.4960899118586383E-12</v>
      </c>
      <c r="BH203" s="62">
        <f t="shared" si="194"/>
        <v>293.33333333333479</v>
      </c>
      <c r="BI203" s="62">
        <f ca="1">AVERAGE(OFFSET($BH$3,0,0,'Données projet'!$E$11+1,1))-AVERAGE(OFFSET($H$3,0,0,'Données projet'!$E$11+1,1))</f>
        <v>254.12694970606668</v>
      </c>
      <c r="BJ203" s="62">
        <f t="shared" si="206"/>
        <v>319.62868041131082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0.91645724924979499</v>
      </c>
      <c r="BQ203" s="23">
        <f>EXP(-LN(2)/25)*BQ202+(1-EXP(-LN(2)/25))/(LN(2)/25)*Calculateur!BL203*Calculateur!BN203*VLOOKUP('Données projet'!$B$11,Paramètres!$A$1:$I$89,3,0)*0.475*44/12</f>
        <v>0.19690830771069218</v>
      </c>
      <c r="BR203" s="23">
        <f>EXP(-LN(2)/2)*BR202+(1-EXP(-LN(2)/2))/(LN(2)/2)*BL203*BO203*VLOOKUP('Données projet'!$B$11,Paramètres!$A$1:$I$89,3,0)*0.475*44/12</f>
        <v>2.471790247201453E-27</v>
      </c>
      <c r="BS203" s="24">
        <f t="shared" si="169"/>
        <v>1.1133655569604872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1.1922168590978506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1.3467943429205997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1.7565500000000001</v>
      </c>
      <c r="C6" s="156">
        <f ca="1">IF(OR('Données projet'!B9="",'Données projet'!C9="",'Données projet'!C9=0%),0,Calculateur!S3)</f>
        <v>228.57322051753096</v>
      </c>
      <c r="D6" s="156">
        <f>IF(OR('Données projet'!B9="",'Données projet'!C9="",'Données projet'!C9=0%),0,Calculateur!T3)</f>
        <v>168.91992124331932</v>
      </c>
      <c r="E6" s="156">
        <f ca="1">MIN(C6,D6)</f>
        <v>168.91992124331932</v>
      </c>
      <c r="F6" s="156">
        <f ca="1">E6*B6</f>
        <v>296.71628765995257</v>
      </c>
      <c r="G6" s="156">
        <f ca="1">F6*(100%-'Données projet'!$C$24)*(100%-'Données projet'!$C$25)*(100%-'Données projet'!$C$26)*(100%-'Données projet'!$C$27)</f>
        <v>240.3401930045616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240.3401930045616</v>
      </c>
      <c r="M6" s="25">
        <f ca="1">L6/B6</f>
        <v>136.82513620708866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1.7565500000000001</v>
      </c>
      <c r="C7" s="156">
        <f ca="1">IF(OR('Données projet'!B10="",'Données projet'!C10="",'Données projet'!C10=0%),0,Calculateur!AN3)</f>
        <v>287.69656598881124</v>
      </c>
      <c r="D7" s="156">
        <f>IF(OR('Données projet'!B10="",'Données projet'!C10="",'Données projet'!C10=0%),0,Calculateur!AO3)</f>
        <v>221.9773436301067</v>
      </c>
      <c r="E7" s="156">
        <f t="shared" ref="E7:E15" ca="1" si="0">MIN(C7,D7)</f>
        <v>221.9773436301067</v>
      </c>
      <c r="F7" s="156">
        <f t="shared" ref="F7:F15" ca="1" si="1">E7*B7</f>
        <v>389.91430295346396</v>
      </c>
      <c r="G7" s="156">
        <f ca="1">F7*(100%-'Données projet'!$C$24)*(100%-'Données projet'!$C$25)*(100%-'Données projet'!$C$26)*(100%-'Données projet'!$C$27)</f>
        <v>315.83058539230581</v>
      </c>
      <c r="H7" s="164">
        <f>IF(OR('Données projet'!B10="",'Données projet'!C10="",'Données projet'!C10=0%),0,AVERAGE(Calculateur!$AX$3:$AX$33)*B7)</f>
        <v>4.9463019618958235</v>
      </c>
      <c r="I7" s="158">
        <f>H7*(100%-'Données projet'!$C$24)*(100%-'Données projet'!$C$25)*(100%-'Données projet'!$C$26)*(100%-'Données projet'!$C$27)</f>
        <v>4.0065045891356172</v>
      </c>
      <c r="J7" s="159">
        <f>IF(OR('Données projet'!B10="",'Données projet'!C10="",'Données projet'!C10=0%),0,SUM(Calculateur!$AQ$3:$AQ$33)*VLOOKUP('Données projet'!$B$10,Paramètres!$A$1:$I$89,9,0)*B7)</f>
        <v>50.606205500000002</v>
      </c>
      <c r="K7" s="160">
        <f>J7*(100%-'Données projet'!$C$24)*(100%-'Données projet'!$C$25)*(100%-'Données projet'!$C$26)*(100%-'Données projet'!$C$27)</f>
        <v>40.991026455000004</v>
      </c>
      <c r="L7" s="161">
        <f t="shared" ref="L7:L15" ca="1" si="2">G7+I7+K7</f>
        <v>360.82811643644141</v>
      </c>
      <c r="M7" s="25">
        <f ca="1">L7/B7</f>
        <v>205.41864247328081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1.2350000000000001</v>
      </c>
      <c r="C8" s="156">
        <f ca="1">IF(OR('Données projet'!B11="",'Données projet'!C11="",'Données projet'!C11=0%),0,Calculateur!BI3)</f>
        <v>254.12694970606668</v>
      </c>
      <c r="D8" s="156">
        <f>IF(OR('Données projet'!B11="",'Données projet'!C11="",'Données projet'!C11=0%),0,Calculateur!BJ3)</f>
        <v>319.62868041131082</v>
      </c>
      <c r="E8" s="156">
        <f t="shared" ca="1" si="0"/>
        <v>254.12694970606668</v>
      </c>
      <c r="F8" s="156">
        <f t="shared" ca="1" si="1"/>
        <v>313.8467828869924</v>
      </c>
      <c r="G8" s="156">
        <f ca="1">F8*(100%-'Données projet'!$C$24)*(100%-'Données projet'!$C$25)*(100%-'Données projet'!$C$26)*(100%-'Données projet'!$C$27)</f>
        <v>254.21589413846388</v>
      </c>
      <c r="H8" s="164">
        <f>IF(OR('Données projet'!B11="",'Données projet'!C11="",'Données projet'!C11=0%),0,AVERAGE(Calculateur!$BS$3:$BS$33)*B8)</f>
        <v>14.139685215413405</v>
      </c>
      <c r="I8" s="158">
        <f>H8*(100%-'Données projet'!$C$24)*(100%-'Données projet'!$C$25)*(100%-'Données projet'!$C$26)*(100%-'Données projet'!$C$27)</f>
        <v>11.453145024484858</v>
      </c>
      <c r="J8" s="159">
        <f>IF(OR('Données projet'!B11="",'Données projet'!C11="",'Données projet'!C11=0%),0,SUM(Calculateur!$BL$3:$BL$33)*VLOOKUP('Données projet'!$B$11,Paramètres!$A$1:$I$89,9,0)*B8)</f>
        <v>46.930000000000007</v>
      </c>
      <c r="K8" s="160">
        <f>J8*(100%-'Données projet'!$C$24)*(100%-'Données projet'!$C$25)*(100%-'Données projet'!$C$26)*(100%-'Données projet'!$C$27)</f>
        <v>38.013300000000008</v>
      </c>
      <c r="L8" s="161">
        <f t="shared" ca="1" si="2"/>
        <v>303.68233916294878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1000.4773735004089</v>
      </c>
      <c r="G16" s="175">
        <f t="shared" ca="1" si="3"/>
        <v>810.38667253533129</v>
      </c>
      <c r="H16" s="176">
        <f t="shared" si="3"/>
        <v>19.085987177309228</v>
      </c>
      <c r="I16" s="176">
        <f t="shared" si="3"/>
        <v>15.459649613620474</v>
      </c>
      <c r="J16" s="177">
        <f t="shared" si="3"/>
        <v>97.536205500000008</v>
      </c>
      <c r="K16" s="177">
        <f t="shared" si="3"/>
        <v>79.004326455000012</v>
      </c>
      <c r="L16" s="178">
        <f t="shared" ca="1" si="3"/>
        <v>904.85064860395175</v>
      </c>
      <c r="M16" s="25">
        <f ca="1">L16/6.42</f>
        <v>140.94246862989903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90" zoomScaleNormal="90" workbookViewId="0">
      <selection activeCell="T29" sqref="T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1806.6136821431921</v>
      </c>
      <c r="U10" s="190">
        <f>'Données projet'!D9</f>
        <v>1.7565500000000001</v>
      </c>
      <c r="V10" s="189">
        <f>U10*T10</f>
        <v>3173.4072633686242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2875.8044778876128</v>
      </c>
      <c r="U11" s="190">
        <f>'Données projet'!D10</f>
        <v>1.7565500000000001</v>
      </c>
      <c r="V11" s="189">
        <f t="shared" ref="V11" si="0">U11*T11</f>
        <v>5051.4943556334865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1763.8631548071935</v>
      </c>
      <c r="U12" s="190">
        <f>'Données projet'!D11</f>
        <v>1.2350000000000001</v>
      </c>
      <c r="V12" s="189">
        <f t="shared" ref="V12:V19" si="1">U12*T12</f>
        <v>2178.370996186884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1400.0000000000023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(34918/4.75)-(I21+I22+I23)</f>
        <v>4766.1578947368425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575+550</f>
        <v>1125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780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-23554.100408967548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305.2680229453091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182.39</v>
      </c>
      <c r="C25" s="206">
        <v>10</v>
      </c>
      <c r="D25" s="194">
        <f t="shared" si="2"/>
        <v>1823.8999999999999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-23859.368431912859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100.16</v>
      </c>
      <c r="C27" s="206">
        <v>20</v>
      </c>
      <c r="D27" s="194">
        <f t="shared" si="2"/>
        <v>2003.1999999999998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79.39</v>
      </c>
      <c r="C29" s="206">
        <v>40</v>
      </c>
      <c r="D29" s="194">
        <f t="shared" si="2"/>
        <v>3175.6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79.099999999999994</v>
      </c>
      <c r="C31" s="206">
        <v>40</v>
      </c>
      <c r="D31" s="194">
        <f t="shared" si="2"/>
        <v>3164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90.8</v>
      </c>
      <c r="C33" s="206">
        <v>40</v>
      </c>
      <c r="D33" s="194">
        <f t="shared" si="2"/>
        <v>3632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87.99</v>
      </c>
      <c r="C35" s="206">
        <v>50</v>
      </c>
      <c r="D35" s="194">
        <f t="shared" si="2"/>
        <v>4399.5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88.62</v>
      </c>
      <c r="C37" s="206">
        <v>55</v>
      </c>
      <c r="D37" s="194">
        <f t="shared" si="2"/>
        <v>4874.1000000000004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268.81</v>
      </c>
      <c r="C40" s="206">
        <v>55</v>
      </c>
      <c r="D40" s="194">
        <f t="shared" si="2"/>
        <v>14784.55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356.68</v>
      </c>
      <c r="C42" s="206">
        <v>55</v>
      </c>
      <c r="D42" s="194">
        <f t="shared" si="2"/>
        <v>19617.400000000001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91">
        <v>10</v>
      </c>
      <c r="D54" s="191">
        <f>B54*C54</f>
        <v>160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91">
        <v>15</v>
      </c>
      <c r="D55" s="191">
        <f t="shared" ref="D55:D73" si="4">B55*C55</f>
        <v>255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91">
        <v>20</v>
      </c>
      <c r="D56" s="191">
        <f t="shared" si="4"/>
        <v>680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91">
        <v>25</v>
      </c>
      <c r="D57" s="191">
        <f t="shared" si="4"/>
        <v>1025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91">
        <v>30</v>
      </c>
      <c r="D58" s="191">
        <f t="shared" si="4"/>
        <v>1230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91">
        <v>40</v>
      </c>
      <c r="D59" s="191">
        <f t="shared" si="4"/>
        <v>2120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91">
        <v>50</v>
      </c>
      <c r="D60" s="191">
        <f t="shared" si="4"/>
        <v>2650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55</v>
      </c>
      <c r="D61" s="191">
        <f t="shared" si="4"/>
        <v>4290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60</v>
      </c>
      <c r="D62" s="191">
        <f t="shared" si="4"/>
        <v>3900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65</v>
      </c>
      <c r="D63" s="191">
        <f t="shared" si="4"/>
        <v>2405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04">
        <v>65</v>
      </c>
      <c r="D64" s="191">
        <f t="shared" si="4"/>
        <v>36075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21</v>
      </c>
      <c r="C85" s="291">
        <v>5</v>
      </c>
      <c r="D85" s="191">
        <f>B85*C85</f>
        <v>105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43</v>
      </c>
      <c r="C86" s="291">
        <v>7</v>
      </c>
      <c r="D86" s="191">
        <f t="shared" ref="D86:D104" si="6">B86*C86</f>
        <v>301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44</v>
      </c>
      <c r="C87" s="291">
        <v>9</v>
      </c>
      <c r="D87" s="191">
        <f t="shared" si="6"/>
        <v>396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44</v>
      </c>
      <c r="C88" s="291">
        <v>9</v>
      </c>
      <c r="D88" s="191">
        <f t="shared" si="6"/>
        <v>396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42</v>
      </c>
      <c r="C89" s="291">
        <v>9</v>
      </c>
      <c r="D89" s="191">
        <f t="shared" si="6"/>
        <v>378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39</v>
      </c>
      <c r="C90" s="291">
        <v>14</v>
      </c>
      <c r="D90" s="191">
        <f t="shared" si="6"/>
        <v>546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36</v>
      </c>
      <c r="C91" s="291">
        <v>14</v>
      </c>
      <c r="D91" s="191">
        <f t="shared" si="6"/>
        <v>504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33</v>
      </c>
      <c r="C92" s="291">
        <v>14</v>
      </c>
      <c r="D92" s="191">
        <f t="shared" si="6"/>
        <v>462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29</v>
      </c>
      <c r="C93" s="291">
        <v>20</v>
      </c>
      <c r="D93" s="191">
        <f t="shared" si="6"/>
        <v>580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26</v>
      </c>
      <c r="C94" s="291">
        <v>25</v>
      </c>
      <c r="D94" s="191">
        <f t="shared" si="6"/>
        <v>650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23</v>
      </c>
      <c r="C95" s="291">
        <v>30</v>
      </c>
      <c r="D95" s="191">
        <f t="shared" si="6"/>
        <v>690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249</v>
      </c>
      <c r="C96" s="291">
        <v>80</v>
      </c>
      <c r="D96" s="191">
        <f t="shared" si="6"/>
        <v>19920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2025-04-17T13:05:21Z</dcterms:modified>
</cp:coreProperties>
</file>