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NOCLE\"/>
    </mc:Choice>
  </mc:AlternateContent>
  <xr:revisionPtr revIDLastSave="0" documentId="13_ncr:1_{F9AB4606-ED7F-48CC-9AB1-ABE011E74F26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276" i="1" l="1"/>
  <c r="D276" i="1" s="1"/>
  <c r="D275" i="1"/>
  <c r="D274" i="1"/>
  <c r="D273" i="1"/>
  <c r="D272" i="1"/>
  <c r="D271" i="1"/>
  <c r="D270" i="1"/>
  <c r="D172" i="1"/>
  <c r="D231" i="1"/>
  <c r="B231" i="1"/>
  <c r="D230" i="1"/>
  <c r="B230" i="1"/>
  <c r="D229" i="1"/>
  <c r="B229" i="1"/>
  <c r="D228" i="1"/>
  <c r="B228" i="1"/>
  <c r="D227" i="1"/>
  <c r="B227" i="1"/>
  <c r="D226" i="1"/>
  <c r="B226" i="1"/>
  <c r="D225" i="1"/>
  <c r="B225" i="1"/>
  <c r="D224" i="1"/>
  <c r="B224" i="1"/>
  <c r="D223" i="1"/>
  <c r="B223" i="1"/>
  <c r="D222" i="1"/>
  <c r="B222" i="1"/>
  <c r="D221" i="1"/>
  <c r="B221" i="1"/>
  <c r="D220" i="1"/>
  <c r="B220" i="1"/>
  <c r="D219" i="1"/>
  <c r="B219" i="1"/>
  <c r="B218" i="1"/>
  <c r="D205" i="1"/>
  <c r="B205" i="1"/>
  <c r="D204" i="1"/>
  <c r="B204" i="1"/>
  <c r="D203" i="1"/>
  <c r="B203" i="1"/>
  <c r="D202" i="1"/>
  <c r="B202" i="1"/>
  <c r="D201" i="1"/>
  <c r="B201" i="1"/>
  <c r="D200" i="1"/>
  <c r="B200" i="1"/>
  <c r="D199" i="1"/>
  <c r="B199" i="1"/>
  <c r="D198" i="1"/>
  <c r="B198" i="1"/>
  <c r="D197" i="1"/>
  <c r="B197" i="1"/>
  <c r="D196" i="1"/>
  <c r="B196" i="1"/>
  <c r="D195" i="1"/>
  <c r="B195" i="1"/>
  <c r="D194" i="1"/>
  <c r="B194" i="1"/>
  <c r="D193" i="1"/>
  <c r="B193" i="1"/>
  <c r="B192" i="1"/>
  <c r="B146" i="1"/>
  <c r="D146" i="1" s="1"/>
  <c r="D145" i="1"/>
  <c r="D144" i="1"/>
  <c r="D143" i="1"/>
  <c r="D142" i="1"/>
  <c r="D141" i="1"/>
  <c r="D140" i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14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AJ33" i="2"/>
  <c r="AK33" i="2" s="1"/>
  <c r="AL33" i="2" s="1"/>
  <c r="AM33" i="2" s="1"/>
  <c r="AO3" i="2" s="1"/>
  <c r="HA3" i="2" l="1"/>
  <c r="D15" i="4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3" i="2" l="1"/>
  <c r="C15" i="4" s="1"/>
  <c r="E15" i="4" s="1"/>
  <c r="F15" i="4" s="1"/>
  <c r="G15" i="4" s="1"/>
  <c r="L15" i="4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EO44" i="2" l="1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<sst xmlns="http://schemas.openxmlformats.org/spreadsheetml/2006/main" count="1179" uniqueCount="324">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</sst>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2.6857443894652788</c:v>
                </c:pt>
                <c:pt idx="2">
                  <c:v>3.1220341302776515</c:v>
                </c:pt>
                <c:pt idx="3">
                  <c:v>3.6294543059658344</c:v>
                </c:pt>
                <c:pt idx="4">
                  <c:v>4.2196411947233265</c:v>
                </c:pt>
                <c:pt idx="5">
                  <c:v>4.9061407295843642</c:v>
                </c:pt>
                <c:pt idx="6">
                  <c:v>5.7047228240822028</c:v>
                </c:pt>
                <c:pt idx="7">
                  <c:v>6.6337475768236276</c:v>
                </c:pt>
                <c:pt idx="8">
                  <c:v>7.7145919390154418</c:v>
                </c:pt>
                <c:pt idx="9">
                  <c:v>8.9721468525785806</c:v>
                </c:pt>
                <c:pt idx="10">
                  <c:v>10.435396526672468</c:v>
                </c:pt>
                <c:pt idx="11">
                  <c:v>12.138093456618288</c:v>
                </c:pt>
                <c:pt idx="12">
                  <c:v>14.119545047318164</c:v>
                </c:pt>
                <c:pt idx="13">
                  <c:v>16.42553033694788</c:v>
                </c:pt>
                <c:pt idx="14">
                  <c:v>19.109368388533348</c:v>
                </c:pt>
                <c:pt idx="15">
                  <c:v>22.233163500028613</c:v>
                </c:pt>
                <c:pt idx="16">
                  <c:v>25.869256562909538</c:v>
                </c:pt>
                <c:pt idx="17">
                  <c:v>30.101916774523115</c:v>
                </c:pt>
                <c:pt idx="18">
                  <c:v>35.029313596535836</c:v>
                </c:pt>
                <c:pt idx="19">
                  <c:v>40.765815486236747</c:v>
                </c:pt>
                <c:pt idx="20">
                  <c:v>47.444669667229327</c:v>
                </c:pt>
                <c:pt idx="21">
                  <c:v>55.221126235661643</c:v>
                </c:pt>
                <c:pt idx="22">
                  <c:v>64.276080432892542</c:v>
                </c:pt>
                <c:pt idx="23">
                  <c:v>74.820319206666056</c:v>
                </c:pt>
                <c:pt idx="24">
                  <c:v>87.099472523768256</c:v>
                </c:pt>
                <c:pt idx="25">
                  <c:v>101.39978663012171</c:v>
                </c:pt>
                <c:pt idx="26">
                  <c:v>118.05485597894473</c:v>
                </c:pt>
                <c:pt idx="27">
                  <c:v>137.45347333042426</c:v>
                </c:pt>
                <c:pt idx="28">
                  <c:v>160.04878411183111</c:v>
                </c:pt>
                <c:pt idx="29">
                  <c:v>186.36896215076243</c:v>
                </c:pt>
                <c:pt idx="30">
                  <c:v>217.02966009824979</c:v>
                </c:pt>
                <c:pt idx="31">
                  <c:v>233.29934918161189</c:v>
                </c:pt>
                <c:pt idx="32">
                  <c:v>249.54313827544206</c:v>
                </c:pt>
                <c:pt idx="33">
                  <c:v>265.76295073470305</c:v>
                </c:pt>
                <c:pt idx="34">
                  <c:v>281.96045587897055</c:v>
                </c:pt>
                <c:pt idx="35">
                  <c:v>239.57200365874317</c:v>
                </c:pt>
                <c:pt idx="36">
                  <c:v>258.66397322459017</c:v>
                </c:pt>
                <c:pt idx="37">
                  <c:v>277.72410067515142</c:v>
                </c:pt>
                <c:pt idx="38">
                  <c:v>296.75487826703966</c:v>
                </c:pt>
                <c:pt idx="39">
                  <c:v>315.75845245576846</c:v>
                </c:pt>
                <c:pt idx="40">
                  <c:v>334.73669023881172</c:v>
                </c:pt>
                <c:pt idx="41">
                  <c:v>353.69122965293923</c:v>
                </c:pt>
                <c:pt idx="42">
                  <c:v>372.62351887402855</c:v>
                </c:pt>
                <c:pt idx="43">
                  <c:v>304.4811604279688</c:v>
                </c:pt>
                <c:pt idx="44">
                  <c:v>323.72845473353181</c:v>
                </c:pt>
                <c:pt idx="45">
                  <c:v>342.95046115732583</c:v>
                </c:pt>
                <c:pt idx="46">
                  <c:v>362.14879588268133</c:v>
                </c:pt>
                <c:pt idx="47">
                  <c:v>381.3248897952999</c:v>
                </c:pt>
                <c:pt idx="48">
                  <c:v>400.48001817068416</c:v>
                </c:pt>
                <c:pt idx="49">
                  <c:v>419.6153243839251</c:v>
                </c:pt>
                <c:pt idx="50">
                  <c:v>438.73183906857093</c:v>
                </c:pt>
                <c:pt idx="51">
                  <c:v>356.63981068825109</c:v>
                </c:pt>
                <c:pt idx="52">
                  <c:v>375.2751819801511</c:v>
                </c:pt>
                <c:pt idx="53">
                  <c:v>393.89040213906009</c:v>
                </c:pt>
                <c:pt idx="54">
                  <c:v>412.48655707987967</c:v>
                </c:pt>
                <c:pt idx="55">
                  <c:v>431.06462685517272</c:v>
                </c:pt>
                <c:pt idx="56">
                  <c:v>449.62550018688563</c:v>
                </c:pt>
                <c:pt idx="57">
                  <c:v>468.16998647367103</c:v>
                </c:pt>
                <c:pt idx="58">
                  <c:v>486.69882579693893</c:v>
                </c:pt>
                <c:pt idx="59">
                  <c:v>413.23439994638017</c:v>
                </c:pt>
                <c:pt idx="60">
                  <c:v>430.97219592837968</c:v>
                </c:pt>
                <c:pt idx="61">
                  <c:v>448.69431201217094</c:v>
                </c:pt>
                <c:pt idx="62">
                  <c:v>466.40145438313789</c:v>
                </c:pt>
                <c:pt idx="63">
                  <c:v>484.09427125729331</c:v>
                </c:pt>
                <c:pt idx="64">
                  <c:v>501.77335962815204</c:v>
                </c:pt>
                <c:pt idx="65">
                  <c:v>519.4392710135229</c:v>
                </c:pt>
                <c:pt idx="66">
                  <c:v>537.09251638010244</c:v>
                </c:pt>
                <c:pt idx="67">
                  <c:v>449.95486925959204</c:v>
                </c:pt>
                <c:pt idx="68">
                  <c:v>466.6352163771781</c:v>
                </c:pt>
                <c:pt idx="69">
                  <c:v>483.30285804649662</c:v>
                </c:pt>
                <c:pt idx="70">
                  <c:v>499.95829393317217</c:v>
                </c:pt>
                <c:pt idx="71">
                  <c:v>516.60198771211776</c:v>
                </c:pt>
                <c:pt idx="72">
                  <c:v>533.23437075982554</c:v>
                </c:pt>
                <c:pt idx="73">
                  <c:v>549.85584536218471</c:v>
                </c:pt>
                <c:pt idx="74">
                  <c:v>566.46678751441152</c:v>
                </c:pt>
                <c:pt idx="75">
                  <c:v>481.14515659638232</c:v>
                </c:pt>
                <c:pt idx="76">
                  <c:v>496.8192212898191</c:v>
                </c:pt>
                <c:pt idx="77">
                  <c:v>512.4828143853855</c:v>
                </c:pt>
                <c:pt idx="78">
                  <c:v>528.13630087550121</c:v>
                </c:pt>
                <c:pt idx="79">
                  <c:v>543.78002236188331</c:v>
                </c:pt>
                <c:pt idx="80">
                  <c:v>559.41429919824748</c:v>
                </c:pt>
                <c:pt idx="81">
                  <c:v>575.03943238111356</c:v>
                </c:pt>
                <c:pt idx="82">
                  <c:v>590.65570522450832</c:v>
                </c:pt>
                <c:pt idx="83">
                  <c:v>528.50902868707601</c:v>
                </c:pt>
                <c:pt idx="84">
                  <c:v>543.56541133325175</c:v>
                </c:pt>
                <c:pt idx="85">
                  <c:v>558.61304131693703</c:v>
                </c:pt>
                <c:pt idx="86">
                  <c:v>573.65218751421037</c:v>
                </c:pt>
                <c:pt idx="87">
                  <c:v>588.68310356054678</c:v>
                </c:pt>
                <c:pt idx="88">
                  <c:v>603.70602908982733</c:v>
                </c:pt>
                <c:pt idx="89">
                  <c:v>618.72119084367489</c:v>
                </c:pt>
                <c:pt idx="90">
                  <c:v>633.72880366755624</c:v>
                </c:pt>
                <c:pt idx="91">
                  <c:v>557.88346206307892</c:v>
                </c:pt>
                <c:pt idx="92">
                  <c:v>572.38676311297058</c:v>
                </c:pt>
                <c:pt idx="93">
                  <c:v>586.88239135079641</c:v>
                </c:pt>
                <c:pt idx="94">
                  <c:v>601.37056289851682</c:v>
                </c:pt>
                <c:pt idx="95">
                  <c:v>615.85148262061796</c:v>
                </c:pt>
                <c:pt idx="96">
                  <c:v>630.32534496689959</c:v>
                </c:pt>
                <c:pt idx="97">
                  <c:v>644.79233473387114</c:v>
                </c:pt>
                <c:pt idx="98">
                  <c:v>659.25262775429837</c:v>
                </c:pt>
                <c:pt idx="99">
                  <c:v>673.70639152314664</c:v>
                </c:pt>
                <c:pt idx="100">
                  <c:v>688.15378576704654</c:v>
                </c:pt>
                <c:pt idx="101">
                  <c:v>580.3495169316717</c:v>
                </c:pt>
                <c:pt idx="102">
                  <c:v>594.23756277685459</c:v>
                </c:pt>
                <c:pt idx="103">
                  <c:v>608.11885699251968</c:v>
                </c:pt>
                <c:pt idx="104">
                  <c:v>621.99357533785758</c:v>
                </c:pt>
                <c:pt idx="105">
                  <c:v>635.86188509529109</c:v>
                </c:pt>
                <c:pt idx="106">
                  <c:v>649.72394565911247</c:v>
                </c:pt>
                <c:pt idx="107">
                  <c:v>663.57990907129715</c:v>
                </c:pt>
                <c:pt idx="108">
                  <c:v>677.42992051026795</c:v>
                </c:pt>
                <c:pt idx="109">
                  <c:v>691.27411873763378</c:v>
                </c:pt>
                <c:pt idx="110">
                  <c:v>705.11263650730291</c:v>
                </c:pt>
                <c:pt idx="111">
                  <c:v>623.42557076354058</c:v>
                </c:pt>
                <c:pt idx="112">
                  <c:v>637.10988303719455</c:v>
                </c:pt>
                <c:pt idx="113">
                  <c:v>650.78812393060309</c:v>
                </c:pt>
                <c:pt idx="114">
                  <c:v>664.46043896444064</c:v>
                </c:pt>
                <c:pt idx="115">
                  <c:v>678.12696718579889</c:v>
                </c:pt>
                <c:pt idx="116">
                  <c:v>691.78784158353881</c:v>
                </c:pt>
                <c:pt idx="117">
                  <c:v>705.44318946914564</c:v>
                </c:pt>
                <c:pt idx="118">
                  <c:v>719.09313282658798</c:v>
                </c:pt>
                <c:pt idx="119">
                  <c:v>732.73778863424411</c:v>
                </c:pt>
                <c:pt idx="120">
                  <c:v>746.3772691616241</c:v>
                </c:pt>
                <c:pt idx="121">
                  <c:v>674.5439171068449</c:v>
                </c:pt>
                <c:pt idx="122">
                  <c:v>688.20260040166215</c:v>
                </c:pt>
                <c:pt idx="123">
                  <c:v>701.85572727628733</c:v>
                </c:pt>
                <c:pt idx="124">
                  <c:v>715.50342098236149</c:v>
                </c:pt>
                <c:pt idx="125">
                  <c:v>729.14579968934993</c:v>
                </c:pt>
                <c:pt idx="126">
                  <c:v>742.782976787238</c:v>
                </c:pt>
                <c:pt idx="127">
                  <c:v>756.41506116585845</c:v>
                </c:pt>
                <c:pt idx="128">
                  <c:v>770.04215747305261</c:v>
                </c:pt>
                <c:pt idx="129">
                  <c:v>783.66436635362095</c:v>
                </c:pt>
                <c:pt idx="130">
                  <c:v>797.28178467080909</c:v>
                </c:pt>
                <c:pt idx="131">
                  <c:v>713.37917246490554</c:v>
                </c:pt>
                <c:pt idx="132">
                  <c:v>727.11745261066346</c:v>
                </c:pt>
                <c:pt idx="133">
                  <c:v>740.85044157147502</c:v>
                </c:pt>
                <c:pt idx="134">
                  <c:v>754.57825118102039</c:v>
                </c:pt>
                <c:pt idx="135">
                  <c:v>768.30098887504801</c:v>
                </c:pt>
                <c:pt idx="136">
                  <c:v>782.01875794141324</c:v>
                </c:pt>
                <c:pt idx="137">
                  <c:v>795.73165775167456</c:v>
                </c:pt>
                <c:pt idx="138">
                  <c:v>809.43978397591002</c:v>
                </c:pt>
                <c:pt idx="139">
                  <c:v>823.14322878223766</c:v>
                </c:pt>
                <c:pt idx="140">
                  <c:v>836.84208102237096</c:v>
                </c:pt>
                <c:pt idx="141">
                  <c:v>754.77192441771376</c:v>
                </c:pt>
                <c:pt idx="142">
                  <c:v>768.51042037633067</c:v>
                </c:pt>
                <c:pt idx="143">
                  <c:v>782.24393778449996</c:v>
                </c:pt>
                <c:pt idx="144">
                  <c:v>795.97257629769945</c:v>
                </c:pt>
                <c:pt idx="145">
                  <c:v>809.69643185621999</c:v>
                </c:pt>
                <c:pt idx="146">
                  <c:v>823.41559688559244</c:v>
                </c:pt>
                <c:pt idx="147">
                  <c:v>837.13016048297004</c:v>
                </c:pt>
                <c:pt idx="148">
                  <c:v>850.84020859067994</c:v>
                </c:pt>
                <c:pt idx="149">
                  <c:v>864.54582415801235</c:v>
                </c:pt>
                <c:pt idx="150">
                  <c:v>878.24708729223005</c:v>
                </c:pt>
                <c:pt idx="151">
                  <c:v>549.64639299167777</c:v>
                </c:pt>
                <c:pt idx="152">
                  <c:v>561.16482880194019</c:v>
                </c:pt>
                <c:pt idx="153">
                  <c:v>572.67831815051125</c:v>
                </c:pt>
                <c:pt idx="154">
                  <c:v>375.91176747689912</c:v>
                </c:pt>
                <c:pt idx="155">
                  <c:v>381.16425054600518</c:v>
                </c:pt>
                <c:pt idx="156">
                  <c:v>386.41515941560237</c:v>
                </c:pt>
                <c:pt idx="157">
                  <c:v>263.62343412107509</c:v>
                </c:pt>
                <c:pt idx="158">
                  <c:v>266.73759424597955</c:v>
                </c:pt>
                <c:pt idx="159">
                  <c:v>269.85093503021159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2.7816112555333632</c:v>
                </c:pt>
                <c:pt idx="2">
                  <c:v>3.4642637344519134</c:v>
                </c:pt>
                <c:pt idx="3">
                  <c:v>4.3150955514659701</c:v>
                </c:pt>
                <c:pt idx="4">
                  <c:v>5.375689482554324</c:v>
                </c:pt>
                <c:pt idx="5">
                  <c:v>6.6979444136316602</c:v>
                </c:pt>
                <c:pt idx="6">
                  <c:v>8.3466426127515607</c:v>
                </c:pt>
                <c:pt idx="7">
                  <c:v>10.40265772985753</c:v>
                </c:pt>
                <c:pt idx="8">
                  <c:v>12.966963853972665</c:v>
                </c:pt>
                <c:pt idx="9">
                  <c:v>16.165646173161679</c:v>
                </c:pt>
                <c:pt idx="10">
                  <c:v>20.156164107103098</c:v>
                </c:pt>
                <c:pt idx="11">
                  <c:v>25.135180761778766</c:v>
                </c:pt>
                <c:pt idx="12">
                  <c:v>31.348351379123169</c:v>
                </c:pt>
                <c:pt idx="13">
                  <c:v>39.102562114708071</c:v>
                </c:pt>
                <c:pt idx="14">
                  <c:v>48.781233975044579</c:v>
                </c:pt>
                <c:pt idx="15">
                  <c:v>60.863461347290858</c:v>
                </c:pt>
                <c:pt idx="16">
                  <c:v>75.947948104970536</c:v>
                </c:pt>
                <c:pt idx="17">
                  <c:v>94.782946603468645</c:v>
                </c:pt>
                <c:pt idx="18">
                  <c:v>118.30370830287877</c:v>
                </c:pt>
                <c:pt idx="19">
                  <c:v>147.67933470094917</c:v>
                </c:pt>
                <c:pt idx="20">
                  <c:v>184.37139305479852</c:v>
                </c:pt>
                <c:pt idx="21">
                  <c:v>125.85236526427535</c:v>
                </c:pt>
                <c:pt idx="22">
                  <c:v>149.09615963333522</c:v>
                </c:pt>
                <c:pt idx="23">
                  <c:v>172.25335699280072</c:v>
                </c:pt>
                <c:pt idx="24">
                  <c:v>195.33725403815274</c:v>
                </c:pt>
                <c:pt idx="25">
                  <c:v>218.35773715529604</c:v>
                </c:pt>
                <c:pt idx="26">
                  <c:v>241.32243325977709</c:v>
                </c:pt>
                <c:pt idx="27">
                  <c:v>264.23739708984232</c:v>
                </c:pt>
                <c:pt idx="28">
                  <c:v>287.10754659858628</c:v>
                </c:pt>
                <c:pt idx="29">
                  <c:v>309.93695192564945</c:v>
                </c:pt>
                <c:pt idx="30">
                  <c:v>332.72903457884451</c:v>
                </c:pt>
                <c:pt idx="31">
                  <c:v>246.9616654808882</c:v>
                </c:pt>
                <c:pt idx="32">
                  <c:v>266.11362550427401</c:v>
                </c:pt>
                <c:pt idx="33">
                  <c:v>285.23452771013774</c:v>
                </c:pt>
                <c:pt idx="34">
                  <c:v>304.32674644619146</c:v>
                </c:pt>
                <c:pt idx="35">
                  <c:v>323.39233379750675</c:v>
                </c:pt>
                <c:pt idx="36">
                  <c:v>342.43308014615872</c:v>
                </c:pt>
                <c:pt idx="37">
                  <c:v>361.45056054643442</c:v>
                </c:pt>
                <c:pt idx="38">
                  <c:v>380.44617082446968</c:v>
                </c:pt>
                <c:pt idx="39">
                  <c:v>399.42115608877901</c:v>
                </c:pt>
                <c:pt idx="40">
                  <c:v>418.37663353903207</c:v>
                </c:pt>
                <c:pt idx="41">
                  <c:v>328.43488071771361</c:v>
                </c:pt>
                <c:pt idx="42">
                  <c:v>342.80619071488053</c:v>
                </c:pt>
                <c:pt idx="43">
                  <c:v>357.16426213426615</c:v>
                </c:pt>
                <c:pt idx="44">
                  <c:v>371.50970211515914</c:v>
                </c:pt>
                <c:pt idx="45">
                  <c:v>385.843067081963</c:v>
                </c:pt>
                <c:pt idx="46">
                  <c:v>400.16486874659626</c:v>
                </c:pt>
                <c:pt idx="47">
                  <c:v>414.47557920665781</c:v>
                </c:pt>
                <c:pt idx="48">
                  <c:v>428.7756353027205</c:v>
                </c:pt>
                <c:pt idx="49">
                  <c:v>443.06544236403448</c:v>
                </c:pt>
                <c:pt idx="50">
                  <c:v>457.34537744583582</c:v>
                </c:pt>
                <c:pt idx="51">
                  <c:v>395.33019874057192</c:v>
                </c:pt>
                <c:pt idx="52">
                  <c:v>405.74176424723083</c:v>
                </c:pt>
                <c:pt idx="53">
                  <c:v>416.14755615430403</c:v>
                </c:pt>
                <c:pt idx="54">
                  <c:v>426.54773922354372</c:v>
                </c:pt>
                <c:pt idx="55">
                  <c:v>436.94246952460372</c:v>
                </c:pt>
                <c:pt idx="56">
                  <c:v>447.33189509390394</c:v>
                </c:pt>
                <c:pt idx="57">
                  <c:v>457.71615652908628</c:v>
                </c:pt>
                <c:pt idx="58">
                  <c:v>468.09538752671023</c:v>
                </c:pt>
                <c:pt idx="59">
                  <c:v>478.46971536976963</c:v>
                </c:pt>
                <c:pt idx="60">
                  <c:v>488.8392613707224</c:v>
                </c:pt>
                <c:pt idx="61">
                  <c:v>450.11389440093325</c:v>
                </c:pt>
                <c:pt idx="62">
                  <c:v>457.71615652908628</c:v>
                </c:pt>
                <c:pt idx="63">
                  <c:v>465.31572230869818</c:v>
                </c:pt>
                <c:pt idx="64">
                  <c:v>472.91264200880033</c:v>
                </c:pt>
                <c:pt idx="65">
                  <c:v>480.5069641508781</c:v>
                </c:pt>
                <c:pt idx="66">
                  <c:v>488.09873559688481</c:v>
                </c:pt>
                <c:pt idx="67">
                  <c:v>495.68800163149422</c:v>
                </c:pt>
                <c:pt idx="68">
                  <c:v>503.27480603905195</c:v>
                </c:pt>
                <c:pt idx="69">
                  <c:v>510.85919117564441</c:v>
                </c:pt>
                <c:pt idx="70">
                  <c:v>518.44119803666342</c:v>
                </c:pt>
                <c:pt idx="71">
                  <c:v>485.32155123080798</c:v>
                </c:pt>
                <c:pt idx="72">
                  <c:v>491.06069603012844</c:v>
                </c:pt>
                <c:pt idx="73">
                  <c:v>496.79841842488571</c:v>
                </c:pt>
                <c:pt idx="74">
                  <c:v>502.53473717055203</c:v>
                </c:pt>
                <c:pt idx="75">
                  <c:v>508.26967055923734</c:v>
                </c:pt>
                <c:pt idx="76">
                  <c:v>514.00323643635181</c:v>
                </c:pt>
                <c:pt idx="77">
                  <c:v>519.73545221648567</c:v>
                </c:pt>
                <c:pt idx="78">
                  <c:v>525.46633489855151</c:v>
                </c:pt>
                <c:pt idx="79">
                  <c:v>531.19590108023328</c:v>
                </c:pt>
                <c:pt idx="80">
                  <c:v>536.92416697177521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148.52569303609548</c:v>
                </c:pt>
                <c:pt idx="22">
                  <c:v>165.80757333279709</c:v>
                </c:pt>
                <c:pt idx="23">
                  <c:v>183.04691447762266</c:v>
                </c:pt>
                <c:pt idx="24">
                  <c:v>200.24828861934861</c:v>
                </c:pt>
                <c:pt idx="25">
                  <c:v>217.41541708927375</c:v>
                </c:pt>
                <c:pt idx="26">
                  <c:v>234.55138491384025</c:v>
                </c:pt>
                <c:pt idx="27">
                  <c:v>251.65878917766895</c:v>
                </c:pt>
                <c:pt idx="28">
                  <c:v>268.73984484198542</c:v>
                </c:pt>
                <c:pt idx="29">
                  <c:v>285.79646220412945</c:v>
                </c:pt>
                <c:pt idx="30">
                  <c:v>302.83030487228262</c:v>
                </c:pt>
                <c:pt idx="31">
                  <c:v>229.84664931859365</c:v>
                </c:pt>
                <c:pt idx="32">
                  <c:v>245.08225003541085</c:v>
                </c:pt>
                <c:pt idx="33">
                  <c:v>260.29633594452849</c:v>
                </c:pt>
                <c:pt idx="34">
                  <c:v>275.49034176419678</c:v>
                </c:pt>
                <c:pt idx="35">
                  <c:v>290.66553097703087</c:v>
                </c:pt>
                <c:pt idx="36">
                  <c:v>305.82302433005196</c:v>
                </c:pt>
                <c:pt idx="37">
                  <c:v>320.9638223844147</c:v>
                </c:pt>
                <c:pt idx="38">
                  <c:v>336.08882358493878</c:v>
                </c:pt>
                <c:pt idx="39">
                  <c:v>351.19883890522402</c:v>
                </c:pt>
                <c:pt idx="40">
                  <c:v>366.29460383970832</c:v>
                </c:pt>
                <c:pt idx="41">
                  <c:v>291.22722867703129</c:v>
                </c:pt>
                <c:pt idx="42">
                  <c:v>303.95265143464206</c:v>
                </c:pt>
                <c:pt idx="43">
                  <c:v>316.66622670451289</c:v>
                </c:pt>
                <c:pt idx="44">
                  <c:v>329.36849727470786</c:v>
                </c:pt>
                <c:pt idx="45">
                  <c:v>342.05996063814382</c:v>
                </c:pt>
                <c:pt idx="46">
                  <c:v>354.74107434847832</c:v>
                </c:pt>
                <c:pt idx="47">
                  <c:v>367.41226056988802</c:v>
                </c:pt>
                <c:pt idx="48">
                  <c:v>380.07390996625026</c:v>
                </c:pt>
                <c:pt idx="49">
                  <c:v>392.72638504489856</c:v>
                </c:pt>
                <c:pt idx="50">
                  <c:v>405.37002304691242</c:v>
                </c:pt>
                <c:pt idx="51">
                  <c:v>335.90218812523602</c:v>
                </c:pt>
                <c:pt idx="52">
                  <c:v>346.53680717558655</c:v>
                </c:pt>
                <c:pt idx="53">
                  <c:v>357.16426213426638</c:v>
                </c:pt>
                <c:pt idx="54">
                  <c:v>367.78479630486135</c:v>
                </c:pt>
                <c:pt idx="55">
                  <c:v>378.39863778692774</c:v>
                </c:pt>
                <c:pt idx="56">
                  <c:v>389.00600083506555</c:v>
                </c:pt>
                <c:pt idx="57">
                  <c:v>399.60708706197852</c:v>
                </c:pt>
                <c:pt idx="58">
                  <c:v>410.20208650717768</c:v>
                </c:pt>
                <c:pt idx="59">
                  <c:v>420.79117858949138</c:v>
                </c:pt>
                <c:pt idx="60">
                  <c:v>431.37453295867721</c:v>
                </c:pt>
                <c:pt idx="61">
                  <c:v>369.64735159591146</c:v>
                </c:pt>
                <c:pt idx="62">
                  <c:v>378.58478709988776</c:v>
                </c:pt>
                <c:pt idx="63">
                  <c:v>387.5176312788663</c:v>
                </c:pt>
                <c:pt idx="64">
                  <c:v>396.44600495131073</c:v>
                </c:pt>
                <c:pt idx="65">
                  <c:v>405.37002304691231</c:v>
                </c:pt>
                <c:pt idx="66">
                  <c:v>414.28979501974965</c:v>
                </c:pt>
                <c:pt idx="67">
                  <c:v>423.20542522399984</c:v>
                </c:pt>
                <c:pt idx="68">
                  <c:v>432.11701325632811</c:v>
                </c:pt>
                <c:pt idx="69">
                  <c:v>441.02465426855321</c:v>
                </c:pt>
                <c:pt idx="70">
                  <c:v>449.92843925372944</c:v>
                </c:pt>
                <c:pt idx="71">
                  <c:v>395.51617117728159</c:v>
                </c:pt>
                <c:pt idx="72">
                  <c:v>402.39582743654256</c:v>
                </c:pt>
                <c:pt idx="73">
                  <c:v>409.27293949098544</c:v>
                </c:pt>
                <c:pt idx="74">
                  <c:v>416.14755615430437</c:v>
                </c:pt>
                <c:pt idx="75">
                  <c:v>423.01972449465916</c:v>
                </c:pt>
                <c:pt idx="76">
                  <c:v>429.88948992506403</c:v>
                </c:pt>
                <c:pt idx="77">
                  <c:v>436.75689628769379</c:v>
                </c:pt>
                <c:pt idx="78">
                  <c:v>443.62198593261002</c:v>
                </c:pt>
                <c:pt idx="79">
                  <c:v>450.48479979135647</c:v>
                </c:pt>
                <c:pt idx="80">
                  <c:v>457.34537744583599</c:v>
                </c:pt>
                <c:pt idx="81">
                  <c:v>412.98925533052557</c:v>
                </c:pt>
                <c:pt idx="82">
                  <c:v>418.7481215104533</c:v>
                </c:pt>
                <c:pt idx="83">
                  <c:v>424.5052812594501</c:v>
                </c:pt>
                <c:pt idx="84">
                  <c:v>430.26076100517776</c:v>
                </c:pt>
                <c:pt idx="85">
                  <c:v>436.01458640998993</c:v>
                </c:pt>
                <c:pt idx="86">
                  <c:v>441.76678240312714</c:v>
                </c:pt>
                <c:pt idx="87">
                  <c:v>447.5173732111453</c:v>
                </c:pt>
                <c:pt idx="88">
                  <c:v>453.26638238669875</c:v>
                </c:pt>
                <c:pt idx="89">
                  <c:v>459.01383283578645</c:v>
                </c:pt>
                <c:pt idx="90">
                  <c:v>464.7597468435597</c:v>
                </c:pt>
                <c:pt idx="91">
                  <c:v>427.47605959569478</c:v>
                </c:pt>
                <c:pt idx="92">
                  <c:v>432.8594661465051</c:v>
                </c:pt>
                <c:pt idx="93">
                  <c:v>438.24143487072706</c:v>
                </c:pt>
                <c:pt idx="94">
                  <c:v>443.62198593261002</c:v>
                </c:pt>
                <c:pt idx="95">
                  <c:v>449.00113896695365</c:v>
                </c:pt>
                <c:pt idx="96">
                  <c:v>454.37891309932837</c:v>
                </c:pt>
                <c:pt idx="97">
                  <c:v>459.75532696528722</c:v>
                </c:pt>
                <c:pt idx="98">
                  <c:v>465.13039872863186</c:v>
                </c:pt>
                <c:pt idx="99">
                  <c:v>470.50414609878999</c:v>
                </c:pt>
                <c:pt idx="100">
                  <c:v>475.87658634735823</c:v>
                </c:pt>
                <c:pt idx="101">
                  <c:v>433.23068233058694</c:v>
                </c:pt>
                <c:pt idx="102">
                  <c:v>433.23068233058694</c:v>
                </c:pt>
                <c:pt idx="103">
                  <c:v>433.23068233058694</c:v>
                </c:pt>
                <c:pt idx="104">
                  <c:v>433.23068233058694</c:v>
                </c:pt>
                <c:pt idx="105">
                  <c:v>433.23068233058694</c:v>
                </c:pt>
                <c:pt idx="106">
                  <c:v>433.23068233058694</c:v>
                </c:pt>
                <c:pt idx="107">
                  <c:v>433.23068233058694</c:v>
                </c:pt>
                <c:pt idx="108">
                  <c:v>433.23068233058694</c:v>
                </c:pt>
                <c:pt idx="109">
                  <c:v>433.23068233058694</c:v>
                </c:pt>
                <c:pt idx="110">
                  <c:v>433.23068233058694</c:v>
                </c:pt>
                <c:pt idx="111">
                  <c:v>433.23068233058694</c:v>
                </c:pt>
                <c:pt idx="112">
                  <c:v>433.23068233058694</c:v>
                </c:pt>
                <c:pt idx="113">
                  <c:v>433.23068233058694</c:v>
                </c:pt>
                <c:pt idx="114">
                  <c:v>433.23068233058694</c:v>
                </c:pt>
                <c:pt idx="115">
                  <c:v>433.23068233058694</c:v>
                </c:pt>
                <c:pt idx="116">
                  <c:v>433.23068233058694</c:v>
                </c:pt>
                <c:pt idx="117">
                  <c:v>433.23068233058694</c:v>
                </c:pt>
                <c:pt idx="118">
                  <c:v>433.23068233058694</c:v>
                </c:pt>
                <c:pt idx="119">
                  <c:v>433.23068233058694</c:v>
                </c:pt>
                <c:pt idx="120">
                  <c:v>433.23068233058694</c:v>
                </c:pt>
                <c:pt idx="121">
                  <c:v>433.23068233058694</c:v>
                </c:pt>
                <c:pt idx="122">
                  <c:v>433.23068233058694</c:v>
                </c:pt>
                <c:pt idx="123">
                  <c:v>433.23068233058694</c:v>
                </c:pt>
                <c:pt idx="124">
                  <c:v>433.23068233058694</c:v>
                </c:pt>
                <c:pt idx="125">
                  <c:v>433.23068233058694</c:v>
                </c:pt>
                <c:pt idx="126">
                  <c:v>433.23068233058694</c:v>
                </c:pt>
                <c:pt idx="127">
                  <c:v>433.23068233058694</c:v>
                </c:pt>
                <c:pt idx="128">
                  <c:v>433.23068233058694</c:v>
                </c:pt>
                <c:pt idx="129">
                  <c:v>433.23068233058694</c:v>
                </c:pt>
                <c:pt idx="130">
                  <c:v>433.23068233058694</c:v>
                </c:pt>
                <c:pt idx="131">
                  <c:v>433.23068233058694</c:v>
                </c:pt>
                <c:pt idx="132">
                  <c:v>433.23068233058694</c:v>
                </c:pt>
                <c:pt idx="133">
                  <c:v>433.23068233058694</c:v>
                </c:pt>
                <c:pt idx="134">
                  <c:v>433.23068233058694</c:v>
                </c:pt>
                <c:pt idx="135">
                  <c:v>433.23068233058694</c:v>
                </c:pt>
                <c:pt idx="136">
                  <c:v>433.23068233058694</c:v>
                </c:pt>
                <c:pt idx="137">
                  <c:v>433.23068233058694</c:v>
                </c:pt>
                <c:pt idx="138">
                  <c:v>433.23068233058694</c:v>
                </c:pt>
                <c:pt idx="139">
                  <c:v>433.23068233058694</c:v>
                </c:pt>
                <c:pt idx="140">
                  <c:v>433.23068233058694</c:v>
                </c:pt>
                <c:pt idx="141">
                  <c:v>433.23068233058694</c:v>
                </c:pt>
                <c:pt idx="142">
                  <c:v>433.23068233058694</c:v>
                </c:pt>
                <c:pt idx="143">
                  <c:v>433.23068233058694</c:v>
                </c:pt>
                <c:pt idx="144">
                  <c:v>433.23068233058694</c:v>
                </c:pt>
                <c:pt idx="145">
                  <c:v>433.23068233058694</c:v>
                </c:pt>
                <c:pt idx="146">
                  <c:v>433.23068233058694</c:v>
                </c:pt>
                <c:pt idx="147">
                  <c:v>433.23068233058694</c:v>
                </c:pt>
                <c:pt idx="148">
                  <c:v>433.23068233058694</c:v>
                </c:pt>
                <c:pt idx="149">
                  <c:v>433.23068233058694</c:v>
                </c:pt>
                <c:pt idx="150">
                  <c:v>433.23068233058694</c:v>
                </c:pt>
                <c:pt idx="151">
                  <c:v>433.23068233058694</c:v>
                </c:pt>
                <c:pt idx="152">
                  <c:v>433.23068233058694</c:v>
                </c:pt>
                <c:pt idx="153">
                  <c:v>433.23068233058694</c:v>
                </c:pt>
                <c:pt idx="154">
                  <c:v>433.23068233058694</c:v>
                </c:pt>
                <c:pt idx="155">
                  <c:v>433.23068233058694</c:v>
                </c:pt>
                <c:pt idx="156">
                  <c:v>433.23068233058694</c:v>
                </c:pt>
                <c:pt idx="157">
                  <c:v>433.23068233058694</c:v>
                </c:pt>
                <c:pt idx="158">
                  <c:v>433.23068233058694</c:v>
                </c:pt>
                <c:pt idx="159">
                  <c:v>433.23068233058694</c:v>
                </c:pt>
                <c:pt idx="160">
                  <c:v>433.23068233058694</c:v>
                </c:pt>
                <c:pt idx="161">
                  <c:v>433.23068233058694</c:v>
                </c:pt>
                <c:pt idx="162">
                  <c:v>433.23068233058694</c:v>
                </c:pt>
                <c:pt idx="163">
                  <c:v>433.23068233058694</c:v>
                </c:pt>
                <c:pt idx="164">
                  <c:v>433.23068233058694</c:v>
                </c:pt>
                <c:pt idx="165">
                  <c:v>433.23068233058694</c:v>
                </c:pt>
                <c:pt idx="166">
                  <c:v>433.23068233058694</c:v>
                </c:pt>
                <c:pt idx="167">
                  <c:v>433.23068233058694</c:v>
                </c:pt>
                <c:pt idx="168">
                  <c:v>433.23068233058694</c:v>
                </c:pt>
                <c:pt idx="169">
                  <c:v>433.23068233058694</c:v>
                </c:pt>
                <c:pt idx="170">
                  <c:v>433.23068233058694</c:v>
                </c:pt>
                <c:pt idx="171">
                  <c:v>433.23068233058694</c:v>
                </c:pt>
                <c:pt idx="172">
                  <c:v>433.23068233058694</c:v>
                </c:pt>
                <c:pt idx="173">
                  <c:v>433.23068233058694</c:v>
                </c:pt>
                <c:pt idx="174">
                  <c:v>433.23068233058694</c:v>
                </c:pt>
                <c:pt idx="175">
                  <c:v>433.23068233058694</c:v>
                </c:pt>
                <c:pt idx="176">
                  <c:v>433.23068233058694</c:v>
                </c:pt>
                <c:pt idx="177">
                  <c:v>433.23068233058694</c:v>
                </c:pt>
                <c:pt idx="178">
                  <c:v>433.23068233058694</c:v>
                </c:pt>
                <c:pt idx="179">
                  <c:v>433.23068233058694</c:v>
                </c:pt>
                <c:pt idx="180">
                  <c:v>433.23068233058694</c:v>
                </c:pt>
                <c:pt idx="181">
                  <c:v>433.23068233058694</c:v>
                </c:pt>
                <c:pt idx="182">
                  <c:v>433.23068233058694</c:v>
                </c:pt>
                <c:pt idx="183">
                  <c:v>433.23068233058694</c:v>
                </c:pt>
                <c:pt idx="184">
                  <c:v>433.23068233058694</c:v>
                </c:pt>
                <c:pt idx="185">
                  <c:v>433.23068233058694</c:v>
                </c:pt>
                <c:pt idx="186">
                  <c:v>433.23068233058694</c:v>
                </c:pt>
                <c:pt idx="187">
                  <c:v>433.23068233058694</c:v>
                </c:pt>
                <c:pt idx="188">
                  <c:v>433.23068233058694</c:v>
                </c:pt>
                <c:pt idx="189">
                  <c:v>433.23068233058694</c:v>
                </c:pt>
                <c:pt idx="190">
                  <c:v>433.23068233058694</c:v>
                </c:pt>
                <c:pt idx="191">
                  <c:v>433.23068233058694</c:v>
                </c:pt>
                <c:pt idx="192">
                  <c:v>433.23068233058694</c:v>
                </c:pt>
                <c:pt idx="193">
                  <c:v>433.23068233058694</c:v>
                </c:pt>
                <c:pt idx="194">
                  <c:v>433.23068233058694</c:v>
                </c:pt>
                <c:pt idx="195">
                  <c:v>433.23068233058694</c:v>
                </c:pt>
                <c:pt idx="196">
                  <c:v>433.23068233058694</c:v>
                </c:pt>
                <c:pt idx="197">
                  <c:v>433.23068233058694</c:v>
                </c:pt>
                <c:pt idx="198">
                  <c:v>433.23068233058694</c:v>
                </c:pt>
                <c:pt idx="199">
                  <c:v>433.23068233058694</c:v>
                </c:pt>
                <c:pt idx="200">
                  <c:v>433.23068233058694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1.9214893041217032</c:v>
                </c:pt>
                <c:pt idx="2">
                  <c:v>2.5987025008718923</c:v>
                </c:pt>
                <c:pt idx="3">
                  <c:v>3.5156040807503324</c:v>
                </c:pt>
                <c:pt idx="4">
                  <c:v>4.7573647265716694</c:v>
                </c:pt>
                <c:pt idx="5">
                  <c:v>6.4395315306240031</c:v>
                </c:pt>
                <c:pt idx="6">
                  <c:v>8.7188988740568281</c:v>
                </c:pt>
                <c:pt idx="7">
                  <c:v>11.808281901058599</c:v>
                </c:pt>
                <c:pt idx="8">
                  <c:v>15.996597611169451</c:v>
                </c:pt>
                <c:pt idx="9">
                  <c:v>21.676165746847925</c:v>
                </c:pt>
                <c:pt idx="10">
                  <c:v>29.379832297005887</c:v>
                </c:pt>
                <c:pt idx="11">
                  <c:v>43.42796098315484</c:v>
                </c:pt>
                <c:pt idx="12">
                  <c:v>57.352308105364443</c:v>
                </c:pt>
                <c:pt idx="13">
                  <c:v>71.187624867837272</c:v>
                </c:pt>
                <c:pt idx="14">
                  <c:v>84.953789769718654</c:v>
                </c:pt>
                <c:pt idx="15">
                  <c:v>98.663638916304294</c:v>
                </c:pt>
                <c:pt idx="16">
                  <c:v>112.32612308019601</c:v>
                </c:pt>
                <c:pt idx="17">
                  <c:v>125.94782644681675</c:v>
                </c:pt>
                <c:pt idx="18">
                  <c:v>139.53378725227557</c:v>
                </c:pt>
                <c:pt idx="19">
                  <c:v>153.08797965351815</c:v>
                </c:pt>
                <c:pt idx="20">
                  <c:v>166.61361501076925</c:v>
                </c:pt>
                <c:pt idx="21">
                  <c:v>115.43621516079592</c:v>
                </c:pt>
                <c:pt idx="22">
                  <c:v>132.1491048997581</c:v>
                </c:pt>
                <c:pt idx="23">
                  <c:v>148.81093286135925</c:v>
                </c:pt>
                <c:pt idx="24">
                  <c:v>165.4282275996666</c:v>
                </c:pt>
                <c:pt idx="25">
                  <c:v>182.0060955160782</c:v>
                </c:pt>
                <c:pt idx="26">
                  <c:v>198.54863502669249</c:v>
                </c:pt>
                <c:pt idx="27">
                  <c:v>215.05920485974343</c:v>
                </c:pt>
                <c:pt idx="28">
                  <c:v>231.54060536306488</c:v>
                </c:pt>
                <c:pt idx="29">
                  <c:v>247.99520534543674</c:v>
                </c:pt>
                <c:pt idx="30">
                  <c:v>264.42503341914329</c:v>
                </c:pt>
                <c:pt idx="31">
                  <c:v>196.30551917967912</c:v>
                </c:pt>
                <c:pt idx="32">
                  <c:v>210.58075731770046</c:v>
                </c:pt>
                <c:pt idx="33">
                  <c:v>224.83368096285912</c:v>
                </c:pt>
                <c:pt idx="34">
                  <c:v>239.06590436046736</c:v>
                </c:pt>
                <c:pt idx="35">
                  <c:v>253.27883373100008</c:v>
                </c:pt>
                <c:pt idx="36">
                  <c:v>267.47370449813809</c:v>
                </c:pt>
                <c:pt idx="37">
                  <c:v>281.65161019072974</c:v>
                </c:pt>
                <c:pt idx="38">
                  <c:v>295.81352521481881</c:v>
                </c:pt>
                <c:pt idx="39">
                  <c:v>309.96032303309579</c:v>
                </c:pt>
                <c:pt idx="40">
                  <c:v>324.09279084959798</c:v>
                </c:pt>
                <c:pt idx="41">
                  <c:v>256.09574439867498</c:v>
                </c:pt>
                <c:pt idx="42">
                  <c:v>267.70818510138707</c:v>
                </c:pt>
                <c:pt idx="43">
                  <c:v>279.30928259257695</c:v>
                </c:pt>
                <c:pt idx="44">
                  <c:v>290.89957463061307</c:v>
                </c:pt>
                <c:pt idx="45">
                  <c:v>302.47955260057626</c:v>
                </c:pt>
                <c:pt idx="46">
                  <c:v>314.04966717357325</c:v>
                </c:pt>
                <c:pt idx="47">
                  <c:v>325.61033308796351</c:v>
                </c:pt>
                <c:pt idx="48">
                  <c:v>337.16193321571785</c:v>
                </c:pt>
                <c:pt idx="49">
                  <c:v>348.70482204213005</c:v>
                </c:pt>
                <c:pt idx="50">
                  <c:v>360.23932866053048</c:v>
                </c:pt>
                <c:pt idx="51">
                  <c:v>305.63599851497548</c:v>
                </c:pt>
                <c:pt idx="52">
                  <c:v>315.21783358823507</c:v>
                </c:pt>
                <c:pt idx="53">
                  <c:v>324.79321443249796</c:v>
                </c:pt>
                <c:pt idx="54">
                  <c:v>334.36235827747288</c:v>
                </c:pt>
                <c:pt idx="55">
                  <c:v>343.92546889640698</c:v>
                </c:pt>
                <c:pt idx="56">
                  <c:v>353.48273779876689</c:v>
                </c:pt>
                <c:pt idx="57">
                  <c:v>363.03434528713234</c:v>
                </c:pt>
                <c:pt idx="58">
                  <c:v>372.58046139700485</c:v>
                </c:pt>
                <c:pt idx="59">
                  <c:v>382.12124673523084</c:v>
                </c:pt>
                <c:pt idx="60">
                  <c:v>391.65685323028885</c:v>
                </c:pt>
                <c:pt idx="61">
                  <c:v>346.37361123107047</c:v>
                </c:pt>
                <c:pt idx="62">
                  <c:v>354.64786759228576</c:v>
                </c:pt>
                <c:pt idx="63">
                  <c:v>362.91789568036029</c:v>
                </c:pt>
                <c:pt idx="64">
                  <c:v>371.18380550457044</c:v>
                </c:pt>
                <c:pt idx="65">
                  <c:v>379.44570177141003</c:v>
                </c:pt>
                <c:pt idx="66">
                  <c:v>387.70368425262308</c:v>
                </c:pt>
                <c:pt idx="67">
                  <c:v>395.95784812023118</c:v>
                </c:pt>
                <c:pt idx="68">
                  <c:v>404.20828425215444</c:v>
                </c:pt>
                <c:pt idx="69">
                  <c:v>412.45507951156748</c:v>
                </c:pt>
                <c:pt idx="70">
                  <c:v>420.69831700274091</c:v>
                </c:pt>
                <c:pt idx="71">
                  <c:v>378.98034777548816</c:v>
                </c:pt>
                <c:pt idx="72">
                  <c:v>386.0756548689514</c:v>
                </c:pt>
                <c:pt idx="73">
                  <c:v>393.16812973897248</c:v>
                </c:pt>
                <c:pt idx="74">
                  <c:v>400.25783072357098</c:v>
                </c:pt>
                <c:pt idx="75">
                  <c:v>407.34481392391939</c:v>
                </c:pt>
                <c:pt idx="76">
                  <c:v>414.42913332839385</c:v>
                </c:pt>
                <c:pt idx="77">
                  <c:v>421.51084092769702</c:v>
                </c:pt>
                <c:pt idx="78">
                  <c:v>428.58998682183602</c:v>
                </c:pt>
                <c:pt idx="79">
                  <c:v>435.66661931966229</c:v>
                </c:pt>
                <c:pt idx="80">
                  <c:v>442.74078503160263</c:v>
                </c:pt>
                <c:pt idx="81">
                  <c:v>3.3837175350986671E-12</c:v>
                </c:pt>
                <c:pt idx="82">
                  <c:v>3.3837175350986671E-12</c:v>
                </c:pt>
                <c:pt idx="83">
                  <c:v>3.3837175350986671E-12</c:v>
                </c:pt>
                <c:pt idx="84">
                  <c:v>3.3837175350986671E-12</c:v>
                </c:pt>
                <c:pt idx="85">
                  <c:v>3.3837175350986671E-12</c:v>
                </c:pt>
                <c:pt idx="86">
                  <c:v>3.3837175350986671E-12</c:v>
                </c:pt>
                <c:pt idx="87">
                  <c:v>3.3837175350986671E-12</c:v>
                </c:pt>
                <c:pt idx="88">
                  <c:v>3.3837175350986671E-12</c:v>
                </c:pt>
                <c:pt idx="89">
                  <c:v>3.3837175350986671E-12</c:v>
                </c:pt>
                <c:pt idx="90">
                  <c:v>3.3837175350986671E-12</c:v>
                </c:pt>
                <c:pt idx="91">
                  <c:v>3.3837175350986671E-12</c:v>
                </c:pt>
                <c:pt idx="92">
                  <c:v>3.3837175350986671E-12</c:v>
                </c:pt>
                <c:pt idx="93">
                  <c:v>3.3837175350986671E-12</c:v>
                </c:pt>
                <c:pt idx="94">
                  <c:v>3.3837175350986671E-12</c:v>
                </c:pt>
                <c:pt idx="95">
                  <c:v>3.3837175350986671E-12</c:v>
                </c:pt>
                <c:pt idx="96">
                  <c:v>3.3837175350986671E-12</c:v>
                </c:pt>
                <c:pt idx="97">
                  <c:v>3.3837175350986671E-12</c:v>
                </c:pt>
                <c:pt idx="98">
                  <c:v>3.3837175350986671E-12</c:v>
                </c:pt>
                <c:pt idx="99">
                  <c:v>3.3837175350986671E-12</c:v>
                </c:pt>
                <c:pt idx="100">
                  <c:v>3.3837175350986671E-12</c:v>
                </c:pt>
                <c:pt idx="101">
                  <c:v>3.3837175350986671E-12</c:v>
                </c:pt>
                <c:pt idx="102">
                  <c:v>3.3837175350986671E-12</c:v>
                </c:pt>
                <c:pt idx="103">
                  <c:v>3.3837175350986671E-12</c:v>
                </c:pt>
                <c:pt idx="104">
                  <c:v>3.3837175350986671E-12</c:v>
                </c:pt>
                <c:pt idx="105">
                  <c:v>3.3837175350986671E-12</c:v>
                </c:pt>
                <c:pt idx="106">
                  <c:v>3.3837175350986671E-12</c:v>
                </c:pt>
                <c:pt idx="107">
                  <c:v>3.3837175350986671E-12</c:v>
                </c:pt>
                <c:pt idx="108">
                  <c:v>3.3837175350986671E-12</c:v>
                </c:pt>
                <c:pt idx="109">
                  <c:v>3.3837175350986671E-12</c:v>
                </c:pt>
                <c:pt idx="110">
                  <c:v>3.3837175350986671E-12</c:v>
                </c:pt>
                <c:pt idx="111">
                  <c:v>3.3837175350986671E-12</c:v>
                </c:pt>
                <c:pt idx="112">
                  <c:v>3.3837175350986671E-12</c:v>
                </c:pt>
                <c:pt idx="113">
                  <c:v>3.3837175350986671E-12</c:v>
                </c:pt>
                <c:pt idx="114">
                  <c:v>3.3837175350986671E-12</c:v>
                </c:pt>
                <c:pt idx="115">
                  <c:v>3.3837175350986671E-12</c:v>
                </c:pt>
                <c:pt idx="116">
                  <c:v>3.3837175350986671E-12</c:v>
                </c:pt>
                <c:pt idx="117">
                  <c:v>3.3837175350986671E-12</c:v>
                </c:pt>
                <c:pt idx="118">
                  <c:v>3.3837175350986671E-12</c:v>
                </c:pt>
                <c:pt idx="119">
                  <c:v>3.3837175350986671E-12</c:v>
                </c:pt>
                <c:pt idx="120">
                  <c:v>3.3837175350986671E-12</c:v>
                </c:pt>
                <c:pt idx="121">
                  <c:v>3.3837175350986671E-12</c:v>
                </c:pt>
                <c:pt idx="122">
                  <c:v>3.3837175350986671E-12</c:v>
                </c:pt>
                <c:pt idx="123">
                  <c:v>3.3837175350986671E-12</c:v>
                </c:pt>
                <c:pt idx="124">
                  <c:v>3.3837175350986671E-12</c:v>
                </c:pt>
                <c:pt idx="125">
                  <c:v>3.3837175350986671E-12</c:v>
                </c:pt>
                <c:pt idx="126">
                  <c:v>3.3837175350986671E-12</c:v>
                </c:pt>
                <c:pt idx="127">
                  <c:v>3.3837175350986671E-12</c:v>
                </c:pt>
                <c:pt idx="128">
                  <c:v>3.3837175350986671E-12</c:v>
                </c:pt>
                <c:pt idx="129">
                  <c:v>3.3837175350986671E-12</c:v>
                </c:pt>
                <c:pt idx="130">
                  <c:v>3.3837175350986671E-12</c:v>
                </c:pt>
                <c:pt idx="131">
                  <c:v>3.3837175350986671E-12</c:v>
                </c:pt>
                <c:pt idx="132">
                  <c:v>3.3837175350986671E-12</c:v>
                </c:pt>
                <c:pt idx="133">
                  <c:v>3.3837175350986671E-12</c:v>
                </c:pt>
                <c:pt idx="134">
                  <c:v>3.3837175350986671E-12</c:v>
                </c:pt>
                <c:pt idx="135">
                  <c:v>3.3837175350986671E-12</c:v>
                </c:pt>
                <c:pt idx="136">
                  <c:v>3.3837175350986671E-12</c:v>
                </c:pt>
                <c:pt idx="137">
                  <c:v>3.3837175350986671E-12</c:v>
                </c:pt>
                <c:pt idx="138">
                  <c:v>3.3837175350986671E-12</c:v>
                </c:pt>
                <c:pt idx="139">
                  <c:v>3.3837175350986671E-12</c:v>
                </c:pt>
                <c:pt idx="140">
                  <c:v>3.3837175350986671E-12</c:v>
                </c:pt>
                <c:pt idx="141">
                  <c:v>3.3837175350986671E-12</c:v>
                </c:pt>
                <c:pt idx="142">
                  <c:v>3.3837175350986671E-12</c:v>
                </c:pt>
                <c:pt idx="143">
                  <c:v>3.3837175350986671E-12</c:v>
                </c:pt>
                <c:pt idx="144">
                  <c:v>3.3837175350986671E-12</c:v>
                </c:pt>
                <c:pt idx="145">
                  <c:v>3.3837175350986671E-12</c:v>
                </c:pt>
                <c:pt idx="146">
                  <c:v>3.3837175350986671E-12</c:v>
                </c:pt>
                <c:pt idx="147">
                  <c:v>3.3837175350986671E-12</c:v>
                </c:pt>
                <c:pt idx="148">
                  <c:v>3.3837175350986671E-12</c:v>
                </c:pt>
                <c:pt idx="149">
                  <c:v>3.3837175350986671E-12</c:v>
                </c:pt>
                <c:pt idx="150">
                  <c:v>3.3837175350986671E-12</c:v>
                </c:pt>
                <c:pt idx="151">
                  <c:v>3.3837175350986671E-12</c:v>
                </c:pt>
                <c:pt idx="152">
                  <c:v>3.3837175350986671E-12</c:v>
                </c:pt>
                <c:pt idx="153">
                  <c:v>3.3837175350986671E-12</c:v>
                </c:pt>
                <c:pt idx="154">
                  <c:v>3.3837175350986671E-12</c:v>
                </c:pt>
                <c:pt idx="155">
                  <c:v>3.3837175350986671E-12</c:v>
                </c:pt>
                <c:pt idx="156">
                  <c:v>3.3837175350986671E-12</c:v>
                </c:pt>
                <c:pt idx="157">
                  <c:v>3.3837175350986671E-12</c:v>
                </c:pt>
                <c:pt idx="158">
                  <c:v>3.3837175350986671E-12</c:v>
                </c:pt>
                <c:pt idx="159">
                  <c:v>3.3837175350986671E-12</c:v>
                </c:pt>
                <c:pt idx="160">
                  <c:v>3.3837175350986671E-12</c:v>
                </c:pt>
                <c:pt idx="161">
                  <c:v>3.3837175350986671E-12</c:v>
                </c:pt>
                <c:pt idx="162">
                  <c:v>3.3837175350986671E-12</c:v>
                </c:pt>
                <c:pt idx="163">
                  <c:v>3.3837175350986671E-12</c:v>
                </c:pt>
                <c:pt idx="164">
                  <c:v>3.3837175350986671E-12</c:v>
                </c:pt>
                <c:pt idx="165">
                  <c:v>3.3837175350986671E-12</c:v>
                </c:pt>
                <c:pt idx="166">
                  <c:v>3.3837175350986671E-12</c:v>
                </c:pt>
                <c:pt idx="167">
                  <c:v>3.3837175350986671E-12</c:v>
                </c:pt>
                <c:pt idx="168">
                  <c:v>3.3837175350986671E-12</c:v>
                </c:pt>
                <c:pt idx="169">
                  <c:v>3.3837175350986671E-12</c:v>
                </c:pt>
                <c:pt idx="170">
                  <c:v>3.3837175350986671E-12</c:v>
                </c:pt>
                <c:pt idx="171">
                  <c:v>3.3837175350986671E-12</c:v>
                </c:pt>
                <c:pt idx="172">
                  <c:v>3.3837175350986671E-12</c:v>
                </c:pt>
                <c:pt idx="173">
                  <c:v>3.3837175350986671E-12</c:v>
                </c:pt>
                <c:pt idx="174">
                  <c:v>3.3837175350986671E-12</c:v>
                </c:pt>
                <c:pt idx="175">
                  <c:v>3.3837175350986671E-12</c:v>
                </c:pt>
                <c:pt idx="176">
                  <c:v>3.3837175350986671E-12</c:v>
                </c:pt>
                <c:pt idx="177">
                  <c:v>3.3837175350986671E-12</c:v>
                </c:pt>
                <c:pt idx="178">
                  <c:v>3.3837175350986671E-12</c:v>
                </c:pt>
                <c:pt idx="179">
                  <c:v>3.3837175350986671E-12</c:v>
                </c:pt>
                <c:pt idx="180">
                  <c:v>3.3837175350986671E-12</c:v>
                </c:pt>
                <c:pt idx="181">
                  <c:v>3.3837175350986671E-12</c:v>
                </c:pt>
                <c:pt idx="182">
                  <c:v>3.3837175350986671E-12</c:v>
                </c:pt>
                <c:pt idx="183">
                  <c:v>3.3837175350986671E-12</c:v>
                </c:pt>
                <c:pt idx="184">
                  <c:v>3.3837175350986671E-12</c:v>
                </c:pt>
                <c:pt idx="185">
                  <c:v>3.3837175350986671E-12</c:v>
                </c:pt>
                <c:pt idx="186">
                  <c:v>3.3837175350986671E-12</c:v>
                </c:pt>
                <c:pt idx="187">
                  <c:v>3.3837175350986671E-12</c:v>
                </c:pt>
                <c:pt idx="188">
                  <c:v>3.3837175350986671E-12</c:v>
                </c:pt>
                <c:pt idx="189">
                  <c:v>3.3837175350986671E-12</c:v>
                </c:pt>
                <c:pt idx="190">
                  <c:v>3.3837175350986671E-12</c:v>
                </c:pt>
                <c:pt idx="191">
                  <c:v>3.3837175350986671E-12</c:v>
                </c:pt>
                <c:pt idx="192">
                  <c:v>3.3837175350986671E-12</c:v>
                </c:pt>
                <c:pt idx="193">
                  <c:v>3.3837175350986671E-12</c:v>
                </c:pt>
                <c:pt idx="194">
                  <c:v>3.3837175350986671E-12</c:v>
                </c:pt>
                <c:pt idx="195">
                  <c:v>3.3837175350986671E-12</c:v>
                </c:pt>
                <c:pt idx="196">
                  <c:v>3.3837175350986671E-12</c:v>
                </c:pt>
                <c:pt idx="197">
                  <c:v>3.3837175350986671E-12</c:v>
                </c:pt>
                <c:pt idx="198">
                  <c:v>3.3837175350986671E-12</c:v>
                </c:pt>
                <c:pt idx="199">
                  <c:v>3.3837175350986671E-12</c:v>
                </c:pt>
                <c:pt idx="200">
                  <c:v>3.3837175350986671E-12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2.349628490596567</c:v>
                </c:pt>
                <c:pt idx="2">
                  <c:v>2.9259256206466504</c:v>
                </c:pt>
                <c:pt idx="3">
                  <c:v>3.6441213224988154</c:v>
                </c:pt>
                <c:pt idx="4">
                  <c:v>4.5392821358126039</c:v>
                </c:pt>
                <c:pt idx="5">
                  <c:v>5.655169916466896</c:v>
                </c:pt>
                <c:pt idx="6">
                  <c:v>7.0464047911606214</c:v>
                </c:pt>
                <c:pt idx="7">
                  <c:v>8.7811677106875958</c:v>
                </c:pt>
                <c:pt idx="8">
                  <c:v>10.944577575687909</c:v>
                </c:pt>
                <c:pt idx="9">
                  <c:v>13.642911752567786</c:v>
                </c:pt>
                <c:pt idx="10">
                  <c:v>17.008881145982745</c:v>
                </c:pt>
                <c:pt idx="11">
                  <c:v>21.208223989256144</c:v>
                </c:pt>
                <c:pt idx="12">
                  <c:v>26.447948836985294</c:v>
                </c:pt>
                <c:pt idx="13">
                  <c:v>32.986640253138752</c:v>
                </c:pt>
                <c:pt idx="14">
                  <c:v>41.147344589078159</c:v>
                </c:pt>
                <c:pt idx="15">
                  <c:v>51.333683306965732</c:v>
                </c:pt>
                <c:pt idx="16">
                  <c:v>64.050004123192423</c:v>
                </c:pt>
                <c:pt idx="17">
                  <c:v>79.926584088955266</c:v>
                </c:pt>
                <c:pt idx="18">
                  <c:v>99.75115394475516</c:v>
                </c:pt>
                <c:pt idx="19">
                  <c:v>124.50833265340184</c:v>
                </c:pt>
                <c:pt idx="20">
                  <c:v>155.42896118281021</c:v>
                </c:pt>
                <c:pt idx="21">
                  <c:v>106.11321895292241</c:v>
                </c:pt>
                <c:pt idx="22">
                  <c:v>125.70235128325668</c:v>
                </c:pt>
                <c:pt idx="23">
                  <c:v>145.21730655264767</c:v>
                </c:pt>
                <c:pt idx="24">
                  <c:v>164.6694744129513</c:v>
                </c:pt>
                <c:pt idx="25">
                  <c:v>184.06732332114089</c:v>
                </c:pt>
                <c:pt idx="26">
                  <c:v>203.41738632243278</c:v>
                </c:pt>
                <c:pt idx="27">
                  <c:v>222.72484977014358</c:v>
                </c:pt>
                <c:pt idx="28">
                  <c:v>241.99392627286227</c:v>
                </c:pt>
                <c:pt idx="29">
                  <c:v>261.22810222114185</c:v>
                </c:pt>
                <c:pt idx="30">
                  <c:v>280.43030840202363</c:v>
                </c:pt>
                <c:pt idx="31">
                  <c:v>208.16889650289264</c:v>
                </c:pt>
                <c:pt idx="32">
                  <c:v>224.30567506188856</c:v>
                </c:pt>
                <c:pt idx="33">
                  <c:v>240.41585018926619</c:v>
                </c:pt>
                <c:pt idx="34">
                  <c:v>256.50145569815317</c:v>
                </c:pt>
                <c:pt idx="35">
                  <c:v>272.56424935870956</c:v>
                </c:pt>
                <c:pt idx="36">
                  <c:v>288.60576477216404</c:v>
                </c:pt>
                <c:pt idx="37">
                  <c:v>304.62735109477933</c:v>
                </c:pt>
                <c:pt idx="38">
                  <c:v>320.63020395999393</c:v>
                </c:pt>
                <c:pt idx="39">
                  <c:v>336.61538989990396</c:v>
                </c:pt>
                <c:pt idx="40">
                  <c:v>352.58386588275079</c:v>
                </c:pt>
                <c:pt idx="41">
                  <c:v>276.8125452574306</c:v>
                </c:pt>
                <c:pt idx="42">
                  <c:v>288.92010093948954</c:v>
                </c:pt>
                <c:pt idx="43">
                  <c:v>301.01631675201418</c:v>
                </c:pt>
                <c:pt idx="44">
                  <c:v>313.10171275693489</c:v>
                </c:pt>
                <c:pt idx="45">
                  <c:v>325.17676557494673</c:v>
                </c:pt>
                <c:pt idx="46">
                  <c:v>337.24191352703059</c:v>
                </c:pt>
                <c:pt idx="47">
                  <c:v>349.29756100142686</c:v>
                </c:pt>
                <c:pt idx="48">
                  <c:v>361.3440821859968</c:v>
                </c:pt>
                <c:pt idx="49">
                  <c:v>373.38182427670745</c:v>
                </c:pt>
                <c:pt idx="50">
                  <c:v>385.41111025063793</c:v>
                </c:pt>
                <c:pt idx="51">
                  <c:v>333.16904934303881</c:v>
                </c:pt>
                <c:pt idx="52">
                  <c:v>341.94002746741876</c:v>
                </c:pt>
                <c:pt idx="53">
                  <c:v>350.70606005556914</c:v>
                </c:pt>
                <c:pt idx="54">
                  <c:v>359.46728823872041</c:v>
                </c:pt>
                <c:pt idx="55">
                  <c:v>368.22384570264654</c:v>
                </c:pt>
                <c:pt idx="56">
                  <c:v>376.97585925203225</c:v>
                </c:pt>
                <c:pt idx="57">
                  <c:v>385.72344931967217</c:v>
                </c:pt>
                <c:pt idx="58">
                  <c:v>394.46673042704816</c:v>
                </c:pt>
                <c:pt idx="59">
                  <c:v>403.20581160192432</c:v>
                </c:pt>
                <c:pt idx="60">
                  <c:v>411.94079675783877</c:v>
                </c:pt>
                <c:pt idx="61">
                  <c:v>379.31939262997997</c:v>
                </c:pt>
                <c:pt idx="62">
                  <c:v>385.72344931967223</c:v>
                </c:pt>
                <c:pt idx="63">
                  <c:v>392.12519637753098</c:v>
                </c:pt>
                <c:pt idx="64">
                  <c:v>398.5246768628835</c:v>
                </c:pt>
                <c:pt idx="65">
                  <c:v>404.92193233814868</c:v>
                </c:pt>
                <c:pt idx="66">
                  <c:v>411.3170029442274</c:v>
                </c:pt>
                <c:pt idx="67">
                  <c:v>417.70992747095789</c:v>
                </c:pt>
                <c:pt idx="68">
                  <c:v>424.10074342303113</c:v>
                </c:pt>
                <c:pt idx="69">
                  <c:v>430.48948708172276</c:v>
                </c:pt>
                <c:pt idx="70">
                  <c:v>436.87619356276872</c:v>
                </c:pt>
                <c:pt idx="71">
                  <c:v>408.9775939369726</c:v>
                </c:pt>
                <c:pt idx="72">
                  <c:v>413.81205599750388</c:v>
                </c:pt>
                <c:pt idx="73">
                  <c:v>418.6452996581101</c:v>
                </c:pt>
                <c:pt idx="74">
                  <c:v>423.47734098430948</c:v>
                </c:pt>
                <c:pt idx="75">
                  <c:v>428.30819564471432</c:v>
                </c:pt>
                <c:pt idx="76">
                  <c:v>433.13787892530354</c:v>
                </c:pt>
                <c:pt idx="77">
                  <c:v>437.96640574302529</c:v>
                </c:pt>
                <c:pt idx="78">
                  <c:v>442.7937906587685</c:v>
                </c:pt>
                <c:pt idx="79">
                  <c:v>447.62004788973678</c:v>
                </c:pt>
                <c:pt idx="80">
                  <c:v>452.44519132126362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4.7501668593059909</c:v>
                </c:pt>
                <c:pt idx="2">
                  <c:v>9.781033106021189</c:v>
                </c:pt>
                <c:pt idx="3">
                  <c:v>20.170912404444724</c:v>
                </c:pt>
                <c:pt idx="4">
                  <c:v>41.658684339935661</c:v>
                </c:pt>
                <c:pt idx="5">
                  <c:v>86.158510470515978</c:v>
                </c:pt>
                <c:pt idx="6">
                  <c:v>93.33694261924164</c:v>
                </c:pt>
                <c:pt idx="7">
                  <c:v>126.27510860866158</c:v>
                </c:pt>
                <c:pt idx="8">
                  <c:v>159.00328247325112</c:v>
                </c:pt>
                <c:pt idx="9">
                  <c:v>191.57108695772345</c:v>
                </c:pt>
                <c:pt idx="10">
                  <c:v>224.00971024958213</c:v>
                </c:pt>
                <c:pt idx="11">
                  <c:v>171.57654976527132</c:v>
                </c:pt>
                <c:pt idx="12">
                  <c:v>199.39850383471867</c:v>
                </c:pt>
                <c:pt idx="13">
                  <c:v>227.1303449649258</c:v>
                </c:pt>
                <c:pt idx="14">
                  <c:v>254.78462730699016</c:v>
                </c:pt>
                <c:pt idx="15">
                  <c:v>282.37095153600734</c:v>
                </c:pt>
                <c:pt idx="16">
                  <c:v>249.72650127853672</c:v>
                </c:pt>
                <c:pt idx="17">
                  <c:v>271.49943214721333</c:v>
                </c:pt>
                <c:pt idx="18">
                  <c:v>293.23309465560823</c:v>
                </c:pt>
                <c:pt idx="19">
                  <c:v>314.93080732119182</c:v>
                </c:pt>
                <c:pt idx="20">
                  <c:v>336.59539404232521</c:v>
                </c:pt>
                <c:pt idx="21">
                  <c:v>314.54364642285981</c:v>
                </c:pt>
                <c:pt idx="22">
                  <c:v>331.18221405363937</c:v>
                </c:pt>
                <c:pt idx="23">
                  <c:v>347.80235114634814</c:v>
                </c:pt>
                <c:pt idx="24">
                  <c:v>364.40506221560372</c:v>
                </c:pt>
                <c:pt idx="25">
                  <c:v>380.99125278423679</c:v>
                </c:pt>
                <c:pt idx="26">
                  <c:v>367.10624290364035</c:v>
                </c:pt>
                <c:pt idx="27">
                  <c:v>380.22015624917958</c:v>
                </c:pt>
                <c:pt idx="28">
                  <c:v>393.32423243211684</c:v>
                </c:pt>
                <c:pt idx="29">
                  <c:v>406.41884537601385</c:v>
                </c:pt>
                <c:pt idx="30">
                  <c:v>419.50434294248203</c:v>
                </c:pt>
                <c:pt idx="31">
                  <c:v>408.34374690780288</c:v>
                </c:pt>
                <c:pt idx="32">
                  <c:v>418.35009841196273</c:v>
                </c:pt>
                <c:pt idx="33">
                  <c:v>428.35129337702142</c:v>
                </c:pt>
                <c:pt idx="34">
                  <c:v>438.34746920790479</c:v>
                </c:pt>
                <c:pt idx="35">
                  <c:v>448.33875652973478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2.9974315763059121</c:v>
                </c:pt>
                <c:pt idx="2">
                  <c:v>3.4845337529671969</c:v>
                </c:pt>
                <c:pt idx="3">
                  <c:v>4.0510782789769495</c:v>
                </c:pt>
                <c:pt idx="4">
                  <c:v>4.710065438094821</c:v>
                </c:pt>
                <c:pt idx="5">
                  <c:v>5.476629669407739</c:v>
                </c:pt>
                <c:pt idx="6">
                  <c:v>6.3683909445411908</c:v>
                </c:pt>
                <c:pt idx="7">
                  <c:v>7.4058641541603079</c:v>
                </c:pt>
                <c:pt idx="8">
                  <c:v>8.6129361044315829</c:v>
                </c:pt>
                <c:pt idx="9">
                  <c:v>10.017421316663141</c:v>
                </c:pt>
                <c:pt idx="10">
                  <c:v>11.65170968060495</c:v>
                </c:pt>
                <c:pt idx="11">
                  <c:v>13.553521177953826</c:v>
                </c:pt>
                <c:pt idx="12">
                  <c:v>15.766785418909523</c:v>
                </c:pt>
                <c:pt idx="13">
                  <c:v>18.342666681188227</c:v>
                </c:pt>
                <c:pt idx="14">
                  <c:v>21.340758577754681</c:v>
                </c:pt>
                <c:pt idx="15">
                  <c:v>24.830476488412277</c:v>
                </c:pt>
                <c:pt idx="16">
                  <c:v>28.892680566663927</c:v>
                </c:pt>
                <c:pt idx="17">
                  <c:v>33.621567588223691</c:v>
                </c:pt>
                <c:pt idx="18">
                  <c:v>39.126876271110284</c:v>
                </c:pt>
                <c:pt idx="19">
                  <c:v>45.536458120973201</c:v>
                </c:pt>
                <c:pt idx="20">
                  <c:v>52.999274516109828</c:v>
                </c:pt>
                <c:pt idx="21">
                  <c:v>61.68889085100674</c:v>
                </c:pt>
                <c:pt idx="22">
                  <c:v>71.807550346181259</c:v>
                </c:pt>
                <c:pt idx="23">
                  <c:v>83.590923886895695</c:v>
                </c:pt>
                <c:pt idx="24">
                  <c:v>97.313648302293402</c:v>
                </c:pt>
                <c:pt idx="25">
                  <c:v>113.29578422289764</c:v>
                </c:pt>
                <c:pt idx="26">
                  <c:v>131.91034650556398</c:v>
                </c:pt>
                <c:pt idx="27">
                  <c:v>153.59208571306985</c:v>
                </c:pt>
                <c:pt idx="28">
                  <c:v>178.84772889012743</c:v>
                </c:pt>
                <c:pt idx="29">
                  <c:v>208.26792260030109</c:v>
                </c:pt>
                <c:pt idx="30">
                  <c:v>242.5411617098018</c:v>
                </c:pt>
                <c:pt idx="31">
                  <c:v>260.72829270329612</c:v>
                </c:pt>
                <c:pt idx="32">
                  <c:v>278.88678027782959</c:v>
                </c:pt>
                <c:pt idx="33">
                  <c:v>297.01875151773726</c:v>
                </c:pt>
                <c:pt idx="34">
                  <c:v>315.12605256353282</c:v>
                </c:pt>
                <c:pt idx="35">
                  <c:v>267.74028625230409</c:v>
                </c:pt>
                <c:pt idx="36">
                  <c:v>289.08283935417683</c:v>
                </c:pt>
                <c:pt idx="37">
                  <c:v>310.39017749785035</c:v>
                </c:pt>
                <c:pt idx="38">
                  <c:v>331.66505692962431</c:v>
                </c:pt>
                <c:pt idx="39">
                  <c:v>352.90985146607812</c:v>
                </c:pt>
                <c:pt idx="40">
                  <c:v>374.12662586444998</c:v>
                </c:pt>
                <c:pt idx="41">
                  <c:v>395.31719166884869</c:v>
                </c:pt>
                <c:pt idx="42">
                  <c:v>416.48315045167465</c:v>
                </c:pt>
                <c:pt idx="43">
                  <c:v>340.30251384897196</c:v>
                </c:pt>
                <c:pt idx="44">
                  <c:v>361.8199020438098</c:v>
                </c:pt>
                <c:pt idx="45">
                  <c:v>383.30932376432725</c:v>
                </c:pt>
                <c:pt idx="46">
                  <c:v>404.77256638639187</c:v>
                </c:pt>
                <c:pt idx="47">
                  <c:v>426.21121236078301</c:v>
                </c:pt>
                <c:pt idx="48">
                  <c:v>447.62667204523387</c:v>
                </c:pt>
                <c:pt idx="49">
                  <c:v>469.02020992565139</c:v>
                </c:pt>
                <c:pt idx="50">
                  <c:v>490.39296580436968</c:v>
                </c:pt>
                <c:pt idx="51">
                  <c:v>398.61363500790065</c:v>
                </c:pt>
                <c:pt idx="52">
                  <c:v>419.44768263313517</c:v>
                </c:pt>
                <c:pt idx="53">
                  <c:v>440.25944463759407</c:v>
                </c:pt>
                <c:pt idx="54">
                  <c:v>461.05012196058482</c:v>
                </c:pt>
                <c:pt idx="55">
                  <c:v>481.82079846571759</c:v>
                </c:pt>
                <c:pt idx="56">
                  <c:v>502.57245701188526</c:v>
                </c:pt>
                <c:pt idx="57">
                  <c:v>523.30599273245093</c:v>
                </c:pt>
                <c:pt idx="58">
                  <c:v>544.02222410117713</c:v>
                </c:pt>
                <c:pt idx="59">
                  <c:v>461.88622201650156</c:v>
                </c:pt>
                <c:pt idx="60">
                  <c:v>481.71745820316823</c:v>
                </c:pt>
                <c:pt idx="61">
                  <c:v>501.53135361473227</c:v>
                </c:pt>
                <c:pt idx="62">
                  <c:v>521.32868923852891</c:v>
                </c:pt>
                <c:pt idx="63">
                  <c:v>541.11018195217696</c:v>
                </c:pt>
                <c:pt idx="64">
                  <c:v>560.87649198510837</c:v>
                </c:pt>
                <c:pt idx="65">
                  <c:v>580.62822927408149</c:v>
                </c:pt>
                <c:pt idx="66">
                  <c:v>600.36595890940828</c:v>
                </c:pt>
                <c:pt idx="67">
                  <c:v>502.94070414101151</c:v>
                </c:pt>
                <c:pt idx="68">
                  <c:v>521.59004623311682</c:v>
                </c:pt>
                <c:pt idx="69">
                  <c:v>540.2253370655734</c:v>
                </c:pt>
                <c:pt idx="70">
                  <c:v>558.84712923056668</c:v>
                </c:pt>
                <c:pt idx="71">
                  <c:v>577.45593551729269</c:v>
                </c:pt>
                <c:pt idx="72">
                  <c:v>596.05223299534885</c:v>
                </c:pt>
                <c:pt idx="73">
                  <c:v>614.63646656233891</c:v>
                </c:pt>
                <c:pt idx="74">
                  <c:v>633.20905204038047</c:v>
                </c:pt>
                <c:pt idx="75">
                  <c:v>537.81290608181098</c:v>
                </c:pt>
                <c:pt idx="76">
                  <c:v>555.33744368026464</c:v>
                </c:pt>
                <c:pt idx="77">
                  <c:v>572.85040048774454</c:v>
                </c:pt>
                <c:pt idx="78">
                  <c:v>590.35218015811222</c:v>
                </c:pt>
                <c:pt idx="79">
                  <c:v>607.84316047689174</c:v>
                </c:pt>
                <c:pt idx="80">
                  <c:v>625.32369573093172</c:v>
                </c:pt>
                <c:pt idx="81">
                  <c:v>642.79411879949566</c:v>
                </c:pt>
                <c:pt idx="82">
                  <c:v>660.25474300635346</c:v>
                </c:pt>
                <c:pt idx="83">
                  <c:v>590.76891945364571</c:v>
                </c:pt>
                <c:pt idx="84">
                  <c:v>607.60320673099829</c:v>
                </c:pt>
                <c:pt idx="85">
                  <c:v>624.42781422919745</c:v>
                </c:pt>
                <c:pt idx="86">
                  <c:v>641.24303930474116</c:v>
                </c:pt>
                <c:pt idx="87">
                  <c:v>658.04916245917707</c:v>
                </c:pt>
                <c:pt idx="88">
                  <c:v>674.84644870935722</c:v>
                </c:pt>
                <c:pt idx="89">
                  <c:v>691.63514881427307</c:v>
                </c:pt>
                <c:pt idx="90">
                  <c:v>708.41550037667423</c:v>
                </c:pt>
                <c:pt idx="91">
                  <c:v>623.61207641403485</c:v>
                </c:pt>
                <c:pt idx="92">
                  <c:v>639.82816810516135</c:v>
                </c:pt>
                <c:pt idx="93">
                  <c:v>656.03577424959133</c:v>
                </c:pt>
                <c:pt idx="94">
                  <c:v>672.23513386177876</c:v>
                </c:pt>
                <c:pt idx="95">
                  <c:v>688.4264735062676</c:v>
                </c:pt>
                <c:pt idx="96">
                  <c:v>704.61000822975029</c:v>
                </c:pt>
                <c:pt idx="97">
                  <c:v>720.78594240311315</c:v>
                </c:pt>
                <c:pt idx="98">
                  <c:v>736.95447048402605</c:v>
                </c:pt>
                <c:pt idx="99">
                  <c:v>753.11577770918359</c:v>
                </c:pt>
                <c:pt idx="100">
                  <c:v>769.27004072409318</c:v>
                </c:pt>
                <c:pt idx="101">
                  <c:v>648.73133604022132</c:v>
                </c:pt>
                <c:pt idx="102">
                  <c:v>664.25964876321927</c:v>
                </c:pt>
                <c:pt idx="103">
                  <c:v>679.78049469737095</c:v>
                </c:pt>
                <c:pt idx="104">
                  <c:v>695.29406821897646</c:v>
                </c:pt>
                <c:pt idx="105">
                  <c:v>710.80055432967572</c:v>
                </c:pt>
                <c:pt idx="106">
                  <c:v>726.30012930743453</c:v>
                </c:pt>
                <c:pt idx="107">
                  <c:v>741.792961299117</c:v>
                </c:pt>
                <c:pt idx="108">
                  <c:v>757.2792108610189</c:v>
                </c:pt>
                <c:pt idx="109">
                  <c:v>772.75903145292807</c:v>
                </c:pt>
                <c:pt idx="110">
                  <c:v>788.23256989057256</c:v>
                </c:pt>
                <c:pt idx="111">
                  <c:v>696.89521268770659</c:v>
                </c:pt>
                <c:pt idx="112">
                  <c:v>712.19597420058608</c:v>
                </c:pt>
                <c:pt idx="113">
                  <c:v>727.49002122858758</c:v>
                </c:pt>
                <c:pt idx="114">
                  <c:v>742.77751470651219</c:v>
                </c:pt>
                <c:pt idx="115">
                  <c:v>758.05860840987009</c:v>
                </c:pt>
                <c:pt idx="116">
                  <c:v>773.3334494142282</c:v>
                </c:pt>
                <c:pt idx="117">
                  <c:v>788.60217851640891</c:v>
                </c:pt>
                <c:pt idx="118">
                  <c:v>803.86493062140528</c:v>
                </c:pt>
                <c:pt idx="119">
                  <c:v>819.12183509840895</c:v>
                </c:pt>
                <c:pt idx="120">
                  <c:v>834.37301610896054</c:v>
                </c:pt>
                <c:pt idx="121">
                  <c:v>754.05224956693019</c:v>
                </c:pt>
                <c:pt idx="122">
                  <c:v>769.32462263062769</c:v>
                </c:pt>
                <c:pt idx="123">
                  <c:v>784.59085071610809</c:v>
                </c:pt>
                <c:pt idx="124">
                  <c:v>799.85107013031484</c:v>
                </c:pt>
                <c:pt idx="125">
                  <c:v>815.10541155969076</c:v>
                </c:pt>
                <c:pt idx="126">
                  <c:v>830.35400040493721</c:v>
                </c:pt>
                <c:pt idx="127">
                  <c:v>845.59695708992922</c:v>
                </c:pt>
                <c:pt idx="128">
                  <c:v>860.83439734722162</c:v>
                </c:pt>
                <c:pt idx="129">
                  <c:v>876.06643248231092</c:v>
                </c:pt>
                <c:pt idx="130">
                  <c:v>891.29316961858092</c:v>
                </c:pt>
                <c:pt idx="131">
                  <c:v>797.47582945186105</c:v>
                </c:pt>
                <c:pt idx="132">
                  <c:v>812.83739401357309</c:v>
                </c:pt>
                <c:pt idx="133">
                  <c:v>828.1931069270812</c:v>
                </c:pt>
                <c:pt idx="134">
                  <c:v>843.54309187193212</c:v>
                </c:pt>
                <c:pt idx="135">
                  <c:v>858.8874676638942</c:v>
                </c:pt>
                <c:pt idx="136">
                  <c:v>874.22634853148111</c:v>
                </c:pt>
                <c:pt idx="137">
                  <c:v>889.55984437208008</c:v>
                </c:pt>
                <c:pt idx="138">
                  <c:v>904.88806098952307</c:v>
                </c:pt>
                <c:pt idx="139">
                  <c:v>920.21110031473916</c:v>
                </c:pt>
                <c:pt idx="140">
                  <c:v>935.52906061096826</c:v>
                </c:pt>
                <c:pt idx="141">
                  <c:v>843.75965135904744</c:v>
                </c:pt>
                <c:pt idx="142">
                  <c:v>859.12164849895373</c:v>
                </c:pt>
                <c:pt idx="143">
                  <c:v>874.47813974063922</c:v>
                </c:pt>
                <c:pt idx="144">
                  <c:v>889.82923529548418</c:v>
                </c:pt>
                <c:pt idx="145">
                  <c:v>905.17504126615529</c:v>
                </c:pt>
                <c:pt idx="146">
                  <c:v>920.51565986826063</c:v>
                </c:pt>
                <c:pt idx="147">
                  <c:v>935.85118963647767</c:v>
                </c:pt>
                <c:pt idx="148">
                  <c:v>951.18172561648464</c:v>
                </c:pt>
                <c:pt idx="149">
                  <c:v>966.50735954388858</c:v>
                </c:pt>
                <c:pt idx="150">
                  <c:v>981.82818001123132</c:v>
                </c:pt>
                <c:pt idx="151">
                  <c:v>614.40228004928713</c:v>
                </c:pt>
                <c:pt idx="152">
                  <c:v>627.28095311503967</c:v>
                </c:pt>
                <c:pt idx="153">
                  <c:v>640.15415577029569</c:v>
                </c:pt>
                <c:pt idx="154">
                  <c:v>420.15937943019225</c:v>
                </c:pt>
                <c:pt idx="155">
                  <c:v>426.03161851040176</c:v>
                </c:pt>
                <c:pt idx="156">
                  <c:v>431.902116645658</c:v>
                </c:pt>
                <c:pt idx="157">
                  <c:v>294.62699092336396</c:v>
                </c:pt>
                <c:pt idx="158">
                  <c:v>298.10830475285985</c:v>
                </c:pt>
                <c:pt idx="159">
                  <c:v>301.58871245387547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3.1750294788992068</c:v>
                </c:pt>
                <c:pt idx="2">
                  <c:v>3.6910919931491044</c:v>
                </c:pt>
                <c:pt idx="3">
                  <c:v>4.2913353719878335</c:v>
                </c:pt>
                <c:pt idx="4">
                  <c:v>4.9895376807242604</c:v>
                </c:pt>
                <c:pt idx="5">
                  <c:v>5.8017391817601833</c:v>
                </c:pt>
                <c:pt idx="6">
                  <c:v>6.7466148479725332</c:v>
                </c:pt>
                <c:pt idx="7">
                  <c:v>7.8459083831066669</c:v>
                </c:pt>
                <c:pt idx="8">
                  <c:v>9.1249379299940703</c:v>
                </c:pt>
                <c:pt idx="9">
                  <c:v>10.613185336379239</c:v>
                </c:pt>
                <c:pt idx="10">
                  <c:v>12.344982817884386</c:v>
                </c:pt>
                <c:pt idx="11">
                  <c:v>14.360313154919739</c:v>
                </c:pt>
                <c:pt idx="12">
                  <c:v>16.705742239724543</c:v>
                </c:pt>
                <c:pt idx="13">
                  <c:v>19.435505914868543</c:v>
                </c:pt>
                <c:pt idx="14">
                  <c:v>22.612776689749399</c:v>
                </c:pt>
                <c:pt idx="15">
                  <c:v>26.31114017358578</c:v>
                </c:pt>
                <c:pt idx="16">
                  <c:v>30.616316023301135</c:v>
                </c:pt>
                <c:pt idx="17">
                  <c:v>35.628163990588291</c:v>
                </c:pt>
                <c:pt idx="18">
                  <c:v>41.463022402130669</c:v>
                </c:pt>
                <c:pt idx="19">
                  <c:v>48.256434281244275</c:v>
                </c:pt>
                <c:pt idx="20">
                  <c:v>56.166325505777564</c:v>
                </c:pt>
                <c:pt idx="21">
                  <c:v>65.376710115018028</c:v>
                </c:pt>
                <c:pt idx="22">
                  <c:v>76.10201038327294</c:v>
                </c:pt>
                <c:pt idx="23">
                  <c:v>88.59209386813518</c:v>
                </c:pt>
                <c:pt idx="24">
                  <c:v>103.13814666553634</c:v>
                </c:pt>
                <c:pt idx="25">
                  <c:v>120.07952196810542</c:v>
                </c:pt>
                <c:pt idx="26">
                  <c:v>139.81172620269373</c:v>
                </c:pt>
                <c:pt idx="27">
                  <c:v>162.79573207119799</c:v>
                </c:pt>
                <c:pt idx="28">
                  <c:v>189.56883938272958</c:v>
                </c:pt>
                <c:pt idx="29">
                  <c:v>220.75734139970089</c:v>
                </c:pt>
                <c:pt idx="30">
                  <c:v>257.09129740687081</c:v>
                </c:pt>
                <c:pt idx="31">
                  <c:v>276.3722235101568</c:v>
                </c:pt>
                <c:pt idx="32">
                  <c:v>295.62295415205625</c:v>
                </c:pt>
                <c:pt idx="33">
                  <c:v>314.84573167287726</c:v>
                </c:pt>
                <c:pt idx="34">
                  <c:v>334.04250224617823</c:v>
                </c:pt>
                <c:pt idx="35">
                  <c:v>283.80597283534524</c:v>
                </c:pt>
                <c:pt idx="36">
                  <c:v>306.43238201627724</c:v>
                </c:pt>
                <c:pt idx="37">
                  <c:v>329.02166811801311</c:v>
                </c:pt>
                <c:pt idx="38">
                  <c:v>351.57673673393964</c:v>
                </c:pt>
                <c:pt idx="39">
                  <c:v>374.10009030578584</c:v>
                </c:pt>
                <c:pt idx="40">
                  <c:v>396.59390546957184</c:v>
                </c:pt>
                <c:pt idx="41">
                  <c:v>419.06009192784649</c:v>
                </c:pt>
                <c:pt idx="42">
                  <c:v>441.50033803414135</c:v>
                </c:pt>
                <c:pt idx="43">
                  <c:v>360.73399401626989</c:v>
                </c:pt>
                <c:pt idx="44">
                  <c:v>383.54641830204497</c:v>
                </c:pt>
                <c:pt idx="45">
                  <c:v>406.32936075129027</c:v>
                </c:pt>
                <c:pt idx="46">
                  <c:v>429.0847055887578</c:v>
                </c:pt>
                <c:pt idx="47">
                  <c:v>451.81412101025444</c:v>
                </c:pt>
                <c:pt idx="48">
                  <c:v>474.51909379368664</c:v>
                </c:pt>
                <c:pt idx="49">
                  <c:v>497.20095694107573</c:v>
                </c:pt>
                <c:pt idx="50">
                  <c:v>519.86091201489637</c:v>
                </c:pt>
                <c:pt idx="51">
                  <c:v>422.55498669568107</c:v>
                </c:pt>
                <c:pt idx="52">
                  <c:v>444.6433599173472</c:v>
                </c:pt>
                <c:pt idx="53">
                  <c:v>466.70823997283372</c:v>
                </c:pt>
                <c:pt idx="54">
                  <c:v>488.75089287429233</c:v>
                </c:pt>
                <c:pt idx="55">
                  <c:v>510.77246121443682</c:v>
                </c:pt>
                <c:pt idx="56">
                  <c:v>532.77398110832689</c:v>
                </c:pt>
                <c:pt idx="57">
                  <c:v>554.75639619208812</c:v>
                </c:pt>
                <c:pt idx="58">
                  <c:v>576.72056928844881</c:v>
                </c:pt>
                <c:pt idx="59">
                  <c:v>489.63734387362427</c:v>
                </c:pt>
                <c:pt idx="60">
                  <c:v>510.66289710570976</c:v>
                </c:pt>
                <c:pt idx="61">
                  <c:v>531.67016995353822</c:v>
                </c:pt>
                <c:pt idx="62">
                  <c:v>552.65998572221076</c:v>
                </c:pt>
                <c:pt idx="63">
                  <c:v>573.63310013332932</c:v>
                </c:pt>
                <c:pt idx="64">
                  <c:v>594.59020919082855</c:v>
                </c:pt>
                <c:pt idx="65">
                  <c:v>615.5319558808643</c:v>
                </c:pt>
                <c:pt idx="66">
                  <c:v>636.4589359131428</c:v>
                </c:pt>
                <c:pt idx="67">
                  <c:v>533.16440857094369</c:v>
                </c:pt>
                <c:pt idx="68">
                  <c:v>552.93708604250048</c:v>
                </c:pt>
                <c:pt idx="69">
                  <c:v>572.69495088750807</c:v>
                </c:pt>
                <c:pt idx="70">
                  <c:v>592.43858564033621</c:v>
                </c:pt>
                <c:pt idx="71">
                  <c:v>612.16853087564061</c:v>
                </c:pt>
                <c:pt idx="72">
                  <c:v>631.88528951301521</c:v>
                </c:pt>
                <c:pt idx="73">
                  <c:v>651.58933055682076</c:v>
                </c:pt>
                <c:pt idx="74">
                  <c:v>671.28109236047862</c:v>
                </c:pt>
                <c:pt idx="75">
                  <c:v>570.13719244583342</c:v>
                </c:pt>
                <c:pt idx="76">
                  <c:v>588.7174581166654</c:v>
                </c:pt>
                <c:pt idx="77">
                  <c:v>607.28551549186204</c:v>
                </c:pt>
                <c:pt idx="78">
                  <c:v>625.84179009725256</c:v>
                </c:pt>
                <c:pt idx="79">
                  <c:v>644.3866801886528</c:v>
                </c:pt>
                <c:pt idx="80">
                  <c:v>662.9205592499294</c:v>
                </c:pt>
                <c:pt idx="81">
                  <c:v>681.44377819739464</c:v>
                </c:pt>
                <c:pt idx="82">
                  <c:v>699.95666733225289</c:v>
                </c:pt>
                <c:pt idx="83">
                  <c:v>626.28363904550076</c:v>
                </c:pt>
                <c:pt idx="84">
                  <c:v>644.13226772286669</c:v>
                </c:pt>
                <c:pt idx="85">
                  <c:v>661.97069212266229</c:v>
                </c:pt>
                <c:pt idx="86">
                  <c:v>679.79922571363329</c:v>
                </c:pt>
                <c:pt idx="87">
                  <c:v>697.6181641962927</c:v>
                </c:pt>
                <c:pt idx="88">
                  <c:v>715.42778694741855</c:v>
                </c:pt>
                <c:pt idx="89">
                  <c:v>733.22835831336818</c:v>
                </c:pt>
                <c:pt idx="90">
                  <c:v>751.02012877138588</c:v>
                </c:pt>
                <c:pt idx="91">
                  <c:v>661.10579826380388</c:v>
                </c:pt>
                <c:pt idx="92">
                  <c:v>678.29909028126792</c:v>
                </c:pt>
                <c:pt idx="93">
                  <c:v>695.48343696305244</c:v>
                </c:pt>
                <c:pt idx="94">
                  <c:v>712.65909027459929</c:v>
                </c:pt>
                <c:pt idx="95">
                  <c:v>729.82628905684226</c:v>
                </c:pt>
                <c:pt idx="96">
                  <c:v>746.98526000876984</c:v>
                </c:pt>
                <c:pt idx="97">
                  <c:v>764.136218575096</c:v>
                </c:pt>
                <c:pt idx="98">
                  <c:v>781.27936975017099</c:v>
                </c:pt>
                <c:pt idx="99">
                  <c:v>798.41490880773142</c:v>
                </c:pt>
                <c:pt idx="100">
                  <c:v>815.54302196481422</c:v>
                </c:pt>
                <c:pt idx="101">
                  <c:v>687.73879538242954</c:v>
                </c:pt>
                <c:pt idx="102">
                  <c:v>704.2029370414416</c:v>
                </c:pt>
                <c:pt idx="103">
                  <c:v>720.65920732397524</c:v>
                </c:pt>
                <c:pt idx="104">
                  <c:v>737.10781113860082</c:v>
                </c:pt>
                <c:pt idx="105">
                  <c:v>753.54894351126461</c:v>
                </c:pt>
                <c:pt idx="106">
                  <c:v>769.98279027154695</c:v>
                </c:pt>
                <c:pt idx="107">
                  <c:v>786.40952867734177</c:v>
                </c:pt>
                <c:pt idx="108">
                  <c:v>802.82932798468153</c:v>
                </c:pt>
                <c:pt idx="109">
                  <c:v>819.24234996856546</c:v>
                </c:pt>
                <c:pt idx="110">
                  <c:v>835.6487493999258</c:v>
                </c:pt>
                <c:pt idx="111">
                  <c:v>738.80546186882736</c:v>
                </c:pt>
                <c:pt idx="112">
                  <c:v>755.02847374819385</c:v>
                </c:pt>
                <c:pt idx="113">
                  <c:v>771.2444073186083</c:v>
                </c:pt>
                <c:pt idx="114">
                  <c:v>787.45343223511611</c:v>
                </c:pt>
                <c:pt idx="115">
                  <c:v>803.65571060554782</c:v>
                </c:pt>
                <c:pt idx="116">
                  <c:v>819.85139747475216</c:v>
                </c:pt>
                <c:pt idx="117">
                  <c:v>836.04064126862306</c:v>
                </c:pt>
                <c:pt idx="118">
                  <c:v>852.22358420197395</c:v>
                </c:pt>
                <c:pt idx="119">
                  <c:v>868.40036265386004</c:v>
                </c:pt>
                <c:pt idx="120">
                  <c:v>884.57110751351047</c:v>
                </c:pt>
                <c:pt idx="121">
                  <c:v>799.40783415185888</c:v>
                </c:pt>
                <c:pt idx="122">
                  <c:v>815.60089438080468</c:v>
                </c:pt>
                <c:pt idx="123">
                  <c:v>831.787476666153</c:v>
                </c:pt>
                <c:pt idx="124">
                  <c:v>847.96772470063286</c:v>
                </c:pt>
                <c:pt idx="125">
                  <c:v>864.14177625192588</c:v>
                </c:pt>
                <c:pt idx="126">
                  <c:v>880.30976351556603</c:v>
                </c:pt>
                <c:pt idx="127">
                  <c:v>896.47181344059027</c:v>
                </c:pt>
                <c:pt idx="128">
                  <c:v>912.62804803051722</c:v>
                </c:pt>
                <c:pt idx="129">
                  <c:v>928.77858462192614</c:v>
                </c:pt>
                <c:pt idx="130">
                  <c:v>944.92353614267756</c:v>
                </c:pt>
                <c:pt idx="131">
                  <c:v>845.44927994150066</c:v>
                </c:pt>
                <c:pt idx="132">
                  <c:v>861.73701383878017</c:v>
                </c:pt>
                <c:pt idx="133">
                  <c:v>878.01857901654955</c:v>
                </c:pt>
                <c:pt idx="134">
                  <c:v>894.29410585592598</c:v>
                </c:pt>
                <c:pt idx="135">
                  <c:v>910.56371961070545</c:v>
                </c:pt>
                <c:pt idx="136">
                  <c:v>926.82754069886857</c:v>
                </c:pt>
                <c:pt idx="137">
                  <c:v>943.0856849725875</c:v>
                </c:pt>
                <c:pt idx="138">
                  <c:v>959.3382639686705</c:v>
                </c:pt>
                <c:pt idx="139">
                  <c:v>975.58538514117026</c:v>
                </c:pt>
                <c:pt idx="140">
                  <c:v>991.82715207771514</c:v>
                </c:pt>
                <c:pt idx="141">
                  <c:v>894.52372324954865</c:v>
                </c:pt>
                <c:pt idx="142">
                  <c:v>910.81202138639219</c:v>
                </c:pt>
                <c:pt idx="143">
                  <c:v>927.09451528815646</c:v>
                </c:pt>
                <c:pt idx="144">
                  <c:v>943.37132113802011</c:v>
                </c:pt>
                <c:pt idx="145">
                  <c:v>959.64255078781878</c:v>
                </c:pt>
                <c:pt idx="146">
                  <c:v>975.90831199170941</c:v>
                </c:pt>
                <c:pt idx="147">
                  <c:v>992.16870862346525</c:v>
                </c:pt>
                <c:pt idx="148">
                  <c:v>1008.4238408788119</c:v>
                </c:pt>
                <c:pt idx="149">
                  <c:v>1024.6738054640462</c:v>
                </c:pt>
                <c:pt idx="150">
                  <c:v>1040.9186957720924</c:v>
                </c:pt>
                <c:pt idx="151">
                  <c:v>651.34103250772307</c:v>
                </c:pt>
                <c:pt idx="152">
                  <c:v>664.9957611019114</c:v>
                </c:pt>
                <c:pt idx="153">
                  <c:v>678.64472287164529</c:v>
                </c:pt>
                <c:pt idx="154">
                  <c:v>445.39790723641818</c:v>
                </c:pt>
                <c:pt idx="155">
                  <c:v>451.62371365342074</c:v>
                </c:pt>
                <c:pt idx="156">
                  <c:v>457.84768479244258</c:v>
                </c:pt>
                <c:pt idx="157">
                  <c:v>312.31007582399877</c:v>
                </c:pt>
                <c:pt idx="158">
                  <c:v>316.00083644349627</c:v>
                </c:pt>
                <c:pt idx="159">
                  <c:v>319.69064183598095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3.5918328449006816</c:v>
                </c:pt>
                <c:pt idx="2">
                  <c:v>4.8606155590040103</c:v>
                </c:pt>
                <c:pt idx="3">
                  <c:v>6.5794204365724118</c:v>
                </c:pt>
                <c:pt idx="4">
                  <c:v>8.9084760727428414</c:v>
                </c:pt>
                <c:pt idx="5">
                  <c:v>12.065262363552421</c:v>
                </c:pt>
                <c:pt idx="6">
                  <c:v>16.345033857340152</c:v>
                </c:pt>
                <c:pt idx="7">
                  <c:v>22.148722289104757</c:v>
                </c:pt>
                <c:pt idx="8">
                  <c:v>30.020878704384334</c:v>
                </c:pt>
                <c:pt idx="9">
                  <c:v>40.701277091726013</c:v>
                </c:pt>
                <c:pt idx="10">
                  <c:v>55.19511123048008</c:v>
                </c:pt>
                <c:pt idx="11">
                  <c:v>72.39081437448705</c:v>
                </c:pt>
                <c:pt idx="12">
                  <c:v>89.481359471532414</c:v>
                </c:pt>
                <c:pt idx="13">
                  <c:v>106.48980113353299</c:v>
                </c:pt>
                <c:pt idx="14">
                  <c:v>123.43115095023562</c:v>
                </c:pt>
                <c:pt idx="15">
                  <c:v>140.31593562076515</c:v>
                </c:pt>
                <c:pt idx="16">
                  <c:v>162.1487342616247</c:v>
                </c:pt>
                <c:pt idx="17">
                  <c:v>183.91190536734663</c:v>
                </c:pt>
                <c:pt idx="18">
                  <c:v>205.61485400714739</c:v>
                </c:pt>
                <c:pt idx="19">
                  <c:v>227.26483290257124</c:v>
                </c:pt>
                <c:pt idx="20">
                  <c:v>248.86759792936166</c:v>
                </c:pt>
                <c:pt idx="21">
                  <c:v>176.89120026351142</c:v>
                </c:pt>
                <c:pt idx="22">
                  <c:v>197.48280714753727</c:v>
                </c:pt>
                <c:pt idx="23">
                  <c:v>218.02457041092649</c:v>
                </c:pt>
                <c:pt idx="24">
                  <c:v>238.52184729375199</c:v>
                </c:pt>
                <c:pt idx="25">
                  <c:v>258.97899812332042</c:v>
                </c:pt>
                <c:pt idx="26">
                  <c:v>279.39963766111276</c:v>
                </c:pt>
                <c:pt idx="27">
                  <c:v>299.78680894148437</c:v>
                </c:pt>
                <c:pt idx="28">
                  <c:v>320.14310726034927</c:v>
                </c:pt>
                <c:pt idx="29">
                  <c:v>340.47077093539144</c:v>
                </c:pt>
                <c:pt idx="30">
                  <c:v>360.77174923572983</c:v>
                </c:pt>
                <c:pt idx="31">
                  <c:v>273.79302591126736</c:v>
                </c:pt>
                <c:pt idx="32">
                  <c:v>291.94937587219442</c:v>
                </c:pt>
                <c:pt idx="33">
                  <c:v>310.08051668188665</c:v>
                </c:pt>
                <c:pt idx="34">
                  <c:v>328.18812941645916</c:v>
                </c:pt>
                <c:pt idx="35">
                  <c:v>346.27369451323557</c:v>
                </c:pt>
                <c:pt idx="36">
                  <c:v>364.33852516457864</c:v>
                </c:pt>
                <c:pt idx="37">
                  <c:v>382.38379373966842</c:v>
                </c:pt>
                <c:pt idx="38">
                  <c:v>400.41055295678416</c:v>
                </c:pt>
                <c:pt idx="39">
                  <c:v>418.41975304315594</c:v>
                </c:pt>
                <c:pt idx="40">
                  <c:v>436.41225578619856</c:v>
                </c:pt>
                <c:pt idx="41">
                  <c:v>346.94312444117719</c:v>
                </c:pt>
                <c:pt idx="42">
                  <c:v>362.10938015630978</c:v>
                </c:pt>
                <c:pt idx="43">
                  <c:v>377.26175403181065</c:v>
                </c:pt>
                <c:pt idx="44">
                  <c:v>392.40088205878834</c:v>
                </c:pt>
                <c:pt idx="45">
                  <c:v>407.52734715549894</c:v>
                </c:pt>
                <c:pt idx="46">
                  <c:v>422.64168544290169</c:v>
                </c:pt>
                <c:pt idx="47">
                  <c:v>437.74439157568872</c:v>
                </c:pt>
                <c:pt idx="48">
                  <c:v>452.83592329928359</c:v>
                </c:pt>
                <c:pt idx="49">
                  <c:v>467.91670536775945</c:v>
                </c:pt>
                <c:pt idx="50">
                  <c:v>482.98713293042391</c:v>
                </c:pt>
                <c:pt idx="51">
                  <c:v>400.18810928466763</c:v>
                </c:pt>
                <c:pt idx="52">
                  <c:v>412.86317791095013</c:v>
                </c:pt>
                <c:pt idx="53">
                  <c:v>425.5298522874254</c:v>
                </c:pt>
                <c:pt idx="54">
                  <c:v>438.18841749574364</c:v>
                </c:pt>
                <c:pt idx="55">
                  <c:v>450.83914080281716</c:v>
                </c:pt>
                <c:pt idx="56">
                  <c:v>463.48227325326053</c:v>
                </c:pt>
                <c:pt idx="57">
                  <c:v>476.11805107903132</c:v>
                </c:pt>
                <c:pt idx="58">
                  <c:v>488.74669695164226</c:v>
                </c:pt>
                <c:pt idx="59">
                  <c:v>501.36842109822805</c:v>
                </c:pt>
                <c:pt idx="60">
                  <c:v>513.98342229938919</c:v>
                </c:pt>
                <c:pt idx="61">
                  <c:v>440.40840252576163</c:v>
                </c:pt>
                <c:pt idx="62">
                  <c:v>451.06101485112237</c:v>
                </c:pt>
                <c:pt idx="63">
                  <c:v>461.70824746740783</c:v>
                </c:pt>
                <c:pt idx="64">
                  <c:v>472.35024193902154</c:v>
                </c:pt>
                <c:pt idx="65">
                  <c:v>482.9871329304238</c:v>
                </c:pt>
                <c:pt idx="66">
                  <c:v>493.61904869023584</c:v>
                </c:pt>
                <c:pt idx="67">
                  <c:v>504.24611149146449</c:v>
                </c:pt>
                <c:pt idx="68">
                  <c:v>514.86843803268459</c:v>
                </c:pt>
                <c:pt idx="69">
                  <c:v>525.48613980439268</c:v>
                </c:pt>
                <c:pt idx="70">
                  <c:v>536.099323424212</c:v>
                </c:pt>
                <c:pt idx="71">
                  <c:v>471.24194122509266</c:v>
                </c:pt>
                <c:pt idx="72">
                  <c:v>479.44206160972539</c:v>
                </c:pt>
                <c:pt idx="73">
                  <c:v>487.63920091988467</c:v>
                </c:pt>
                <c:pt idx="74">
                  <c:v>495.83341635114562</c:v>
                </c:pt>
                <c:pt idx="75">
                  <c:v>504.02476305382055</c:v>
                </c:pt>
                <c:pt idx="76">
                  <c:v>512.21329423886766</c:v>
                </c:pt>
                <c:pt idx="77">
                  <c:v>520.39906127667518</c:v>
                </c:pt>
                <c:pt idx="78">
                  <c:v>528.58211378930412</c:v>
                </c:pt>
                <c:pt idx="79">
                  <c:v>536.76249973672225</c:v>
                </c:pt>
                <c:pt idx="80">
                  <c:v>544.94026549750686</c:v>
                </c:pt>
                <c:pt idx="81">
                  <c:v>492.06886607743803</c:v>
                </c:pt>
                <c:pt idx="82">
                  <c:v>498.93317929081491</c:v>
                </c:pt>
                <c:pt idx="83">
                  <c:v>505.79549305915788</c:v>
                </c:pt>
                <c:pt idx="84">
                  <c:v>512.65583834806637</c:v>
                </c:pt>
                <c:pt idx="85">
                  <c:v>519.51424522642048</c:v>
                </c:pt>
                <c:pt idx="86">
                  <c:v>526.37074290410123</c:v>
                </c:pt>
                <c:pt idx="87">
                  <c:v>533.22535976764732</c:v>
                </c:pt>
                <c:pt idx="88">
                  <c:v>540.07812341397891</c:v>
                </c:pt>
                <c:pt idx="89">
                  <c:v>546.92906068232151</c:v>
                </c:pt>
                <c:pt idx="90">
                  <c:v>553.77819768444806</c:v>
                </c:pt>
                <c:pt idx="91">
                  <c:v>509.33656031988835</c:v>
                </c:pt>
                <c:pt idx="92">
                  <c:v>515.7534216523228</c:v>
                </c:pt>
                <c:pt idx="93">
                  <c:v>522.16859826656582</c:v>
                </c:pt>
                <c:pt idx="94">
                  <c:v>528.58211378930389</c:v>
                </c:pt>
                <c:pt idx="95">
                  <c:v>534.99399122686089</c:v>
                </c:pt>
                <c:pt idx="96">
                  <c:v>541.40425298889079</c:v>
                </c:pt>
                <c:pt idx="97">
                  <c:v>547.81292091088801</c:v>
                </c:pt>
                <c:pt idx="98">
                  <c:v>554.22001627559155</c:v>
                </c:pt>
                <c:pt idx="99">
                  <c:v>560.62555983334448</c:v>
                </c:pt>
                <c:pt idx="100">
                  <c:v>567.02957182147736</c:v>
                </c:pt>
                <c:pt idx="101">
                  <c:v>516.19590143920061</c:v>
                </c:pt>
                <c:pt idx="102">
                  <c:v>516.19590143920061</c:v>
                </c:pt>
                <c:pt idx="103">
                  <c:v>516.19590143920061</c:v>
                </c:pt>
                <c:pt idx="104">
                  <c:v>516.19590143920061</c:v>
                </c:pt>
                <c:pt idx="105">
                  <c:v>516.19590143920061</c:v>
                </c:pt>
                <c:pt idx="106">
                  <c:v>516.19590143920061</c:v>
                </c:pt>
                <c:pt idx="107">
                  <c:v>516.19590143920061</c:v>
                </c:pt>
                <c:pt idx="108">
                  <c:v>516.19590143920061</c:v>
                </c:pt>
                <c:pt idx="109">
                  <c:v>516.19590143920061</c:v>
                </c:pt>
                <c:pt idx="110">
                  <c:v>516.19590143920061</c:v>
                </c:pt>
                <c:pt idx="111">
                  <c:v>516.19590143920061</c:v>
                </c:pt>
                <c:pt idx="112">
                  <c:v>516.19590143920061</c:v>
                </c:pt>
                <c:pt idx="113">
                  <c:v>516.19590143920061</c:v>
                </c:pt>
                <c:pt idx="114">
                  <c:v>516.19590143920061</c:v>
                </c:pt>
                <c:pt idx="115">
                  <c:v>516.19590143920061</c:v>
                </c:pt>
                <c:pt idx="116">
                  <c:v>516.19590143920061</c:v>
                </c:pt>
                <c:pt idx="117">
                  <c:v>516.19590143920061</c:v>
                </c:pt>
                <c:pt idx="118">
                  <c:v>516.19590143920061</c:v>
                </c:pt>
                <c:pt idx="119">
                  <c:v>516.19590143920061</c:v>
                </c:pt>
                <c:pt idx="120">
                  <c:v>516.19590143920061</c:v>
                </c:pt>
                <c:pt idx="121">
                  <c:v>516.19590143920061</c:v>
                </c:pt>
                <c:pt idx="122">
                  <c:v>516.19590143920061</c:v>
                </c:pt>
                <c:pt idx="123">
                  <c:v>516.19590143920061</c:v>
                </c:pt>
                <c:pt idx="124">
                  <c:v>516.19590143920061</c:v>
                </c:pt>
                <c:pt idx="125">
                  <c:v>516.19590143920061</c:v>
                </c:pt>
                <c:pt idx="126">
                  <c:v>516.19590143920061</c:v>
                </c:pt>
                <c:pt idx="127">
                  <c:v>516.19590143920061</c:v>
                </c:pt>
                <c:pt idx="128">
                  <c:v>516.19590143920061</c:v>
                </c:pt>
                <c:pt idx="129">
                  <c:v>516.19590143920061</c:v>
                </c:pt>
                <c:pt idx="130">
                  <c:v>516.19590143920061</c:v>
                </c:pt>
                <c:pt idx="131">
                  <c:v>516.19590143920061</c:v>
                </c:pt>
                <c:pt idx="132">
                  <c:v>516.19590143920061</c:v>
                </c:pt>
                <c:pt idx="133">
                  <c:v>516.19590143920061</c:v>
                </c:pt>
                <c:pt idx="134">
                  <c:v>516.19590143920061</c:v>
                </c:pt>
                <c:pt idx="135">
                  <c:v>516.19590143920061</c:v>
                </c:pt>
                <c:pt idx="136">
                  <c:v>516.19590143920061</c:v>
                </c:pt>
                <c:pt idx="137">
                  <c:v>516.19590143920061</c:v>
                </c:pt>
                <c:pt idx="138">
                  <c:v>516.19590143920061</c:v>
                </c:pt>
                <c:pt idx="139">
                  <c:v>516.19590143920061</c:v>
                </c:pt>
                <c:pt idx="140">
                  <c:v>516.19590143920061</c:v>
                </c:pt>
                <c:pt idx="141">
                  <c:v>516.19590143920061</c:v>
                </c:pt>
                <c:pt idx="142">
                  <c:v>516.19590143920061</c:v>
                </c:pt>
                <c:pt idx="143">
                  <c:v>516.19590143920061</c:v>
                </c:pt>
                <c:pt idx="144">
                  <c:v>516.19590143920061</c:v>
                </c:pt>
                <c:pt idx="145">
                  <c:v>516.19590143920061</c:v>
                </c:pt>
                <c:pt idx="146">
                  <c:v>516.19590143920061</c:v>
                </c:pt>
                <c:pt idx="147">
                  <c:v>516.19590143920061</c:v>
                </c:pt>
                <c:pt idx="148">
                  <c:v>516.19590143920061</c:v>
                </c:pt>
                <c:pt idx="149">
                  <c:v>516.19590143920061</c:v>
                </c:pt>
                <c:pt idx="150">
                  <c:v>516.19590143920061</c:v>
                </c:pt>
                <c:pt idx="151">
                  <c:v>516.19590143920061</c:v>
                </c:pt>
                <c:pt idx="152">
                  <c:v>516.19590143920061</c:v>
                </c:pt>
                <c:pt idx="153">
                  <c:v>516.19590143920061</c:v>
                </c:pt>
                <c:pt idx="154">
                  <c:v>516.19590143920061</c:v>
                </c:pt>
                <c:pt idx="155">
                  <c:v>516.19590143920061</c:v>
                </c:pt>
                <c:pt idx="156">
                  <c:v>516.19590143920061</c:v>
                </c:pt>
                <c:pt idx="157">
                  <c:v>516.19590143920061</c:v>
                </c:pt>
                <c:pt idx="158">
                  <c:v>516.19590143920061</c:v>
                </c:pt>
                <c:pt idx="159">
                  <c:v>516.19590143920061</c:v>
                </c:pt>
                <c:pt idx="160">
                  <c:v>516.19590143920061</c:v>
                </c:pt>
                <c:pt idx="161">
                  <c:v>516.19590143920061</c:v>
                </c:pt>
                <c:pt idx="162">
                  <c:v>516.19590143920061</c:v>
                </c:pt>
                <c:pt idx="163">
                  <c:v>516.19590143920061</c:v>
                </c:pt>
                <c:pt idx="164">
                  <c:v>516.19590143920061</c:v>
                </c:pt>
                <c:pt idx="165">
                  <c:v>516.19590143920061</c:v>
                </c:pt>
                <c:pt idx="166">
                  <c:v>516.19590143920061</c:v>
                </c:pt>
                <c:pt idx="167">
                  <c:v>516.19590143920061</c:v>
                </c:pt>
                <c:pt idx="168">
                  <c:v>516.19590143920061</c:v>
                </c:pt>
                <c:pt idx="169">
                  <c:v>516.19590143920061</c:v>
                </c:pt>
                <c:pt idx="170">
                  <c:v>516.19590143920061</c:v>
                </c:pt>
                <c:pt idx="171">
                  <c:v>516.19590143920061</c:v>
                </c:pt>
                <c:pt idx="172">
                  <c:v>516.19590143920061</c:v>
                </c:pt>
                <c:pt idx="173">
                  <c:v>516.19590143920061</c:v>
                </c:pt>
                <c:pt idx="174">
                  <c:v>516.19590143920061</c:v>
                </c:pt>
                <c:pt idx="175">
                  <c:v>516.19590143920061</c:v>
                </c:pt>
                <c:pt idx="176">
                  <c:v>516.19590143920061</c:v>
                </c:pt>
                <c:pt idx="177">
                  <c:v>516.19590143920061</c:v>
                </c:pt>
                <c:pt idx="178">
                  <c:v>516.19590143920061</c:v>
                </c:pt>
                <c:pt idx="179">
                  <c:v>516.19590143920061</c:v>
                </c:pt>
                <c:pt idx="180">
                  <c:v>516.19590143920061</c:v>
                </c:pt>
                <c:pt idx="181">
                  <c:v>516.19590143920061</c:v>
                </c:pt>
                <c:pt idx="182">
                  <c:v>516.19590143920061</c:v>
                </c:pt>
                <c:pt idx="183">
                  <c:v>516.19590143920061</c:v>
                </c:pt>
                <c:pt idx="184">
                  <c:v>516.19590143920061</c:v>
                </c:pt>
                <c:pt idx="185">
                  <c:v>516.19590143920061</c:v>
                </c:pt>
                <c:pt idx="186">
                  <c:v>516.19590143920061</c:v>
                </c:pt>
                <c:pt idx="187">
                  <c:v>516.19590143920061</c:v>
                </c:pt>
                <c:pt idx="188">
                  <c:v>516.19590143920061</c:v>
                </c:pt>
                <c:pt idx="189">
                  <c:v>516.19590143920061</c:v>
                </c:pt>
                <c:pt idx="190">
                  <c:v>516.19590143920061</c:v>
                </c:pt>
                <c:pt idx="191">
                  <c:v>516.19590143920061</c:v>
                </c:pt>
                <c:pt idx="192">
                  <c:v>516.19590143920061</c:v>
                </c:pt>
                <c:pt idx="193">
                  <c:v>516.19590143920061</c:v>
                </c:pt>
                <c:pt idx="194">
                  <c:v>516.19590143920061</c:v>
                </c:pt>
                <c:pt idx="195">
                  <c:v>516.19590143920061</c:v>
                </c:pt>
                <c:pt idx="196">
                  <c:v>516.19590143920061</c:v>
                </c:pt>
                <c:pt idx="197">
                  <c:v>516.19590143920061</c:v>
                </c:pt>
                <c:pt idx="198">
                  <c:v>516.19590143920061</c:v>
                </c:pt>
                <c:pt idx="199">
                  <c:v>516.19590143920061</c:v>
                </c:pt>
                <c:pt idx="200">
                  <c:v>516.19590143920061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J22" sqref="J2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26.42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0.43</v>
      </c>
      <c r="D9" s="33">
        <f t="shared" ref="D9:D18" si="0">C9*$C$5</f>
        <v>11.3606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0.03</v>
      </c>
      <c r="D10" s="33">
        <f t="shared" si="0"/>
        <v>0.79259999999999997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81</v>
      </c>
      <c r="C11" s="32">
        <v>0.02</v>
      </c>
      <c r="D11" s="33">
        <f t="shared" si="0"/>
        <v>0.52840000000000009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0.15</v>
      </c>
      <c r="D12" s="33">
        <f t="shared" si="0"/>
        <v>3.9630000000000001</v>
      </c>
      <c r="E12" s="34">
        <v>105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8</v>
      </c>
      <c r="C13" s="32">
        <v>7.0000000000000007E-2</v>
      </c>
      <c r="D13" s="33">
        <f t="shared" si="0"/>
        <v>1.8494000000000004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44</v>
      </c>
      <c r="C14" s="32">
        <v>0.02</v>
      </c>
      <c r="D14" s="33">
        <f t="shared" si="0"/>
        <v>0.52840000000000009</v>
      </c>
      <c r="E14" s="34">
        <v>35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12</v>
      </c>
      <c r="C15" s="32">
        <v>0.15</v>
      </c>
      <c r="D15" s="33">
        <f t="shared" si="0"/>
        <v>3.9630000000000001</v>
      </c>
      <c r="E15" s="34">
        <v>159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52</v>
      </c>
      <c r="C16" s="32">
        <v>0.03</v>
      </c>
      <c r="D16" s="33">
        <f t="shared" si="0"/>
        <v>0.79259999999999997</v>
      </c>
      <c r="E16" s="34">
        <v>159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9</v>
      </c>
      <c r="C17" s="32">
        <v>0.03</v>
      </c>
      <c r="D17" s="33">
        <f t="shared" si="0"/>
        <v>0.79259999999999997</v>
      </c>
      <c r="E17" s="34">
        <v>100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21</v>
      </c>
      <c r="C18" s="32">
        <v>7.0000000000000007E-2</v>
      </c>
      <c r="D18" s="33">
        <f t="shared" si="0"/>
        <v>1.8494000000000004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26.42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f>169.14/1.56</f>
        <v>108.42307692307691</v>
      </c>
      <c r="C36" s="60"/>
      <c r="D36" s="60"/>
      <c r="E36" s="51"/>
      <c r="F36" s="51"/>
      <c r="G36" s="51"/>
      <c r="H36" s="51"/>
      <c r="I36" s="49">
        <f>IFERROR(B36/A36,"")</f>
        <v>3.6141025641025637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34</v>
      </c>
      <c r="B37" s="60">
        <f>221.19/1.56</f>
        <v>141.78846153846152</v>
      </c>
      <c r="C37" s="60">
        <v>1</v>
      </c>
      <c r="D37" s="60">
        <f>49.32/1.56</f>
        <v>31.615384615384613</v>
      </c>
      <c r="E37" s="51"/>
      <c r="F37" s="51"/>
      <c r="G37" s="51"/>
      <c r="H37" s="51"/>
      <c r="I37" s="53">
        <f t="shared" ref="I37:I55" si="1">IF(A37&lt;&gt;0,(B37-(B36-D36))/(A37-A36),"")</f>
        <v>8.3413461538461533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42</v>
      </c>
      <c r="B38" s="60">
        <f>294.31/1.56</f>
        <v>188.66025641025641</v>
      </c>
      <c r="C38" s="60">
        <v>2</v>
      </c>
      <c r="D38" s="60">
        <f>70.51/1.56</f>
        <v>45.198717948717949</v>
      </c>
      <c r="E38" s="51"/>
      <c r="F38" s="51"/>
      <c r="G38" s="51"/>
      <c r="H38" s="51"/>
      <c r="I38" s="53">
        <f t="shared" si="1"/>
        <v>9.8108974358974379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347.88/1.56</f>
        <v>223</v>
      </c>
      <c r="C39" s="60">
        <v>3</v>
      </c>
      <c r="D39" s="60">
        <f>81.56/1.56</f>
        <v>52.282051282051285</v>
      </c>
      <c r="E39" s="51"/>
      <c r="F39" s="51"/>
      <c r="G39" s="51"/>
      <c r="H39" s="51"/>
      <c r="I39" s="49">
        <f t="shared" si="1"/>
        <v>9.9423076923076934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58</v>
      </c>
      <c r="B40" s="60">
        <f>386.86/1.56</f>
        <v>247.98717948717947</v>
      </c>
      <c r="C40" s="60">
        <v>4</v>
      </c>
      <c r="D40" s="60">
        <f>74.05/1.56</f>
        <v>47.467948717948715</v>
      </c>
      <c r="E40" s="51"/>
      <c r="F40" s="51"/>
      <c r="G40" s="51"/>
      <c r="H40" s="51"/>
      <c r="I40" s="49">
        <f t="shared" si="1"/>
        <v>9.6586538461538431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66</v>
      </c>
      <c r="B41" s="60">
        <f>427.9/1.56</f>
        <v>274.29487179487177</v>
      </c>
      <c r="C41" s="60">
        <v>5</v>
      </c>
      <c r="D41" s="60">
        <f>84.46/1.56</f>
        <v>54.141025641025635</v>
      </c>
      <c r="E41" s="51"/>
      <c r="F41" s="51"/>
      <c r="G41" s="51"/>
      <c r="H41" s="51"/>
      <c r="I41" s="53">
        <f t="shared" si="1"/>
        <v>9.2219551282051242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74</v>
      </c>
      <c r="B42" s="60">
        <f>451.86/1.56</f>
        <v>289.65384615384613</v>
      </c>
      <c r="C42" s="60">
        <v>6</v>
      </c>
      <c r="D42" s="60">
        <f>82.27/1.56</f>
        <v>52.737179487179482</v>
      </c>
      <c r="E42" s="51"/>
      <c r="F42" s="51"/>
      <c r="G42" s="51"/>
      <c r="H42" s="51"/>
      <c r="I42" s="53">
        <f t="shared" si="1"/>
        <v>8.6875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82</v>
      </c>
      <c r="B43" s="60">
        <f>471.61/1.56</f>
        <v>302.31410256410254</v>
      </c>
      <c r="C43" s="60">
        <v>7</v>
      </c>
      <c r="D43" s="60">
        <f>62.98/1.56</f>
        <v>40.371794871794869</v>
      </c>
      <c r="E43" s="51"/>
      <c r="F43" s="51"/>
      <c r="G43" s="51"/>
      <c r="H43" s="51"/>
      <c r="I43" s="49">
        <f t="shared" si="1"/>
        <v>8.1746794871794854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90</v>
      </c>
      <c r="B44" s="60">
        <f>506.82/1.56</f>
        <v>324.88461538461536</v>
      </c>
      <c r="C44" s="60">
        <v>8</v>
      </c>
      <c r="D44" s="60">
        <f>73.8/1.56</f>
        <v>47.307692307692307</v>
      </c>
      <c r="E44" s="51"/>
      <c r="F44" s="51"/>
      <c r="G44" s="51"/>
      <c r="H44" s="51"/>
      <c r="I44" s="49">
        <f t="shared" si="1"/>
        <v>7.8677884615384599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100</v>
      </c>
      <c r="B45" s="60">
        <f>551.38/1.56</f>
        <v>353.44871794871796</v>
      </c>
      <c r="C45" s="60">
        <v>9</v>
      </c>
      <c r="D45" s="60">
        <f>99.53/1.56</f>
        <v>63.801282051282051</v>
      </c>
      <c r="E45" s="51"/>
      <c r="F45" s="51"/>
      <c r="G45" s="51"/>
      <c r="H45" s="51"/>
      <c r="I45" s="49">
        <f t="shared" si="1"/>
        <v>7.5871794871794922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110</v>
      </c>
      <c r="B46" s="60">
        <f>565.28/1.56</f>
        <v>362.35897435897431</v>
      </c>
      <c r="C46" s="60">
        <v>10</v>
      </c>
      <c r="D46" s="60">
        <f>78.08/1.56</f>
        <v>50.051282051282051</v>
      </c>
      <c r="E46" s="51"/>
      <c r="F46" s="51"/>
      <c r="G46" s="51"/>
      <c r="H46" s="51"/>
      <c r="I46" s="49">
        <f t="shared" si="1"/>
        <v>7.2711538461538394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120</v>
      </c>
      <c r="B47" s="60">
        <f>599.13/1.56</f>
        <v>384.05769230769226</v>
      </c>
      <c r="C47" s="60">
        <v>11</v>
      </c>
      <c r="D47" s="60">
        <f>70.09/1.56</f>
        <v>44.929487179487182</v>
      </c>
      <c r="E47" s="51"/>
      <c r="F47" s="51"/>
      <c r="G47" s="51"/>
      <c r="H47" s="51"/>
      <c r="I47" s="49">
        <f t="shared" si="1"/>
        <v>7.1749999999999998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130</v>
      </c>
      <c r="B48" s="60">
        <f>640.94/1.56</f>
        <v>410.85897435897436</v>
      </c>
      <c r="C48" s="60">
        <v>12</v>
      </c>
      <c r="D48" s="60">
        <f>80.15/1.56</f>
        <v>51.378205128205131</v>
      </c>
      <c r="E48" s="51"/>
      <c r="F48" s="51"/>
      <c r="G48" s="51"/>
      <c r="H48" s="51"/>
      <c r="I48" s="49">
        <f t="shared" si="1"/>
        <v>7.1730769230769287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140</v>
      </c>
      <c r="B49" s="60">
        <f>673.47/1.56</f>
        <v>431.71153846153845</v>
      </c>
      <c r="C49" s="60">
        <v>13</v>
      </c>
      <c r="D49" s="60">
        <f>78.73/1.56</f>
        <v>50.467948717948715</v>
      </c>
      <c r="E49" s="51"/>
      <c r="F49" s="51"/>
      <c r="G49" s="51"/>
      <c r="H49" s="51"/>
      <c r="I49" s="49">
        <f t="shared" si="1"/>
        <v>7.2230769230769223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150</v>
      </c>
      <c r="B50" s="50">
        <f>707.55/1.56</f>
        <v>453.55769230769226</v>
      </c>
      <c r="C50" s="50">
        <v>14</v>
      </c>
      <c r="D50" s="50">
        <f>278.81/1.56</f>
        <v>178.72435897435898</v>
      </c>
      <c r="E50" s="51"/>
      <c r="F50" s="51"/>
      <c r="G50" s="51"/>
      <c r="H50" s="51"/>
      <c r="I50" s="49">
        <f t="shared" si="1"/>
        <v>7.2314102564102543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153</v>
      </c>
      <c r="B51" s="50">
        <f>456.93/1.56</f>
        <v>292.90384615384613</v>
      </c>
      <c r="C51" s="50">
        <v>15</v>
      </c>
      <c r="D51" s="50">
        <f>164.21/1.56</f>
        <v>105.26282051282051</v>
      </c>
      <c r="E51" s="51"/>
      <c r="F51" s="51"/>
      <c r="G51" s="51"/>
      <c r="H51" s="51"/>
      <c r="I51" s="49">
        <f t="shared" si="1"/>
        <v>6.0235042735042912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156</v>
      </c>
      <c r="B52" s="50">
        <f>305.47/1.56</f>
        <v>195.81410256410257</v>
      </c>
      <c r="C52" s="50">
        <v>16</v>
      </c>
      <c r="D52" s="50">
        <f>101.51/1.56</f>
        <v>65.070512820512818</v>
      </c>
      <c r="E52" s="51"/>
      <c r="F52" s="51"/>
      <c r="G52" s="51"/>
      <c r="H52" s="51"/>
      <c r="I52" s="49">
        <f t="shared" si="1"/>
        <v>2.724358974358978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159</v>
      </c>
      <c r="B53" s="50">
        <f>211.46/1.56</f>
        <v>135.55128205128204</v>
      </c>
      <c r="C53" s="50">
        <v>17</v>
      </c>
      <c r="D53" s="50">
        <f>211.46/1.56</f>
        <v>135.55128205128204</v>
      </c>
      <c r="E53" s="51"/>
      <c r="F53" s="51"/>
      <c r="G53" s="51"/>
      <c r="H53" s="51"/>
      <c r="I53" s="49">
        <f t="shared" si="1"/>
        <v>1.6025641025640975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23</v>
      </c>
      <c r="C62" s="60"/>
      <c r="D62" s="60"/>
      <c r="E62" s="51"/>
      <c r="F62" s="51"/>
      <c r="G62" s="51"/>
      <c r="H62" s="51"/>
      <c r="I62" s="53">
        <f>IFERROR(B62/A62,"")</f>
        <v>2.2999999999999998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15</v>
      </c>
      <c r="B63" s="60">
        <v>60</v>
      </c>
      <c r="C63" s="60"/>
      <c r="D63" s="60"/>
      <c r="E63" s="51"/>
      <c r="F63" s="51"/>
      <c r="G63" s="51"/>
      <c r="H63" s="51"/>
      <c r="I63" s="49">
        <f>IF(A63&lt;&gt;0,(B63-(B62-D62))/(A63-A62),"")</f>
        <v>7.4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20</v>
      </c>
      <c r="B64" s="60">
        <v>108</v>
      </c>
      <c r="C64" s="60">
        <v>1</v>
      </c>
      <c r="D64" s="60">
        <v>41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9.6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30</v>
      </c>
      <c r="B65" s="60">
        <v>158</v>
      </c>
      <c r="C65" s="60">
        <v>2</v>
      </c>
      <c r="D65" s="60">
        <v>47</v>
      </c>
      <c r="E65" s="51">
        <v>0.2</v>
      </c>
      <c r="F65" s="51">
        <v>0.4</v>
      </c>
      <c r="G65" s="51">
        <v>0.4</v>
      </c>
      <c r="H65" s="51"/>
      <c r="I65" s="49">
        <f>IF(A65&lt;&gt;0,(B65-(B64-D64))/(A65-A64),"")</f>
        <v>9.1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192</v>
      </c>
      <c r="C66" s="60">
        <v>3</v>
      </c>
      <c r="D66" s="60">
        <v>47</v>
      </c>
      <c r="E66" s="51"/>
      <c r="F66" s="51"/>
      <c r="G66" s="51"/>
      <c r="H66" s="51"/>
      <c r="I66" s="49">
        <f t="shared" ref="I66:I81" si="2">IF(A66&lt;&gt;0,(B66-(B65-D65))/(A66-A65),"")</f>
        <v>8.1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50</v>
      </c>
      <c r="B67" s="60">
        <v>213</v>
      </c>
      <c r="C67" s="60">
        <v>4</v>
      </c>
      <c r="D67" s="60">
        <v>43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60</v>
      </c>
      <c r="B68" s="60">
        <v>227</v>
      </c>
      <c r="C68" s="60">
        <v>5</v>
      </c>
      <c r="D68" s="60">
        <v>38</v>
      </c>
      <c r="E68" s="51"/>
      <c r="F68" s="51"/>
      <c r="G68" s="51"/>
      <c r="H68" s="51"/>
      <c r="I68" s="49">
        <f t="shared" si="2"/>
        <v>5.7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70</v>
      </c>
      <c r="B69" s="50">
        <v>237</v>
      </c>
      <c r="C69" s="50">
        <v>6</v>
      </c>
      <c r="D69" s="50">
        <v>33</v>
      </c>
      <c r="E69" s="51"/>
      <c r="F69" s="51"/>
      <c r="G69" s="51"/>
      <c r="H69" s="51"/>
      <c r="I69" s="49">
        <f t="shared" si="2"/>
        <v>4.8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80</v>
      </c>
      <c r="B70" s="50">
        <v>241</v>
      </c>
      <c r="C70" s="50">
        <v>7</v>
      </c>
      <c r="D70" s="50">
        <v>27</v>
      </c>
      <c r="E70" s="51"/>
      <c r="F70" s="51"/>
      <c r="G70" s="51"/>
      <c r="H70" s="51"/>
      <c r="I70" s="49">
        <f t="shared" si="2"/>
        <v>3.7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90</v>
      </c>
      <c r="B71" s="50">
        <v>245</v>
      </c>
      <c r="C71" s="50">
        <v>8</v>
      </c>
      <c r="D71" s="50">
        <v>23</v>
      </c>
      <c r="E71" s="51"/>
      <c r="F71" s="51"/>
      <c r="G71" s="51"/>
      <c r="H71" s="51"/>
      <c r="I71" s="49">
        <f t="shared" si="2"/>
        <v>3.1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100</v>
      </c>
      <c r="B72" s="50">
        <v>251</v>
      </c>
      <c r="C72" s="50">
        <v>9</v>
      </c>
      <c r="D72" s="50">
        <v>23</v>
      </c>
      <c r="E72" s="51"/>
      <c r="F72" s="51"/>
      <c r="G72" s="51"/>
      <c r="H72" s="51"/>
      <c r="I72" s="49">
        <f t="shared" si="2"/>
        <v>2.9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hybride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23</v>
      </c>
      <c r="C88" s="60"/>
      <c r="D88" s="60"/>
      <c r="E88" s="51"/>
      <c r="F88" s="51"/>
      <c r="G88" s="51"/>
      <c r="H88" s="87"/>
      <c r="I88" s="53">
        <f>IFERROR(B88/A88,"")</f>
        <v>2.2999999999999998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137</v>
      </c>
      <c r="C89" s="60">
        <v>1</v>
      </c>
      <c r="D89" s="60">
        <v>57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11.4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220</v>
      </c>
      <c r="C90" s="60">
        <v>2</v>
      </c>
      <c r="D90" s="60">
        <v>70</v>
      </c>
      <c r="E90" s="87">
        <v>0.1</v>
      </c>
      <c r="F90" s="87">
        <v>0.45</v>
      </c>
      <c r="G90" s="87">
        <v>0.45</v>
      </c>
      <c r="H90" s="87"/>
      <c r="I90" s="53">
        <f t="shared" si="3"/>
        <v>14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271</v>
      </c>
      <c r="C91" s="60">
        <v>3</v>
      </c>
      <c r="D91" s="60">
        <v>68</v>
      </c>
      <c r="E91" s="87"/>
      <c r="F91" s="87"/>
      <c r="G91" s="87"/>
      <c r="H91" s="87"/>
      <c r="I91" s="53">
        <f t="shared" si="3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302</v>
      </c>
      <c r="C92" s="60">
        <v>4</v>
      </c>
      <c r="D92" s="60">
        <v>55</v>
      </c>
      <c r="E92" s="87"/>
      <c r="F92" s="87"/>
      <c r="G92" s="87"/>
      <c r="H92" s="87"/>
      <c r="I92" s="53">
        <f t="shared" si="3"/>
        <v>9.9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329</v>
      </c>
      <c r="C93" s="60">
        <v>5</v>
      </c>
      <c r="D93" s="60">
        <v>46</v>
      </c>
      <c r="E93" s="87"/>
      <c r="F93" s="87"/>
      <c r="G93" s="87"/>
      <c r="H93" s="87"/>
      <c r="I93" s="53">
        <f t="shared" si="3"/>
        <v>8.1999999999999993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354</v>
      </c>
      <c r="C94" s="60">
        <v>6</v>
      </c>
      <c r="D94" s="60">
        <v>42</v>
      </c>
      <c r="E94" s="87"/>
      <c r="F94" s="87"/>
      <c r="G94" s="87"/>
      <c r="H94" s="87"/>
      <c r="I94" s="53">
        <f t="shared" si="3"/>
        <v>7.1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v>373</v>
      </c>
      <c r="C95" s="60">
        <v>7</v>
      </c>
      <c r="D95" s="60">
        <v>373</v>
      </c>
      <c r="E95" s="87"/>
      <c r="F95" s="87"/>
      <c r="G95" s="87"/>
      <c r="H95" s="87"/>
      <c r="I95" s="53">
        <f t="shared" si="3"/>
        <v>6.1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30</v>
      </c>
      <c r="B114" s="60">
        <f>281.83/1.3</f>
        <v>216.79230769230767</v>
      </c>
      <c r="C114" s="50"/>
      <c r="D114" s="60"/>
      <c r="E114" s="51"/>
      <c r="F114" s="51"/>
      <c r="G114" s="51"/>
      <c r="H114" s="51"/>
      <c r="I114" s="53">
        <f>IFERROR(B114/A114,"")</f>
        <v>7.2264102564102561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42</v>
      </c>
      <c r="B115" s="60">
        <f>533.48/1.3</f>
        <v>410.3692307692308</v>
      </c>
      <c r="C115" s="50">
        <v>1</v>
      </c>
      <c r="D115" s="60">
        <f>233.8/1.3</f>
        <v>179.84615384615384</v>
      </c>
      <c r="E115" s="51"/>
      <c r="F115" s="51"/>
      <c r="G115" s="51"/>
      <c r="H115" s="51"/>
      <c r="I115" s="53">
        <f t="shared" ref="I115:I133" si="4">IF(A115&lt;&gt;0,(B115-(B114-D114))/(A115-A114),"")</f>
        <v>16.131410256410259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49</v>
      </c>
      <c r="B116" s="60">
        <f>441.81/1.3</f>
        <v>339.85384615384612</v>
      </c>
      <c r="C116" s="50">
        <v>2</v>
      </c>
      <c r="D116" s="60">
        <f>122.82/1.3</f>
        <v>94.476923076923072</v>
      </c>
      <c r="E116" s="51"/>
      <c r="F116" s="51"/>
      <c r="G116" s="51"/>
      <c r="H116" s="51"/>
      <c r="I116" s="53">
        <f t="shared" si="4"/>
        <v>15.618681318681309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56</v>
      </c>
      <c r="B117" s="60">
        <f>452.47/1.3</f>
        <v>348.05384615384617</v>
      </c>
      <c r="C117" s="50">
        <v>3</v>
      </c>
      <c r="D117" s="60">
        <f>94.6/1.3</f>
        <v>72.769230769230759</v>
      </c>
      <c r="E117" s="51"/>
      <c r="F117" s="51"/>
      <c r="G117" s="51"/>
      <c r="H117" s="51"/>
      <c r="I117" s="53">
        <f t="shared" si="4"/>
        <v>14.668131868131875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63</v>
      </c>
      <c r="B118" s="60">
        <f>487.73/1.3</f>
        <v>375.17692307692306</v>
      </c>
      <c r="C118" s="50">
        <v>4</v>
      </c>
      <c r="D118" s="60">
        <f>92.46/1.3</f>
        <v>71.123076923076923</v>
      </c>
      <c r="E118" s="51"/>
      <c r="F118" s="51"/>
      <c r="G118" s="51"/>
      <c r="H118" s="51"/>
      <c r="I118" s="53">
        <f t="shared" si="4"/>
        <v>14.270329670329668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71</v>
      </c>
      <c r="B119" s="60">
        <f>538.14/1.3</f>
        <v>413.95384615384614</v>
      </c>
      <c r="C119" s="50">
        <v>5</v>
      </c>
      <c r="D119" s="60">
        <f>104.52/1.3</f>
        <v>80.399999999999991</v>
      </c>
      <c r="E119" s="51"/>
      <c r="F119" s="51"/>
      <c r="G119" s="51"/>
      <c r="H119" s="51"/>
      <c r="I119" s="53">
        <f t="shared" si="4"/>
        <v>13.737499999999997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79</v>
      </c>
      <c r="B120" s="60">
        <f>567.92/1.3</f>
        <v>436.86153846153843</v>
      </c>
      <c r="C120" s="60">
        <v>6</v>
      </c>
      <c r="D120" s="60">
        <f>100.54/1.3</f>
        <v>77.338461538461544</v>
      </c>
      <c r="E120" s="87"/>
      <c r="F120" s="87"/>
      <c r="G120" s="87"/>
      <c r="H120" s="87"/>
      <c r="I120" s="53">
        <f t="shared" si="4"/>
        <v>12.913461538461533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87</v>
      </c>
      <c r="B121" s="60">
        <f>593.47/1.3</f>
        <v>456.51538461538462</v>
      </c>
      <c r="C121" s="60">
        <v>7</v>
      </c>
      <c r="D121" s="60">
        <f>100.53/1.3</f>
        <v>77.330769230769235</v>
      </c>
      <c r="E121" s="87"/>
      <c r="F121" s="87"/>
      <c r="G121" s="87"/>
      <c r="H121" s="87"/>
      <c r="I121" s="53">
        <f t="shared" si="4"/>
        <v>12.124038461538468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95</v>
      </c>
      <c r="B122" s="60">
        <f>609.86/1.3</f>
        <v>469.12307692307689</v>
      </c>
      <c r="C122" s="60">
        <v>8</v>
      </c>
      <c r="D122" s="60">
        <f>304.75/1.3</f>
        <v>234.42307692307691</v>
      </c>
      <c r="E122" s="87"/>
      <c r="F122" s="87"/>
      <c r="G122" s="87"/>
      <c r="H122" s="87"/>
      <c r="I122" s="53">
        <f t="shared" si="4"/>
        <v>11.242307692307691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105</v>
      </c>
      <c r="B123" s="60">
        <f>402.63/1.3</f>
        <v>309.71538461538461</v>
      </c>
      <c r="C123" s="60">
        <v>9</v>
      </c>
      <c r="D123" s="60">
        <f>402.63/1.3</f>
        <v>309.71538461538461</v>
      </c>
      <c r="E123" s="87"/>
      <c r="F123" s="87"/>
      <c r="G123" s="87"/>
      <c r="H123" s="87"/>
      <c r="I123" s="53">
        <f t="shared" si="4"/>
        <v>7.5015384615384617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Châtaignier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95</v>
      </c>
      <c r="C140" s="50">
        <v>1</v>
      </c>
      <c r="D140" s="60">
        <f>15+28</f>
        <v>43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4.75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174</v>
      </c>
      <c r="C141" s="50">
        <v>2</v>
      </c>
      <c r="D141" s="60">
        <f>28+28</f>
        <v>56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12.2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220</v>
      </c>
      <c r="C142" s="50">
        <v>3</v>
      </c>
      <c r="D142" s="60">
        <f>28+28</f>
        <v>56</v>
      </c>
      <c r="E142" s="51"/>
      <c r="F142" s="51"/>
      <c r="G142" s="51"/>
      <c r="H142" s="51"/>
      <c r="I142" s="57">
        <f t="shared" si="5"/>
        <v>10.199999999999999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241</v>
      </c>
      <c r="C143" s="50">
        <v>4</v>
      </c>
      <c r="D143" s="60">
        <f>22+17</f>
        <v>39</v>
      </c>
      <c r="E143" s="51"/>
      <c r="F143" s="51"/>
      <c r="G143" s="51"/>
      <c r="H143" s="51"/>
      <c r="I143" s="57">
        <f t="shared" si="5"/>
        <v>7.7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258</v>
      </c>
      <c r="C144" s="50">
        <v>5</v>
      </c>
      <c r="D144" s="60">
        <f>13+12</f>
        <v>25</v>
      </c>
      <c r="E144" s="51"/>
      <c r="F144" s="51"/>
      <c r="G144" s="51"/>
      <c r="H144" s="51"/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274</v>
      </c>
      <c r="C145" s="50">
        <v>6</v>
      </c>
      <c r="D145" s="60">
        <f>11+10</f>
        <v>21</v>
      </c>
      <c r="E145" s="51"/>
      <c r="F145" s="51"/>
      <c r="G145" s="51"/>
      <c r="H145" s="51"/>
      <c r="I145" s="57">
        <f t="shared" si="5"/>
        <v>4.0999999999999996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267+9+8</f>
        <v>284</v>
      </c>
      <c r="C146" s="50">
        <v>7</v>
      </c>
      <c r="D146" s="60">
        <f>B146</f>
        <v>284</v>
      </c>
      <c r="E146" s="51"/>
      <c r="F146" s="51"/>
      <c r="G146" s="51"/>
      <c r="H146" s="51"/>
      <c r="I146" s="57">
        <f t="shared" si="5"/>
        <v>3.1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Robinier faux-acacia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5</v>
      </c>
      <c r="B166" s="60">
        <v>42</v>
      </c>
      <c r="C166" s="60">
        <v>1</v>
      </c>
      <c r="D166" s="60">
        <v>13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8.4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10</v>
      </c>
      <c r="B167" s="60">
        <v>112</v>
      </c>
      <c r="C167" s="60">
        <v>2</v>
      </c>
      <c r="D167" s="60">
        <v>41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16.600000000000001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15</v>
      </c>
      <c r="B168" s="60">
        <v>142</v>
      </c>
      <c r="C168" s="60">
        <v>3</v>
      </c>
      <c r="D168" s="60">
        <v>28</v>
      </c>
      <c r="E168" s="51"/>
      <c r="F168" s="51">
        <v>0.25</v>
      </c>
      <c r="G168" s="51">
        <v>0.25</v>
      </c>
      <c r="H168" s="51">
        <v>0.5</v>
      </c>
      <c r="I168" s="49">
        <f t="shared" si="6"/>
        <v>14.2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20</v>
      </c>
      <c r="B169" s="60">
        <v>170</v>
      </c>
      <c r="C169" s="60">
        <v>4</v>
      </c>
      <c r="D169" s="60">
        <v>20</v>
      </c>
      <c r="E169" s="51">
        <v>0.1</v>
      </c>
      <c r="F169" s="51">
        <v>0.45</v>
      </c>
      <c r="G169" s="51">
        <v>0.45</v>
      </c>
      <c r="H169" s="51"/>
      <c r="I169" s="49">
        <f t="shared" si="6"/>
        <v>11.2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25</v>
      </c>
      <c r="B170" s="60">
        <v>193</v>
      </c>
      <c r="C170" s="60">
        <v>5</v>
      </c>
      <c r="D170" s="60">
        <v>14</v>
      </c>
      <c r="E170" s="51">
        <v>0.2</v>
      </c>
      <c r="F170" s="51">
        <v>0.4</v>
      </c>
      <c r="G170" s="51">
        <v>0.4</v>
      </c>
      <c r="H170" s="51"/>
      <c r="I170" s="49">
        <f t="shared" si="6"/>
        <v>8.6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30</v>
      </c>
      <c r="B171" s="60">
        <v>213</v>
      </c>
      <c r="C171" s="60">
        <v>6</v>
      </c>
      <c r="D171" s="60">
        <v>11</v>
      </c>
      <c r="E171" s="51">
        <v>0.3</v>
      </c>
      <c r="F171" s="51">
        <v>0.35</v>
      </c>
      <c r="G171" s="51">
        <v>0.35</v>
      </c>
      <c r="H171" s="51"/>
      <c r="I171" s="49">
        <f t="shared" si="6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35</v>
      </c>
      <c r="B172" s="60">
        <v>228</v>
      </c>
      <c r="C172" s="60">
        <v>7</v>
      </c>
      <c r="D172" s="60">
        <f>B172</f>
        <v>228</v>
      </c>
      <c r="E172" s="51"/>
      <c r="F172" s="51"/>
      <c r="G172" s="51"/>
      <c r="H172" s="51"/>
      <c r="I172" s="49">
        <f t="shared" si="6"/>
        <v>5.2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Chêne pubescent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30</v>
      </c>
      <c r="B192" s="60">
        <f>169.14/1.56</f>
        <v>108.42307692307691</v>
      </c>
      <c r="C192" s="60"/>
      <c r="D192" s="60"/>
      <c r="E192" s="51"/>
      <c r="F192" s="51"/>
      <c r="G192" s="51"/>
      <c r="H192" s="51"/>
      <c r="I192" s="49">
        <f>IFERROR(B192/A192,"")</f>
        <v>3.6141025641025637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34</v>
      </c>
      <c r="B193" s="60">
        <f>221.19/1.56</f>
        <v>141.78846153846152</v>
      </c>
      <c r="C193" s="60">
        <v>1</v>
      </c>
      <c r="D193" s="60">
        <f>49.32/1.56</f>
        <v>31.615384615384613</v>
      </c>
      <c r="E193" s="51"/>
      <c r="F193" s="51"/>
      <c r="G193" s="51"/>
      <c r="H193" s="51"/>
      <c r="I193" s="49">
        <f t="shared" ref="I193:I211" si="7">IF(A193&lt;&gt;0,(B193-(B192-D192))/(A193-A192),"")</f>
        <v>8.3413461538461533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42</v>
      </c>
      <c r="B194" s="60">
        <f>294.31/1.56</f>
        <v>188.66025641025641</v>
      </c>
      <c r="C194" s="60">
        <v>2</v>
      </c>
      <c r="D194" s="60">
        <f>70.51/1.56</f>
        <v>45.198717948717949</v>
      </c>
      <c r="E194" s="51"/>
      <c r="F194" s="51"/>
      <c r="G194" s="51"/>
      <c r="H194" s="51"/>
      <c r="I194" s="49">
        <f t="shared" si="7"/>
        <v>9.8108974358974379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f>347.88/1.56</f>
        <v>223</v>
      </c>
      <c r="C195" s="60">
        <v>3</v>
      </c>
      <c r="D195" s="60">
        <f>81.56/1.56</f>
        <v>52.282051282051285</v>
      </c>
      <c r="E195" s="51"/>
      <c r="F195" s="51"/>
      <c r="G195" s="51"/>
      <c r="H195" s="51"/>
      <c r="I195" s="49">
        <f t="shared" si="7"/>
        <v>9.9423076923076934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58</v>
      </c>
      <c r="B196" s="60">
        <f>386.86/1.56</f>
        <v>247.98717948717947</v>
      </c>
      <c r="C196" s="60">
        <v>4</v>
      </c>
      <c r="D196" s="60">
        <f>74.05/1.56</f>
        <v>47.467948717948715</v>
      </c>
      <c r="E196" s="51"/>
      <c r="F196" s="51"/>
      <c r="G196" s="51"/>
      <c r="H196" s="51"/>
      <c r="I196" s="49">
        <f t="shared" si="7"/>
        <v>9.6586538461538431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66</v>
      </c>
      <c r="B197" s="60">
        <f>427.9/1.56</f>
        <v>274.29487179487177</v>
      </c>
      <c r="C197" s="60">
        <v>5</v>
      </c>
      <c r="D197" s="60">
        <f>84.46/1.56</f>
        <v>54.141025641025635</v>
      </c>
      <c r="E197" s="51"/>
      <c r="F197" s="51"/>
      <c r="G197" s="51"/>
      <c r="H197" s="51"/>
      <c r="I197" s="49">
        <f t="shared" si="7"/>
        <v>9.2219551282051242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74</v>
      </c>
      <c r="B198" s="60">
        <f>451.86/1.56</f>
        <v>289.65384615384613</v>
      </c>
      <c r="C198" s="60">
        <v>6</v>
      </c>
      <c r="D198" s="60">
        <f>82.27/1.56</f>
        <v>52.737179487179482</v>
      </c>
      <c r="E198" s="51"/>
      <c r="F198" s="51"/>
      <c r="G198" s="51"/>
      <c r="H198" s="51"/>
      <c r="I198" s="49">
        <f t="shared" si="7"/>
        <v>8.6875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82</v>
      </c>
      <c r="B199" s="50">
        <f>471.61/1.56</f>
        <v>302.31410256410254</v>
      </c>
      <c r="C199" s="50">
        <v>7</v>
      </c>
      <c r="D199" s="50">
        <f>62.98/1.56</f>
        <v>40.371794871794869</v>
      </c>
      <c r="E199" s="51"/>
      <c r="F199" s="51"/>
      <c r="G199" s="51"/>
      <c r="H199" s="51"/>
      <c r="I199" s="49">
        <f t="shared" si="7"/>
        <v>8.1746794871794854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90</v>
      </c>
      <c r="B200" s="50">
        <f>506.82/1.56</f>
        <v>324.88461538461536</v>
      </c>
      <c r="C200" s="50">
        <v>8</v>
      </c>
      <c r="D200" s="50">
        <f>73.8/1.56</f>
        <v>47.307692307692307</v>
      </c>
      <c r="E200" s="51"/>
      <c r="F200" s="51"/>
      <c r="G200" s="51"/>
      <c r="H200" s="51"/>
      <c r="I200" s="49">
        <f t="shared" si="7"/>
        <v>7.8677884615384599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100</v>
      </c>
      <c r="B201" s="50">
        <f>551.38/1.56</f>
        <v>353.44871794871796</v>
      </c>
      <c r="C201" s="50">
        <v>9</v>
      </c>
      <c r="D201" s="50">
        <f>99.53/1.56</f>
        <v>63.801282051282051</v>
      </c>
      <c r="E201" s="51"/>
      <c r="F201" s="51"/>
      <c r="G201" s="51"/>
      <c r="H201" s="51"/>
      <c r="I201" s="49">
        <f t="shared" si="7"/>
        <v>7.5871794871794922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110</v>
      </c>
      <c r="B202" s="50">
        <f>565.28/1.56</f>
        <v>362.35897435897431</v>
      </c>
      <c r="C202" s="50">
        <v>10</v>
      </c>
      <c r="D202" s="50">
        <f>78.08/1.56</f>
        <v>50.051282051282051</v>
      </c>
      <c r="E202" s="51"/>
      <c r="F202" s="51"/>
      <c r="G202" s="51"/>
      <c r="H202" s="51"/>
      <c r="I202" s="49">
        <f t="shared" si="7"/>
        <v>7.2711538461538394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120</v>
      </c>
      <c r="B203" s="50">
        <f>599.13/1.56</f>
        <v>384.05769230769226</v>
      </c>
      <c r="C203" s="50">
        <v>11</v>
      </c>
      <c r="D203" s="50">
        <f>70.09/1.56</f>
        <v>44.929487179487182</v>
      </c>
      <c r="E203" s="51"/>
      <c r="F203" s="51"/>
      <c r="G203" s="51"/>
      <c r="H203" s="51"/>
      <c r="I203" s="49">
        <f t="shared" si="7"/>
        <v>7.1749999999999998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130</v>
      </c>
      <c r="B204" s="50">
        <f>640.94/1.56</f>
        <v>410.85897435897436</v>
      </c>
      <c r="C204" s="50">
        <v>12</v>
      </c>
      <c r="D204" s="50">
        <f>80.15/1.56</f>
        <v>51.378205128205131</v>
      </c>
      <c r="E204" s="51"/>
      <c r="F204" s="51"/>
      <c r="G204" s="51"/>
      <c r="H204" s="51"/>
      <c r="I204" s="49">
        <f t="shared" si="7"/>
        <v>7.1730769230769287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140</v>
      </c>
      <c r="B205" s="50">
        <f>673.47/1.56</f>
        <v>431.71153846153845</v>
      </c>
      <c r="C205" s="50">
        <v>13</v>
      </c>
      <c r="D205" s="50">
        <f>78.73/1.56</f>
        <v>50.467948717948715</v>
      </c>
      <c r="E205" s="51"/>
      <c r="F205" s="51"/>
      <c r="G205" s="51"/>
      <c r="H205" s="51"/>
      <c r="I205" s="49">
        <f t="shared" si="7"/>
        <v>7.2230769230769223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150</v>
      </c>
      <c r="B206" s="50">
        <v>453.55769230769226</v>
      </c>
      <c r="C206" s="50">
        <v>14</v>
      </c>
      <c r="D206" s="50">
        <v>178.72435897435898</v>
      </c>
      <c r="E206" s="51"/>
      <c r="F206" s="51"/>
      <c r="G206" s="51"/>
      <c r="H206" s="51"/>
      <c r="I206" s="49">
        <f t="shared" si="7"/>
        <v>7.2314102564102543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>
        <v>153</v>
      </c>
      <c r="B207" s="50">
        <v>292.90384615384613</v>
      </c>
      <c r="C207" s="50">
        <v>15</v>
      </c>
      <c r="D207" s="50">
        <v>105.26282051282051</v>
      </c>
      <c r="E207" s="51"/>
      <c r="F207" s="51"/>
      <c r="G207" s="51"/>
      <c r="H207" s="51"/>
      <c r="I207" s="49">
        <f t="shared" si="7"/>
        <v>6.0235042735042912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>
        <v>156</v>
      </c>
      <c r="B208" s="50">
        <v>195.81410256410257</v>
      </c>
      <c r="C208" s="50">
        <v>16</v>
      </c>
      <c r="D208" s="50">
        <v>65.070512820512818</v>
      </c>
      <c r="E208" s="51"/>
      <c r="F208" s="51"/>
      <c r="G208" s="51"/>
      <c r="H208" s="51"/>
      <c r="I208" s="49">
        <f t="shared" si="7"/>
        <v>2.724358974358978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>
        <v>159</v>
      </c>
      <c r="B209" s="50">
        <v>135.55128205128204</v>
      </c>
      <c r="C209" s="50">
        <v>17</v>
      </c>
      <c r="D209" s="50">
        <v>135.55128205128204</v>
      </c>
      <c r="E209" s="51"/>
      <c r="F209" s="51"/>
      <c r="G209" s="51"/>
      <c r="H209" s="51"/>
      <c r="I209" s="49">
        <f t="shared" si="7"/>
        <v>1.6025641025640975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Cormier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30</v>
      </c>
      <c r="B218" s="60">
        <f>169.14/1.56</f>
        <v>108.42307692307691</v>
      </c>
      <c r="C218" s="50"/>
      <c r="D218" s="60"/>
      <c r="E218" s="63"/>
      <c r="F218" s="63"/>
      <c r="G218" s="63"/>
      <c r="H218" s="63"/>
      <c r="I218" s="53">
        <f>IFERROR(B218/A218,"")</f>
        <v>3.6141025641025637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34</v>
      </c>
      <c r="B219" s="60">
        <f>221.19/1.56</f>
        <v>141.78846153846152</v>
      </c>
      <c r="C219" s="50">
        <v>1</v>
      </c>
      <c r="D219" s="60">
        <f>49.32/1.56</f>
        <v>31.615384615384613</v>
      </c>
      <c r="E219" s="63"/>
      <c r="F219" s="63"/>
      <c r="G219" s="63"/>
      <c r="H219" s="63"/>
      <c r="I219" s="53">
        <f t="shared" ref="I219:I237" si="8">IF(A219&lt;&gt;0,(B219-(B218-D218))/(A219-A218),"")</f>
        <v>8.3413461538461533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42</v>
      </c>
      <c r="B220" s="60">
        <f>294.31/1.56</f>
        <v>188.66025641025641</v>
      </c>
      <c r="C220" s="50">
        <v>2</v>
      </c>
      <c r="D220" s="60">
        <f>70.51/1.56</f>
        <v>45.198717948717949</v>
      </c>
      <c r="E220" s="63"/>
      <c r="F220" s="63"/>
      <c r="G220" s="63"/>
      <c r="H220" s="63"/>
      <c r="I220" s="53">
        <f t="shared" si="8"/>
        <v>9.8108974358974379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f>347.88/1.56</f>
        <v>223</v>
      </c>
      <c r="C221" s="55">
        <v>3</v>
      </c>
      <c r="D221" s="55">
        <f>81.56/1.56</f>
        <v>52.282051282051285</v>
      </c>
      <c r="E221" s="63"/>
      <c r="F221" s="63"/>
      <c r="G221" s="63"/>
      <c r="H221" s="63"/>
      <c r="I221" s="53">
        <f t="shared" si="8"/>
        <v>9.9423076923076934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58</v>
      </c>
      <c r="B222" s="55">
        <f>386.86/1.56</f>
        <v>247.98717948717947</v>
      </c>
      <c r="C222" s="55">
        <v>4</v>
      </c>
      <c r="D222" s="55">
        <f>74.05/1.56</f>
        <v>47.467948717948715</v>
      </c>
      <c r="E222" s="63"/>
      <c r="F222" s="63"/>
      <c r="G222" s="63"/>
      <c r="H222" s="63"/>
      <c r="I222" s="53">
        <f t="shared" si="8"/>
        <v>9.6586538461538431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66</v>
      </c>
      <c r="B223" s="55">
        <f>427.9/1.56</f>
        <v>274.29487179487177</v>
      </c>
      <c r="C223" s="55">
        <v>5</v>
      </c>
      <c r="D223" s="55">
        <f>84.46/1.56</f>
        <v>54.141025641025635</v>
      </c>
      <c r="E223" s="63"/>
      <c r="F223" s="63"/>
      <c r="G223" s="63"/>
      <c r="H223" s="63"/>
      <c r="I223" s="53">
        <f t="shared" si="8"/>
        <v>9.2219551282051242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74</v>
      </c>
      <c r="B224" s="55">
        <f>451.86/1.56</f>
        <v>289.65384615384613</v>
      </c>
      <c r="C224" s="55">
        <v>6</v>
      </c>
      <c r="D224" s="55">
        <f>82.27/1.56</f>
        <v>52.737179487179482</v>
      </c>
      <c r="E224" s="63"/>
      <c r="F224" s="63"/>
      <c r="G224" s="63"/>
      <c r="H224" s="63"/>
      <c r="I224" s="53">
        <f t="shared" si="8"/>
        <v>8.6875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82</v>
      </c>
      <c r="B225" s="55">
        <f>471.61/1.56</f>
        <v>302.31410256410254</v>
      </c>
      <c r="C225" s="55">
        <v>7</v>
      </c>
      <c r="D225" s="55">
        <f>62.98/1.56</f>
        <v>40.371794871794869</v>
      </c>
      <c r="E225" s="63"/>
      <c r="F225" s="63"/>
      <c r="G225" s="63"/>
      <c r="H225" s="63"/>
      <c r="I225" s="53">
        <f t="shared" si="8"/>
        <v>8.1746794871794854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90</v>
      </c>
      <c r="B226" s="55">
        <f>506.82/1.56</f>
        <v>324.88461538461536</v>
      </c>
      <c r="C226" s="55">
        <v>8</v>
      </c>
      <c r="D226" s="55">
        <f>73.8/1.56</f>
        <v>47.307692307692307</v>
      </c>
      <c r="E226" s="63"/>
      <c r="F226" s="63"/>
      <c r="G226" s="63"/>
      <c r="H226" s="63"/>
      <c r="I226" s="53">
        <f t="shared" si="8"/>
        <v>7.8677884615384599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100</v>
      </c>
      <c r="B227" s="55">
        <f>551.38/1.56</f>
        <v>353.44871794871796</v>
      </c>
      <c r="C227" s="55">
        <v>9</v>
      </c>
      <c r="D227" s="55">
        <f>99.53/1.56</f>
        <v>63.801282051282051</v>
      </c>
      <c r="E227" s="63"/>
      <c r="F227" s="63"/>
      <c r="G227" s="63"/>
      <c r="H227" s="63"/>
      <c r="I227" s="53">
        <f t="shared" si="8"/>
        <v>7.5871794871794922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110</v>
      </c>
      <c r="B228" s="55">
        <f>565.28/1.56</f>
        <v>362.35897435897431</v>
      </c>
      <c r="C228" s="55">
        <v>10</v>
      </c>
      <c r="D228" s="55">
        <f>78.08/1.56</f>
        <v>50.051282051282051</v>
      </c>
      <c r="E228" s="63"/>
      <c r="F228" s="63"/>
      <c r="G228" s="63"/>
      <c r="H228" s="63"/>
      <c r="I228" s="53">
        <f t="shared" si="8"/>
        <v>7.2711538461538394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120</v>
      </c>
      <c r="B229" s="55">
        <f>599.13/1.56</f>
        <v>384.05769230769226</v>
      </c>
      <c r="C229" s="55">
        <v>11</v>
      </c>
      <c r="D229" s="55">
        <f>70.09/1.56</f>
        <v>44.929487179487182</v>
      </c>
      <c r="E229" s="63"/>
      <c r="F229" s="63"/>
      <c r="G229" s="63"/>
      <c r="H229" s="63"/>
      <c r="I229" s="53">
        <f t="shared" si="8"/>
        <v>7.1749999999999998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130</v>
      </c>
      <c r="B230" s="55">
        <f>640.94/1.56</f>
        <v>410.85897435897436</v>
      </c>
      <c r="C230" s="55">
        <v>12</v>
      </c>
      <c r="D230" s="55">
        <f>80.15/1.56</f>
        <v>51.378205128205131</v>
      </c>
      <c r="E230" s="64"/>
      <c r="F230" s="64"/>
      <c r="G230" s="64"/>
      <c r="H230" s="64"/>
      <c r="I230" s="53">
        <f t="shared" si="8"/>
        <v>7.1730769230769287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140</v>
      </c>
      <c r="B231" s="60">
        <f>673.47/1.56</f>
        <v>431.71153846153845</v>
      </c>
      <c r="C231" s="88">
        <v>13</v>
      </c>
      <c r="D231" s="60">
        <f>78.73/1.56</f>
        <v>50.467948717948715</v>
      </c>
      <c r="E231" s="54"/>
      <c r="F231" s="54"/>
      <c r="G231" s="54"/>
      <c r="H231" s="54"/>
      <c r="I231" s="53">
        <f t="shared" si="8"/>
        <v>7.2230769230769223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150</v>
      </c>
      <c r="B232" s="50">
        <v>453.55769230769226</v>
      </c>
      <c r="C232" s="50">
        <v>14</v>
      </c>
      <c r="D232" s="50">
        <v>178.72435897435898</v>
      </c>
      <c r="E232" s="54"/>
      <c r="F232" s="54"/>
      <c r="G232" s="54"/>
      <c r="H232" s="54"/>
      <c r="I232" s="53">
        <f t="shared" si="8"/>
        <v>7.2314102564102543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>
        <v>153</v>
      </c>
      <c r="B233" s="50">
        <v>292.90384615384613</v>
      </c>
      <c r="C233" s="50">
        <v>15</v>
      </c>
      <c r="D233" s="50">
        <v>105.26282051282051</v>
      </c>
      <c r="E233" s="54"/>
      <c r="F233" s="54"/>
      <c r="G233" s="54"/>
      <c r="H233" s="54"/>
      <c r="I233" s="53">
        <f t="shared" si="8"/>
        <v>6.0235042735042912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>
        <v>156</v>
      </c>
      <c r="B234" s="50">
        <v>195.81410256410257</v>
      </c>
      <c r="C234" s="50">
        <v>16</v>
      </c>
      <c r="D234" s="50">
        <v>65.070512820512818</v>
      </c>
      <c r="E234" s="54"/>
      <c r="F234" s="54"/>
      <c r="G234" s="54"/>
      <c r="H234" s="54"/>
      <c r="I234" s="53">
        <f t="shared" si="8"/>
        <v>2.724358974358978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>
        <v>159</v>
      </c>
      <c r="B235" s="50">
        <v>135.55128205128204</v>
      </c>
      <c r="C235" s="50">
        <v>17</v>
      </c>
      <c r="D235" s="50">
        <v>135.55128205128204</v>
      </c>
      <c r="E235" s="54"/>
      <c r="F235" s="54"/>
      <c r="G235" s="54"/>
      <c r="H235" s="54"/>
      <c r="I235" s="53">
        <f t="shared" si="8"/>
        <v>1.6025641025640975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Chêne chevelu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10</v>
      </c>
      <c r="B244" s="60">
        <v>23</v>
      </c>
      <c r="C244" s="60"/>
      <c r="D244" s="60"/>
      <c r="E244" s="51"/>
      <c r="F244" s="51"/>
      <c r="G244" s="51"/>
      <c r="H244" s="63"/>
      <c r="I244" s="53">
        <f>IFERROR(B244/A244,"")</f>
        <v>2.2999999999999998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15</v>
      </c>
      <c r="B245" s="60">
        <v>60</v>
      </c>
      <c r="C245" s="60"/>
      <c r="D245" s="60"/>
      <c r="E245" s="63"/>
      <c r="F245" s="63"/>
      <c r="G245" s="63"/>
      <c r="H245" s="63"/>
      <c r="I245" s="53">
        <f>IF(A245&lt;&gt;0,(B245-(B244-D244))/(A245-A244),"")</f>
        <v>7.4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20</v>
      </c>
      <c r="B246" s="60">
        <v>108</v>
      </c>
      <c r="C246" s="60">
        <v>1</v>
      </c>
      <c r="D246" s="60">
        <v>41</v>
      </c>
      <c r="E246" s="63">
        <v>0.1</v>
      </c>
      <c r="F246" s="63">
        <v>0.45</v>
      </c>
      <c r="G246" s="63">
        <v>0.45</v>
      </c>
      <c r="H246" s="63"/>
      <c r="I246" s="53">
        <f>IF(A246&lt;&gt;0,(B246-(B245-D245))/(A246-A245),"")</f>
        <v>9.6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30</v>
      </c>
      <c r="B247" s="60">
        <v>158</v>
      </c>
      <c r="C247" s="60">
        <v>2</v>
      </c>
      <c r="D247" s="60">
        <v>47</v>
      </c>
      <c r="E247" s="63">
        <v>0.2</v>
      </c>
      <c r="F247" s="63">
        <v>0.4</v>
      </c>
      <c r="G247" s="63">
        <v>0.4</v>
      </c>
      <c r="H247" s="63"/>
      <c r="I247" s="53">
        <f t="shared" ref="I247:I263" si="9">IF(A247&lt;&gt;0,(B247-(B246-D246))/(A247-A246),"")</f>
        <v>9.1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40</v>
      </c>
      <c r="B248" s="60">
        <v>192</v>
      </c>
      <c r="C248" s="60">
        <v>3</v>
      </c>
      <c r="D248" s="60">
        <v>47</v>
      </c>
      <c r="E248" s="63"/>
      <c r="F248" s="63"/>
      <c r="G248" s="63"/>
      <c r="H248" s="63"/>
      <c r="I248" s="53">
        <f t="shared" si="9"/>
        <v>8.1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50</v>
      </c>
      <c r="B249" s="60">
        <v>213</v>
      </c>
      <c r="C249" s="60">
        <v>4</v>
      </c>
      <c r="D249" s="60">
        <v>43</v>
      </c>
      <c r="E249" s="63"/>
      <c r="F249" s="63"/>
      <c r="G249" s="63"/>
      <c r="H249" s="63"/>
      <c r="I249" s="53">
        <f t="shared" si="9"/>
        <v>6.8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60</v>
      </c>
      <c r="B250" s="60">
        <v>227</v>
      </c>
      <c r="C250" s="60">
        <v>5</v>
      </c>
      <c r="D250" s="60">
        <v>38</v>
      </c>
      <c r="E250" s="63"/>
      <c r="F250" s="63"/>
      <c r="G250" s="63"/>
      <c r="H250" s="63"/>
      <c r="I250" s="53">
        <f t="shared" si="9"/>
        <v>5.7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70</v>
      </c>
      <c r="B251" s="55">
        <v>237</v>
      </c>
      <c r="C251" s="55">
        <v>6</v>
      </c>
      <c r="D251" s="55">
        <v>33</v>
      </c>
      <c r="E251" s="63"/>
      <c r="F251" s="63"/>
      <c r="G251" s="63"/>
      <c r="H251" s="63"/>
      <c r="I251" s="53">
        <f t="shared" si="9"/>
        <v>4.8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80</v>
      </c>
      <c r="B252" s="55">
        <v>241</v>
      </c>
      <c r="C252" s="55">
        <v>7</v>
      </c>
      <c r="D252" s="55">
        <v>27</v>
      </c>
      <c r="E252" s="63"/>
      <c r="F252" s="63"/>
      <c r="G252" s="63"/>
      <c r="H252" s="63"/>
      <c r="I252" s="53">
        <f t="shared" si="9"/>
        <v>3.7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90</v>
      </c>
      <c r="B253" s="55">
        <v>245</v>
      </c>
      <c r="C253" s="55">
        <v>8</v>
      </c>
      <c r="D253" s="55">
        <v>23</v>
      </c>
      <c r="E253" s="63"/>
      <c r="F253" s="63"/>
      <c r="G253" s="63"/>
      <c r="H253" s="63"/>
      <c r="I253" s="53">
        <f t="shared" si="9"/>
        <v>3.1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100</v>
      </c>
      <c r="B254" s="55">
        <v>251</v>
      </c>
      <c r="C254" s="55">
        <v>9</v>
      </c>
      <c r="D254" s="55">
        <v>23</v>
      </c>
      <c r="E254" s="63"/>
      <c r="F254" s="63"/>
      <c r="G254" s="63"/>
      <c r="H254" s="63"/>
      <c r="I254" s="53">
        <f t="shared" si="9"/>
        <v>2.9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Erable champêtre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20</v>
      </c>
      <c r="B270" s="60">
        <v>95</v>
      </c>
      <c r="C270" s="50">
        <v>1</v>
      </c>
      <c r="D270" s="60">
        <f>15+28</f>
        <v>43</v>
      </c>
      <c r="E270" s="51"/>
      <c r="F270" s="51">
        <v>0.25</v>
      </c>
      <c r="G270" s="51">
        <v>0.25</v>
      </c>
      <c r="H270" s="51">
        <v>0.5</v>
      </c>
      <c r="I270" s="53">
        <f>IFERROR(B270/A270,"")</f>
        <v>4.75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30</v>
      </c>
      <c r="B271" s="60">
        <v>174</v>
      </c>
      <c r="C271" s="50">
        <v>2</v>
      </c>
      <c r="D271" s="60">
        <f>28+28</f>
        <v>56</v>
      </c>
      <c r="E271" s="51"/>
      <c r="F271" s="51">
        <v>0.25</v>
      </c>
      <c r="G271" s="51">
        <v>0.25</v>
      </c>
      <c r="H271" s="51">
        <v>0.5</v>
      </c>
      <c r="I271" s="53">
        <f>IF(A271&lt;&gt;0,(B271-(B270-D270))/(A271-A270),"")</f>
        <v>12.2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40</v>
      </c>
      <c r="B272" s="60">
        <v>220</v>
      </c>
      <c r="C272" s="50">
        <v>3</v>
      </c>
      <c r="D272" s="60">
        <f>28+28</f>
        <v>56</v>
      </c>
      <c r="E272" s="51"/>
      <c r="F272" s="51"/>
      <c r="G272" s="51"/>
      <c r="H272" s="51"/>
      <c r="I272" s="53">
        <f t="shared" ref="I272:I289" si="10">IF(A272&lt;&gt;0,(B272-(B271-D271))/(A272-A271),"")</f>
        <v>10.199999999999999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50</v>
      </c>
      <c r="B273" s="60">
        <v>241</v>
      </c>
      <c r="C273" s="50">
        <v>4</v>
      </c>
      <c r="D273" s="60">
        <f>22+17</f>
        <v>39</v>
      </c>
      <c r="E273" s="51"/>
      <c r="F273" s="51"/>
      <c r="G273" s="51"/>
      <c r="H273" s="51"/>
      <c r="I273" s="53">
        <f t="shared" si="10"/>
        <v>7.7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60</v>
      </c>
      <c r="B274" s="60">
        <v>258</v>
      </c>
      <c r="C274" s="50">
        <v>5</v>
      </c>
      <c r="D274" s="60">
        <f>13+12</f>
        <v>25</v>
      </c>
      <c r="E274" s="51"/>
      <c r="F274" s="51"/>
      <c r="G274" s="51"/>
      <c r="H274" s="51"/>
      <c r="I274" s="53">
        <f t="shared" si="10"/>
        <v>5.6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70</v>
      </c>
      <c r="B275" s="60">
        <v>274</v>
      </c>
      <c r="C275" s="50">
        <v>6</v>
      </c>
      <c r="D275" s="60">
        <f>11+10</f>
        <v>21</v>
      </c>
      <c r="E275" s="63"/>
      <c r="F275" s="63"/>
      <c r="G275" s="63"/>
      <c r="H275" s="63"/>
      <c r="I275" s="53">
        <f t="shared" si="10"/>
        <v>4.0999999999999996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80</v>
      </c>
      <c r="B276" s="60">
        <f>267+9+8</f>
        <v>284</v>
      </c>
      <c r="C276" s="50">
        <v>7</v>
      </c>
      <c r="D276" s="60">
        <f>B276</f>
        <v>284</v>
      </c>
      <c r="E276" s="63"/>
      <c r="F276" s="63"/>
      <c r="G276" s="63"/>
      <c r="H276" s="63"/>
      <c r="I276" s="53">
        <f t="shared" si="10"/>
        <v>3.1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hybride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Châtaignier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Robinier faux-acacia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pubescent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Cormier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Chêne chevelu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Erable champêtre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309.07357540707869</v>
      </c>
      <c r="T3" s="59">
        <f>IF('Données projet'!E9&gt;30,$R$33-$H$33,LOOKUP('Données projet'!$E$9,$A$3:$A$203,R3:R203)-LOOKUP('Données projet'!$E$9,$A$3:$A$203,$H$3:$H$203))</f>
        <v>155.9593924683299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210.07838338464626</v>
      </c>
      <c r="AO3" s="59">
        <f>IF('Données projet'!E10&gt;30,$AM$33-$H$33,LOOKUP('Données projet'!$E$10,$A$3:$A$203,AM3:AM203)-LOOKUP('Données projet'!$E$10,$A$3:$A$203,$H$3:$H$203))</f>
        <v>241.76003724236273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168.72306536277267</v>
      </c>
      <c r="BJ3" s="59">
        <f>IF('Données projet'!E11&gt;30,$BH$33-$H$33,LOOKUP('Données projet'!$E$11,$A$3:$A$203,BH3:BH203)-LOOKUP('Données projet'!$E$11,$A$3:$A$203,$H$3:$H$203))</f>
        <v>203.35476578922339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158.58786357608489</v>
      </c>
      <c r="CE3" s="59">
        <f>IF('Données projet'!E12&gt;30,$CC$33-$H$33,LOOKUP('Données projet'!$E$12,$A$3:$A$203,CC3:CC203)-LOOKUP('Données projet'!$E$12,$A$3:$A$203,$H$3:$H$203))</f>
        <v>163.20074068819849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178.12968684094687</v>
      </c>
      <c r="CZ3" s="59">
        <f>IF('Données projet'!E13&gt;30,$CX$33-$H$33,LOOKUP('Données projet'!$E$13,$A$3:$A$203,CX3:CX203)-LOOKUP('Données projet'!$E$13,$A$3:$A$203,$H$3:$H$203))</f>
        <v>219.36004077210373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225.28075317732998</v>
      </c>
      <c r="DU3" s="59">
        <f>IF('Données projet'!E14&gt;30,$DS$33-$H$33,LOOKUP('Données projet'!$E$14,$A$3:$A$203,DS3:DS203)-LOOKUP('Données projet'!$E$14,$A$3:$A$203,$H$3:$H$203))</f>
        <v>358.43407531256207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363.98308691765931</v>
      </c>
      <c r="EP3" s="59">
        <f>IF('Données projet'!E15&gt;30,$EN$33-$H$33,LOOKUP('Données projet'!$E$15,$A$3:$A$203,EN3:EN203)-LOOKUP('Données projet'!$E$15,$A$3:$A$203,$H$3:$H$203))</f>
        <v>181.47089407988187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395.30533160963489</v>
      </c>
      <c r="FK3" s="59">
        <f>IF('Données projet'!E16&gt;30,$FI$33-$H$33,LOOKUP('Données projet'!$E$16,$A$3:$A$203,FI3:FI203)-LOOKUP('Données projet'!$E$16,$A$3:$A$203,$H$3:$H$203))</f>
        <v>196.02102977695085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269.41185214595805</v>
      </c>
      <c r="GF3" s="59">
        <f>IF('Données projet'!E17&gt;30,$GD$33-$H$33,LOOKUP('Données projet'!$E$17,$A$3:$A$203,GD3:GD203)-LOOKUP('Données projet'!$E$17,$A$3:$A$203,$H$3:$H$203))</f>
        <v>299.70148160580993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226.35975611953359</v>
      </c>
      <c r="HA3" s="59">
        <f>IF('Données projet'!E18&gt;30,$GY$33-$H$33,LOOKUP('Données projet'!$E$18,$A$3:$A$203,GY3:GY203)-LOOKUP('Données projet'!$E$18,$A$3:$A$203,$H$3:$H$203))</f>
        <v>271.65876694892461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3.6141025641025637</v>
      </c>
      <c r="N4" s="13">
        <f>IF('Données projet'!$A$36&gt;35,N3+M4-V3,IF(A4&lt;'Données projet'!$A$36,$K$205^A4,IF(A4='Données projet'!$A$36,'Données projet'!$B$36,N3+M4-V3)))</f>
        <v>1.1690615875970631</v>
      </c>
      <c r="O4" s="13">
        <f>N4*VLOOKUP('Données projet'!$B$9,Paramètres!$A$1:$I$89,3,0)*VLOOKUP('Données projet'!$B$9,Paramètres!$A$1:$I$89,5,0)</f>
        <v>1.0577669244578227</v>
      </c>
      <c r="P4" s="13">
        <f>EXP(-1.0587+0.8836*LN(O4)+0.284)</f>
        <v>0.48428727045047132</v>
      </c>
      <c r="Q4" s="20">
        <f t="shared" ref="Q4:Q34" si="2">(O4+P4)*0.475*44/12</f>
        <v>2.6857443894652788</v>
      </c>
      <c r="R4" s="59">
        <f t="shared" si="0"/>
        <v>296.01907772279861</v>
      </c>
      <c r="S4" s="59">
        <f ca="1">AVERAGE(OFFSET($R$3,0,0,'Données projet'!$E$9+1,1))-AVERAGE(OFFSET($H$3,0,0,'Données projet'!$E$9+1,1))</f>
        <v>309.07357540707869</v>
      </c>
      <c r="T4" s="59">
        <f>$T$3</f>
        <v>155.9593924683299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2.2999999999999998</v>
      </c>
      <c r="AI4" s="13">
        <f>IF('Données projet'!$A$62&gt;35,AI3+AH4-AQ3,IF(A4&lt;'Données projet'!$A$62,$AF$205^A4,IF(A4='Données projet'!$A$62,'Données projet'!$B$62,AI3+AH4-AQ3)))</f>
        <v>1.3682730833261529</v>
      </c>
      <c r="AJ4" s="13">
        <f>AI4*VLOOKUP('Données projet'!$B$10,Paramètres!$A$1:$I$89,3,0)*VLOOKUP('Données projet'!$B$10,Paramètres!$A$1:$I$89,5,0)</f>
        <v>1.1953233655937274</v>
      </c>
      <c r="AK4" s="13">
        <f>EXP(-1.0587+0.8836*LN(AJ4)+0.284)</f>
        <v>0.53953319778599107</v>
      </c>
      <c r="AL4" s="20">
        <f t="shared" ref="AL4:AL67" si="4">(AJ4+AK4)*0.475*44/12</f>
        <v>3.0215418478863434</v>
      </c>
      <c r="AM4" s="59">
        <f t="shared" ref="AM4:AM67" si="5">AL4+(AD4+AE4)*44/12</f>
        <v>296.35487518121965</v>
      </c>
      <c r="AN4" s="59">
        <f ca="1">AVERAGE(OFFSET($AM$3,0,0,'Données projet'!$E$10+1,1))-AVERAGE(OFFSET($H$3,0,0,'Données projet'!$E$10+1,1))</f>
        <v>210.07838338464626</v>
      </c>
      <c r="AO4" s="59">
        <f>$AO$3</f>
        <v>241.76003724236273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2.2999999999999998</v>
      </c>
      <c r="BD4" s="12">
        <f>IF('Données projet'!$A$88&gt;35,BD3+BC4-BL3,IF(A4&lt;'Données projet'!$A$88,$BA$205^A4,IF(A4='Données projet'!$A$88,'Données projet'!$B$88,BD3+BC4-BL3)))</f>
        <v>1.3682730833261529</v>
      </c>
      <c r="BE4" s="13">
        <f>BD4*VLOOKUP('Données projet'!$B$11,Paramètres!$A$1:$I$89,3,0)*VLOOKUP('Données projet'!$B$11,Paramètres!$A$1:$I$89,5,0)</f>
        <v>0.74707710349607948</v>
      </c>
      <c r="BF4" s="13">
        <f>EXP(-1.0587+0.8836*LN(BE4)+0.284)</f>
        <v>0.35617034384652524</v>
      </c>
      <c r="BG4" s="20">
        <f t="shared" ref="BG4:BG67" si="7">(BE4+BF4)*0.475*44/12</f>
        <v>1.9214893041217032</v>
      </c>
      <c r="BH4" s="59">
        <f t="shared" ref="BH4:BH67" si="8">BG4+(AY4+AZ4)*44/12</f>
        <v>295.25482263745499</v>
      </c>
      <c r="BI4" s="59">
        <f ca="1">AVERAGE(OFFSET($BH$3,0,0,'Données projet'!$E$11+1,1))-AVERAGE(OFFSET($H$3,0,0,'Données projet'!$E$11+1,1))</f>
        <v>168.72306536277267</v>
      </c>
      <c r="BJ4" s="59">
        <f>$BJ$3</f>
        <v>203.35476578922339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7.2264102564102561</v>
      </c>
      <c r="BY4" s="12">
        <f>IF('Données projet'!$A$114&gt;35,BY3+BX4-CG3,IF(A4&lt;'Données projet'!$A$114,$BV$205^A4,IF(A4='Données projet'!$A$114,'Données projet'!$B$114,BY3+BX4-CG3)))</f>
        <v>1.1963772029987372</v>
      </c>
      <c r="BZ4" s="13">
        <f>BY4*VLOOKUP('Données projet'!$B$12,Paramètres!$A$1:$I$89,3,0)*VLOOKUP('Données projet'!$B$12,Paramètres!$A$1:$I$89,5,0)</f>
        <v>0.55990453100340898</v>
      </c>
      <c r="CA4" s="13">
        <f>EXP(-1.0587+0.8836*LN(BZ4)+0.284)</f>
        <v>0.2760486193577778</v>
      </c>
      <c r="CB4" s="20">
        <f t="shared" ref="CB4:CB67" si="10">(BZ4+CA4)*0.475*44/12</f>
        <v>1.4559517368790669</v>
      </c>
      <c r="CC4" s="59">
        <f t="shared" ref="CC4:CC67" si="11">CB4+(BT4+BU4)*44/12</f>
        <v>294.78928507021237</v>
      </c>
      <c r="CD4" s="59">
        <f ca="1">AVERAGE(OFFSET($CC$3,0,0,'Données projet'!$E$12+1,1))-AVERAGE(OFFSET($H$3,0,0,'Données projet'!$E$12+1,1))</f>
        <v>158.58786357608489</v>
      </c>
      <c r="CE4" s="59">
        <f>$CE$3</f>
        <v>163.20074068819849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4.75</v>
      </c>
      <c r="CT4" s="12">
        <f>IF('Données projet'!$A$140&gt;35,CT3+CS4-DB3,IF(A4&lt;'Données projet'!$A$140,$CQ$205^A4,IF(A4='Données projet'!$A$140,'Données projet'!$B$140,CT3+CS4-DB3)))</f>
        <v>1.2557008269631629</v>
      </c>
      <c r="CU4" s="17">
        <f>CT4*VLOOKUP('Données projet'!$B$13,Paramètres!$A$1:$I$89,3,0)*VLOOKUP('Données projet'!$B$13,Paramètres!$A$1:$I$89,5,0)</f>
        <v>0.92067984632939093</v>
      </c>
      <c r="CV4" s="13">
        <f>EXP(-1.0587+0.8836*LN(CU4)+0.284)</f>
        <v>0.42838914348681989</v>
      </c>
      <c r="CW4" s="20">
        <f t="shared" ref="CW4:CW67" si="13">(CU4+CV4)*0.475*44/12</f>
        <v>2.349628490596567</v>
      </c>
      <c r="CX4" s="59">
        <f t="shared" ref="CX4:CX67" si="14">CW4+(CO4+CP4)*44/12</f>
        <v>295.68296182392987</v>
      </c>
      <c r="CY4" s="59">
        <f ca="1">AVERAGE(OFFSET($CX$3,0,0,'Données projet'!$E$13+1,1))-AVERAGE(OFFSET($H$3,0,0,'Données projet'!$E$13+1,1))</f>
        <v>178.12968684094687</v>
      </c>
      <c r="CZ4" s="59">
        <f>$CZ$3</f>
        <v>219.36004077210373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8.4</v>
      </c>
      <c r="DO4" s="12">
        <f>IF('Données projet'!$A$166&gt;35,DO3+DN4-DW3,IF(A4&lt;'Données projet'!$A$166,$DL$205^A4,IF(A4='Données projet'!$A$166,'Données projet'!$B$166,DO3+DN4-DW3)))</f>
        <v>2.1117857649667542</v>
      </c>
      <c r="DP4" s="17">
        <f>DO4*VLOOKUP('Données projet'!$B$14,Paramètres!$A$1:$I$89,3,0)*VLOOKUP('Données projet'!$B$14,Paramètres!$A$1:$I$89,5,0)</f>
        <v>1.910743760141919</v>
      </c>
      <c r="DQ4" s="13">
        <f>EXP(-1.0587+0.8836*LN(DP4)+0.284)</f>
        <v>0.81662477151702273</v>
      </c>
      <c r="DR4" s="20">
        <f t="shared" ref="DR4:DR67" si="16">(DP4+DQ4)*0.475*44/12</f>
        <v>4.7501668593059909</v>
      </c>
      <c r="DS4" s="59">
        <f t="shared" ref="DS4:DS67" si="17">DR4+(DJ4+DK4)*44/12</f>
        <v>298.08350019263929</v>
      </c>
      <c r="DT4" s="59">
        <f ca="1">AVERAGE(OFFSET($DS$3,0,0,'Données projet'!$E$14+1,1))-AVERAGE(OFFSET($H$3,0,0,'Données projet'!$E$14+1,1))</f>
        <v>225.28075317732998</v>
      </c>
      <c r="DU4" s="59">
        <f>$DU$3</f>
        <v>358.43407531256207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3.6141025641025637</v>
      </c>
      <c r="EJ4" s="12">
        <f>IF('Données projet'!$A$192&gt;35,EJ3+EI4-ER3,IF(A4&lt;'Données projet'!$A$192,$EG$205^A4,IF(A4='Données projet'!$A$192,'Données projet'!$B$192,EJ3+EI4-ER3)))</f>
        <v>1.1690615875970631</v>
      </c>
      <c r="EK4" s="17">
        <f>EJ4*VLOOKUP('Données projet'!$B$15,Paramètres!$A$1:$I$89,3,0)*VLOOKUP('Données projet'!$B$15,Paramètres!$A$1:$I$89,5,0)</f>
        <v>1.185428449823422</v>
      </c>
      <c r="EL4" s="13">
        <f>EXP(-1.0587+0.8836*LN(EK4)+0.284)</f>
        <v>0.53558489542399201</v>
      </c>
      <c r="EM4" s="20">
        <f t="shared" ref="EM4:EM67" si="19">(EK4+EL4)*0.475*44/12</f>
        <v>2.9974315763059121</v>
      </c>
      <c r="EN4" s="59">
        <f t="shared" ref="EN4:EN67" si="20">EM4+(EE4+EF4)*44/12</f>
        <v>296.33076490963924</v>
      </c>
      <c r="EO4" s="59">
        <f ca="1">AVERAGE(OFFSET($EN$3,0,0,'Données projet'!$E$15+1,1))-AVERAGE(OFFSET($H$3,0,0,'Données projet'!$E$15+1,1))</f>
        <v>363.98308691765931</v>
      </c>
      <c r="EP4" s="59">
        <f>$EP$3</f>
        <v>181.47089407988187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3.6141025641025637</v>
      </c>
      <c r="FE4" s="12">
        <f>IF('Données projet'!$A$218&gt;35,FE3+FD4-FM3,IF(A4&lt;'Données projet'!$A$218,$FB$205^A4,IF(A4='Données projet'!$A$218,'Données projet'!$B$218,FE3+FD4-FM3)))</f>
        <v>1.1690615875970631</v>
      </c>
      <c r="FF4" s="17">
        <f>FE4*VLOOKUP('Données projet'!$B$16,Paramètres!$A$1:$I$89,3,0)*VLOOKUP('Données projet'!$B$16,Paramètres!$A$1:$I$89,5,0)</f>
        <v>1.2583778928894787</v>
      </c>
      <c r="FG4" s="13">
        <f>EXP(-1.0587+0.8836*LN(FF4)+0.284)</f>
        <v>0.56460553997130991</v>
      </c>
      <c r="FH4" s="20">
        <f t="shared" ref="FH4:FH67" si="22">(FF4+FG4)*0.475*44/12</f>
        <v>3.1750294788992068</v>
      </c>
      <c r="FI4" s="59">
        <f t="shared" ref="FI4:FI67" si="23">FH4+(EZ4+FA4)*44/12</f>
        <v>296.50836281223252</v>
      </c>
      <c r="FJ4" s="59">
        <f ca="1">AVERAGE(OFFSET($FI$3,0,0,'Données projet'!$E$16+1,1))-AVERAGE(OFFSET($H$3,0,0,'Données projet'!$E$16+1,1))</f>
        <v>395.30533160963489</v>
      </c>
      <c r="FK4" s="59">
        <f>$FK$3</f>
        <v>196.02102977695085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2.2999999999999998</v>
      </c>
      <c r="FZ4" s="12">
        <f>IF('Données projet'!$A$244&gt;35,FZ3+FY4-GH3,IF(A4&lt;'Données projet'!$A$244,$FW$205^A4,IF(A4='Données projet'!$A$244,'Données projet'!$B$244,FZ3+FY4-GH3)))</f>
        <v>1.3682730833261529</v>
      </c>
      <c r="GA4" s="17">
        <f>FZ4*VLOOKUP('Données projet'!$B$17,Paramètres!$A$1:$I$89,3,0)*VLOOKUP('Données projet'!$B$17,Paramètres!$A$1:$I$89,5,0)</f>
        <v>1.4301190266924952</v>
      </c>
      <c r="GB4" s="13">
        <f>EXP(-1.0587+0.8836*LN(GA4)+0.284)</f>
        <v>0.63217734358540789</v>
      </c>
      <c r="GC4" s="20">
        <f t="shared" ref="GC4:GC67" si="25">(GA4+GB4)*0.475*44/12</f>
        <v>3.5918328449006816</v>
      </c>
      <c r="GD4" s="59">
        <f t="shared" ref="GD4:GD67" si="26">GC4+(FU4+FV4)*44/12</f>
        <v>296.92516617823401</v>
      </c>
      <c r="GE4" s="59">
        <f ca="1">AVERAGE(OFFSET($GD$3,0,0,'Données projet'!$E$17+1,1))-AVERAGE(OFFSET($H$3,0,0,'Données projet'!$E$17+1,1))</f>
        <v>269.41185214595805</v>
      </c>
      <c r="GF4" s="59">
        <f>$GF$3</f>
        <v>299.70148160580993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4.75</v>
      </c>
      <c r="GU4" s="12">
        <f>IF('Données projet'!$A$270&gt;35,GU3+GT4-HC3,IF(A4&lt;'Données projet'!$A$270,$GR$205^A4,IF(A4='Données projet'!$A$270,'Données projet'!$B$270,GU3+GT4-HC3)))</f>
        <v>1.2557008269631629</v>
      </c>
      <c r="GV4" s="17">
        <f>GU4*VLOOKUP('Données projet'!$B$18,Paramètres!$A$1:$I$89,3,0)*VLOOKUP('Données projet'!$B$18,Paramètres!$A$1:$I$89,5,0)</f>
        <v>1.0969802424350192</v>
      </c>
      <c r="GW4" s="13">
        <f>EXP(-1.0587+0.8836*LN(GV4)+0.284)</f>
        <v>0.50011712916308415</v>
      </c>
      <c r="GX4" s="20">
        <f t="shared" ref="GX4:GX67" si="28">(GV4+GW4)*0.475*44/12</f>
        <v>2.7816112555333632</v>
      </c>
      <c r="GY4" s="59">
        <f t="shared" ref="GY4:GY67" si="29">GX4+(GP4+GQ4)*44/12</f>
        <v>296.11494458886671</v>
      </c>
      <c r="GZ4" s="59">
        <f ca="1">AVERAGE(OFFSET($GY$3,0,0,'Données projet'!$E$18+1,1))-AVERAGE(OFFSET($H$3,0,0,'Données projet'!$E$18+1,1))</f>
        <v>226.35975611953359</v>
      </c>
      <c r="HA4" s="59">
        <f>$HA$3</f>
        <v>271.65876694892461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3.6141025641025637</v>
      </c>
      <c r="N5" s="13">
        <f>IF('Données projet'!$A$36&gt;35,N4+M5-V4,IF(A5&lt;'Données projet'!$A$36,$K$205^A5,IF(A5='Données projet'!$A$36,'Données projet'!$B$36,N4+M5-V4)))</f>
        <v>1.3667049955949657</v>
      </c>
      <c r="O5" s="13">
        <f>N5*VLOOKUP('Données projet'!$B$9,Paramètres!$A$1:$I$89,3,0)*VLOOKUP('Données projet'!$B$9,Paramètres!$A$1:$I$89,5,0)</f>
        <v>1.236594680014325</v>
      </c>
      <c r="P5" s="13">
        <f t="shared" ref="P5:P68" si="33">EXP(-1.0587+0.8836*LN(O5)+0.284)</f>
        <v>0.55596080148480498</v>
      </c>
      <c r="Q5" s="20">
        <f t="shared" si="2"/>
        <v>3.1220341302776515</v>
      </c>
      <c r="R5" s="59">
        <f t="shared" si="0"/>
        <v>296.45536746361097</v>
      </c>
      <c r="S5" s="59">
        <f ca="1">AVERAGE(OFFSET($R$3,0,0,'Données projet'!$E$9+1,1))-AVERAGE(OFFSET($H$3,0,0,'Données projet'!$E$9+1,1))</f>
        <v>309.07357540707869</v>
      </c>
      <c r="T5" s="59">
        <f t="shared" ref="T5:T68" si="34">$T$3</f>
        <v>155.9593924683299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2.2999999999999998</v>
      </c>
      <c r="AI5" s="13">
        <f>IF('Données projet'!$A$62&gt;35,AI4+AH5-AQ4,IF(A5&lt;'Données projet'!$A$62,$AF$205^A5,IF(A5='Données projet'!$A$62,'Données projet'!$B$62,AI4+AH5-AQ4)))</f>
        <v>1.8721712305548575</v>
      </c>
      <c r="AJ5" s="13">
        <f>AI5*VLOOKUP('Données projet'!$B$10,Paramètres!$A$1:$I$89,3,0)*VLOOKUP('Données projet'!$B$10,Paramètres!$A$1:$I$89,5,0)</f>
        <v>1.6355287870127238</v>
      </c>
      <c r="AK5" s="13">
        <f t="shared" ref="AK5:AK68" si="35">EXP(-1.0587+0.8836*LN(AJ5)+0.284)</f>
        <v>0.71177125311828726</v>
      </c>
      <c r="AL5" s="20">
        <f t="shared" si="4"/>
        <v>4.0882142365615106</v>
      </c>
      <c r="AM5" s="59">
        <f t="shared" si="5"/>
        <v>297.42154756989481</v>
      </c>
      <c r="AN5" s="59">
        <f ca="1">AVERAGE(OFFSET($AM$3,0,0,'Données projet'!$E$10+1,1))-AVERAGE(OFFSET($H$3,0,0,'Données projet'!$E$10+1,1))</f>
        <v>210.07838338464626</v>
      </c>
      <c r="AO5" s="59">
        <f t="shared" ref="AO5:AO68" si="36">$AO$3</f>
        <v>241.76003724236273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2.2999999999999998</v>
      </c>
      <c r="BD5" s="12">
        <f>IF('Données projet'!$A$88&gt;35,BD4+BC5-BL4,IF(A5&lt;'Données projet'!$A$88,$BA$205^A5,IF(A5='Données projet'!$A$88,'Données projet'!$B$88,BD4+BC5-BL4)))</f>
        <v>1.8721712305548575</v>
      </c>
      <c r="BE5" s="13">
        <f>BD5*VLOOKUP('Données projet'!$B$11,Paramètres!$A$1:$I$89,3,0)*VLOOKUP('Données projet'!$B$11,Paramètres!$A$1:$I$89,5,0)</f>
        <v>1.0222054918829522</v>
      </c>
      <c r="BF5" s="13">
        <f t="shared" ref="BF5:BF68" si="37">EXP(-1.0587+0.8836*LN(BE5)+0.284)</f>
        <v>0.4698724990482781</v>
      </c>
      <c r="BG5" s="20">
        <f t="shared" si="7"/>
        <v>2.5987025008718923</v>
      </c>
      <c r="BH5" s="59">
        <f t="shared" si="8"/>
        <v>295.93203583420518</v>
      </c>
      <c r="BI5" s="59">
        <f ca="1">AVERAGE(OFFSET($BH$3,0,0,'Données projet'!$E$11+1,1))-AVERAGE(OFFSET($H$3,0,0,'Données projet'!$E$11+1,1))</f>
        <v>168.72306536277267</v>
      </c>
      <c r="BJ5" s="59">
        <f t="shared" ref="BJ5:BJ68" si="38">$BJ$3</f>
        <v>203.35476578922339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7.2264102564102561</v>
      </c>
      <c r="BY5" s="12">
        <f>IF('Données projet'!$A$114&gt;35,BY4+BX5-CG4,IF(A5&lt;'Données projet'!$A$114,$BV$205^A5,IF(A5='Données projet'!$A$114,'Données projet'!$B$114,BY4+BX5-CG4)))</f>
        <v>1.4313184118550817</v>
      </c>
      <c r="BZ5" s="13">
        <f>BY5*VLOOKUP('Données projet'!$B$12,Paramètres!$A$1:$I$89,3,0)*VLOOKUP('Données projet'!$B$12,Paramètres!$A$1:$I$89,5,0)</f>
        <v>0.66985701674817832</v>
      </c>
      <c r="CA5" s="13">
        <f t="shared" ref="CA5:CA68" si="39">EXP(-1.0587+0.8836*LN(BZ5)+0.284)</f>
        <v>0.32343711768198868</v>
      </c>
      <c r="CB5" s="20">
        <f t="shared" si="10"/>
        <v>1.729987284132541</v>
      </c>
      <c r="CC5" s="59">
        <f t="shared" si="11"/>
        <v>295.06332061746588</v>
      </c>
      <c r="CD5" s="59">
        <f ca="1">AVERAGE(OFFSET($CC$3,0,0,'Données projet'!$E$12+1,1))-AVERAGE(OFFSET($H$3,0,0,'Données projet'!$E$12+1,1))</f>
        <v>158.58786357608489</v>
      </c>
      <c r="CE5" s="59">
        <f t="shared" ref="CE5:CE68" si="40">$CE$3</f>
        <v>163.20074068819849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4.75</v>
      </c>
      <c r="CT5" s="12">
        <f>IF('Données projet'!$A$140&gt;35,CT4+CS5-DB4,IF(A5&lt;'Données projet'!$A$140,$CQ$205^A5,IF(A5='Données projet'!$A$140,'Données projet'!$B$140,CT4+CS5-DB4)))</f>
        <v>1.576784566835971</v>
      </c>
      <c r="CU5" s="17">
        <f>CT5*VLOOKUP('Données projet'!$B$13,Paramètres!$A$1:$I$89,3,0)*VLOOKUP('Données projet'!$B$13,Paramètres!$A$1:$I$89,5,0)</f>
        <v>1.156098444404134</v>
      </c>
      <c r="CV5" s="13">
        <f t="shared" ref="CV5:CV68" si="41">EXP(-1.0587+0.8836*LN(CU5)+0.284)</f>
        <v>0.52385884974705288</v>
      </c>
      <c r="CW5" s="20">
        <f t="shared" si="13"/>
        <v>2.9259256206466504</v>
      </c>
      <c r="CX5" s="59">
        <f t="shared" si="14"/>
        <v>296.25925895397995</v>
      </c>
      <c r="CY5" s="59">
        <f ca="1">AVERAGE(OFFSET($CX$3,0,0,'Données projet'!$E$13+1,1))-AVERAGE(OFFSET($H$3,0,0,'Données projet'!$E$13+1,1))</f>
        <v>178.12968684094687</v>
      </c>
      <c r="CZ5" s="59">
        <f t="shared" ref="CZ5:CZ68" si="42">$CZ$3</f>
        <v>219.36004077210373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8.4</v>
      </c>
      <c r="DO5" s="12">
        <f>IF('Données projet'!$A$166&gt;35,DO4+DN5-DW4,IF(A5&lt;'Données projet'!$A$166,$DL$205^A5,IF(A5='Données projet'!$A$166,'Données projet'!$B$166,DO4+DN5-DW4)))</f>
        <v>4.4596391171162191</v>
      </c>
      <c r="DP5" s="17">
        <f>DO5*VLOOKUP('Données projet'!$B$14,Paramètres!$A$1:$I$89,3,0)*VLOOKUP('Données projet'!$B$14,Paramètres!$A$1:$I$89,5,0)</f>
        <v>4.0350814731667546</v>
      </c>
      <c r="DQ5" s="13">
        <f t="shared" ref="DQ5:DQ68" si="43">EXP(-1.0587+0.8836*LN(DP5)+0.284)</f>
        <v>1.5808227025391919</v>
      </c>
      <c r="DR5" s="20">
        <f t="shared" si="16"/>
        <v>9.781033106021189</v>
      </c>
      <c r="DS5" s="59">
        <f t="shared" si="17"/>
        <v>303.11436643935451</v>
      </c>
      <c r="DT5" s="59">
        <f ca="1">AVERAGE(OFFSET($DS$3,0,0,'Données projet'!$E$14+1,1))-AVERAGE(OFFSET($H$3,0,0,'Données projet'!$E$14+1,1))</f>
        <v>225.28075317732998</v>
      </c>
      <c r="DU5" s="59">
        <f t="shared" ref="DU5:DU68" si="44">$DU$3</f>
        <v>358.43407531256207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3.6141025641025637</v>
      </c>
      <c r="EJ5" s="12">
        <f>IF('Données projet'!$A$192&gt;35,EJ4+EI5-ER4,IF(A5&lt;'Données projet'!$A$192,$EG$205^A5,IF(A5='Données projet'!$A$192,'Données projet'!$B$192,EJ4+EI5-ER4)))</f>
        <v>1.3667049955949657</v>
      </c>
      <c r="EK5" s="17">
        <f>EJ5*VLOOKUP('Données projet'!$B$15,Paramètres!$A$1:$I$89,3,0)*VLOOKUP('Données projet'!$B$15,Paramètres!$A$1:$I$89,5,0)</f>
        <v>1.3858388655332954</v>
      </c>
      <c r="EL5" s="13">
        <f t="shared" ref="EL5:EL68" si="45">EXP(-1.0587+0.8836*LN(EK5)+0.284)</f>
        <v>0.61485037062011905</v>
      </c>
      <c r="EM5" s="20">
        <f t="shared" si="19"/>
        <v>3.4845337529671969</v>
      </c>
      <c r="EN5" s="59">
        <f t="shared" si="20"/>
        <v>296.81786708630051</v>
      </c>
      <c r="EO5" s="59">
        <f ca="1">AVERAGE(OFFSET($EN$3,0,0,'Données projet'!$E$15+1,1))-AVERAGE(OFFSET($H$3,0,0,'Données projet'!$E$15+1,1))</f>
        <v>363.98308691765931</v>
      </c>
      <c r="EP5" s="59">
        <f t="shared" ref="EP5:EP68" si="46">$EP$3</f>
        <v>181.47089407988187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3.6141025641025637</v>
      </c>
      <c r="FE5" s="12">
        <f>IF('Données projet'!$A$218&gt;35,FE4+FD5-FM4,IF(A5&lt;'Données projet'!$A$218,$FB$205^A5,IF(A5='Données projet'!$A$218,'Données projet'!$B$218,FE4+FD5-FM4)))</f>
        <v>1.3667049955949657</v>
      </c>
      <c r="FF5" s="17">
        <f>FE5*VLOOKUP('Données projet'!$B$16,Paramètres!$A$1:$I$89,3,0)*VLOOKUP('Données projet'!$B$16,Paramètres!$A$1:$I$89,5,0)</f>
        <v>1.4711212572584211</v>
      </c>
      <c r="FG5" s="13">
        <f t="shared" ref="FG5:FG68" si="47">EXP(-1.0587+0.8836*LN(FF5)+0.284)</f>
        <v>0.64816601153532361</v>
      </c>
      <c r="FH5" s="20">
        <f t="shared" si="22"/>
        <v>3.6910919931491044</v>
      </c>
      <c r="FI5" s="59">
        <f t="shared" si="23"/>
        <v>297.0244253264824</v>
      </c>
      <c r="FJ5" s="59">
        <f ca="1">AVERAGE(OFFSET($FI$3,0,0,'Données projet'!$E$16+1,1))-AVERAGE(OFFSET($H$3,0,0,'Données projet'!$E$16+1,1))</f>
        <v>395.30533160963489</v>
      </c>
      <c r="FK5" s="59">
        <f t="shared" ref="FK5:FK68" si="48">$FK$3</f>
        <v>196.02102977695085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2.2999999999999998</v>
      </c>
      <c r="FZ5" s="12">
        <f>IF('Données projet'!$A$244&gt;35,FZ4+FY5-GH4,IF(A5&lt;'Données projet'!$A$244,$FW$205^A5,IF(A5='Données projet'!$A$244,'Données projet'!$B$244,FZ4+FY5-GH4)))</f>
        <v>1.8721712305548575</v>
      </c>
      <c r="GA5" s="17">
        <f>FZ5*VLOOKUP('Données projet'!$B$17,Paramètres!$A$1:$I$89,3,0)*VLOOKUP('Données projet'!$B$17,Paramètres!$A$1:$I$89,5,0)</f>
        <v>1.9567933701759372</v>
      </c>
      <c r="GB5" s="13">
        <f t="shared" ref="GB5:GB68" si="49">EXP(-1.0587+0.8836*LN(GA5)+0.284)</f>
        <v>0.83399068284071964</v>
      </c>
      <c r="GC5" s="20">
        <f t="shared" si="25"/>
        <v>4.8606155590040103</v>
      </c>
      <c r="GD5" s="59">
        <f t="shared" si="26"/>
        <v>298.19394889233735</v>
      </c>
      <c r="GE5" s="59">
        <f ca="1">AVERAGE(OFFSET($GD$3,0,0,'Données projet'!$E$17+1,1))-AVERAGE(OFFSET($H$3,0,0,'Données projet'!$E$17+1,1))</f>
        <v>269.41185214595805</v>
      </c>
      <c r="GF5" s="59">
        <f t="shared" ref="GF5:GF68" si="50">$GF$3</f>
        <v>299.70148160580993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4.75</v>
      </c>
      <c r="GU5" s="12">
        <f>IF('Données projet'!$A$270&gt;35,GU4+GT5-HC4,IF(A5&lt;'Données projet'!$A$270,$GR$205^A5,IF(A5='Données projet'!$A$270,'Données projet'!$B$270,GU4+GT5-HC4)))</f>
        <v>1.576784566835971</v>
      </c>
      <c r="GV5" s="17">
        <f>GU5*VLOOKUP('Données projet'!$B$18,Paramètres!$A$1:$I$89,3,0)*VLOOKUP('Données projet'!$B$18,Paramètres!$A$1:$I$89,5,0)</f>
        <v>1.3774789975879045</v>
      </c>
      <c r="GW5" s="13">
        <f t="shared" ref="GW5:GW68" si="51">EXP(-1.0587+0.8836*LN(GV5)+0.284)</f>
        <v>0.61157195042276347</v>
      </c>
      <c r="GX5" s="20">
        <f t="shared" si="28"/>
        <v>3.4642637344519134</v>
      </c>
      <c r="GY5" s="59">
        <f t="shared" si="29"/>
        <v>296.7975970677852</v>
      </c>
      <c r="GZ5" s="59">
        <f ca="1">AVERAGE(OFFSET($GY$3,0,0,'Données projet'!$E$18+1,1))-AVERAGE(OFFSET($H$3,0,0,'Données projet'!$E$18+1,1))</f>
        <v>226.35975611953359</v>
      </c>
      <c r="HA5" s="59">
        <f t="shared" ref="HA5:HA68" si="52">$HA$3</f>
        <v>271.65876694892461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3.6141025641025637</v>
      </c>
      <c r="N6" s="13">
        <f>IF('Données projet'!$A$36&gt;35,N5+M6-V5,IF(A6&lt;'Données projet'!$A$36,$K$205^A6,IF(A6='Données projet'!$A$36,'Données projet'!$B$36,N5+M6-V5)))</f>
        <v>1.5977623119270878</v>
      </c>
      <c r="O6" s="13">
        <f>N6*VLOOKUP('Données projet'!$B$9,Paramètres!$A$1:$I$89,3,0)*VLOOKUP('Données projet'!$B$9,Paramètres!$A$1:$I$89,5,0)</f>
        <v>1.445655339831629</v>
      </c>
      <c r="P6" s="13">
        <f t="shared" si="33"/>
        <v>0.63824186933535754</v>
      </c>
      <c r="Q6" s="20">
        <f t="shared" si="2"/>
        <v>3.6294543059658344</v>
      </c>
      <c r="R6" s="59">
        <f t="shared" si="0"/>
        <v>296.96278763929917</v>
      </c>
      <c r="S6" s="59">
        <f ca="1">AVERAGE(OFFSET($R$3,0,0,'Données projet'!$E$9+1,1))-AVERAGE(OFFSET($H$3,0,0,'Données projet'!$E$9+1,1))</f>
        <v>309.07357540707869</v>
      </c>
      <c r="T6" s="59">
        <f t="shared" si="34"/>
        <v>155.9593924683299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2.2999999999999998</v>
      </c>
      <c r="AI6" s="13">
        <f>IF('Données projet'!$A$62&gt;35,AI5+AH6-AQ5,IF(A6&lt;'Données projet'!$A$62,$AF$205^A6,IF(A6='Données projet'!$A$62,'Données projet'!$B$62,AI5+AH6-AQ5)))</f>
        <v>2.5616415021458128</v>
      </c>
      <c r="AJ6" s="13">
        <f>AI6*VLOOKUP('Données projet'!$B$10,Paramètres!$A$1:$I$89,3,0)*VLOOKUP('Données projet'!$B$10,Paramètres!$A$1:$I$89,5,0)</f>
        <v>2.237850016274582</v>
      </c>
      <c r="AK6" s="13">
        <f t="shared" si="35"/>
        <v>0.93899377989068589</v>
      </c>
      <c r="AL6" s="20">
        <f t="shared" si="4"/>
        <v>5.5330029449878415</v>
      </c>
      <c r="AM6" s="59">
        <f t="shared" si="5"/>
        <v>298.86633627832117</v>
      </c>
      <c r="AN6" s="59">
        <f ca="1">AVERAGE(OFFSET($AM$3,0,0,'Données projet'!$E$10+1,1))-AVERAGE(OFFSET($H$3,0,0,'Données projet'!$E$10+1,1))</f>
        <v>210.07838338464626</v>
      </c>
      <c r="AO6" s="59">
        <f t="shared" si="36"/>
        <v>241.76003724236273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2.2999999999999998</v>
      </c>
      <c r="BD6" s="12">
        <f>IF('Données projet'!$A$88&gt;35,BD5+BC6-BL5,IF(A6&lt;'Données projet'!$A$88,$BA$205^A6,IF(A6='Données projet'!$A$88,'Données projet'!$B$88,BD5+BC6-BL5)))</f>
        <v>2.5616415021458128</v>
      </c>
      <c r="BE6" s="13">
        <f>BD6*VLOOKUP('Données projet'!$B$11,Paramètres!$A$1:$I$89,3,0)*VLOOKUP('Données projet'!$B$11,Paramètres!$A$1:$I$89,5,0)</f>
        <v>1.3986562601716137</v>
      </c>
      <c r="BF6" s="13">
        <f t="shared" si="37"/>
        <v>0.61987239863240495</v>
      </c>
      <c r="BG6" s="20">
        <f t="shared" si="7"/>
        <v>3.5156040807503324</v>
      </c>
      <c r="BH6" s="59">
        <f t="shared" si="8"/>
        <v>296.84893741408365</v>
      </c>
      <c r="BI6" s="59">
        <f ca="1">AVERAGE(OFFSET($BH$3,0,0,'Données projet'!$E$11+1,1))-AVERAGE(OFFSET($H$3,0,0,'Données projet'!$E$11+1,1))</f>
        <v>168.72306536277267</v>
      </c>
      <c r="BJ6" s="59">
        <f t="shared" si="38"/>
        <v>203.35476578922339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7.2264102564102561</v>
      </c>
      <c r="BY6" s="12">
        <f>IF('Données projet'!$A$114&gt;35,BY5+BX6-CG5,IF(A6&lt;'Données projet'!$A$114,$BV$205^A6,IF(A6='Données projet'!$A$114,'Données projet'!$B$114,BY5+BX6-CG5)))</f>
        <v>1.7123967181757771</v>
      </c>
      <c r="BZ6" s="13">
        <f>BY6*VLOOKUP('Données projet'!$B$12,Paramètres!$A$1:$I$89,3,0)*VLOOKUP('Données projet'!$B$12,Paramètres!$A$1:$I$89,5,0)</f>
        <v>0.80140166410626379</v>
      </c>
      <c r="CA6" s="13">
        <f t="shared" si="39"/>
        <v>0.37896066764546593</v>
      </c>
      <c r="CB6" s="20">
        <f t="shared" si="10"/>
        <v>2.0557977278009294</v>
      </c>
      <c r="CC6" s="59">
        <f t="shared" si="11"/>
        <v>295.38913106113426</v>
      </c>
      <c r="CD6" s="59">
        <f ca="1">AVERAGE(OFFSET($CC$3,0,0,'Données projet'!$E$12+1,1))-AVERAGE(OFFSET($H$3,0,0,'Données projet'!$E$12+1,1))</f>
        <v>158.58786357608489</v>
      </c>
      <c r="CE6" s="59">
        <f t="shared" si="40"/>
        <v>163.20074068819849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4.75</v>
      </c>
      <c r="CT6" s="12">
        <f>IF('Données projet'!$A$140&gt;35,CT5+CS6-DB5,IF(A6&lt;'Données projet'!$A$140,$CQ$205^A6,IF(A6='Données projet'!$A$140,'Données projet'!$B$140,CT5+CS6-DB5)))</f>
        <v>1.9799696845186814</v>
      </c>
      <c r="CU6" s="17">
        <f>CT6*VLOOKUP('Données projet'!$B$13,Paramètres!$A$1:$I$89,3,0)*VLOOKUP('Données projet'!$B$13,Paramètres!$A$1:$I$89,5,0)</f>
        <v>1.4517137726890972</v>
      </c>
      <c r="CV6" s="13">
        <f t="shared" si="41"/>
        <v>0.64060468998964859</v>
      </c>
      <c r="CW6" s="20">
        <f t="shared" si="13"/>
        <v>3.6441213224988154</v>
      </c>
      <c r="CX6" s="59">
        <f t="shared" si="14"/>
        <v>296.9774546558321</v>
      </c>
      <c r="CY6" s="59">
        <f ca="1">AVERAGE(OFFSET($CX$3,0,0,'Données projet'!$E$13+1,1))-AVERAGE(OFFSET($H$3,0,0,'Données projet'!$E$13+1,1))</f>
        <v>178.12968684094687</v>
      </c>
      <c r="CZ6" s="59">
        <f t="shared" si="42"/>
        <v>219.36004077210373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8.4</v>
      </c>
      <c r="DO6" s="12">
        <f>IF('Données projet'!$A$166&gt;35,DO5+DN6-DW5,IF(A6&lt;'Données projet'!$A$166,$DL$205^A6,IF(A6='Données projet'!$A$166,'Données projet'!$B$166,DO5+DN6-DW5)))</f>
        <v>9.4178024044149353</v>
      </c>
      <c r="DP6" s="17">
        <f>DO6*VLOOKUP('Données projet'!$B$14,Paramètres!$A$1:$I$89,3,0)*VLOOKUP('Données projet'!$B$14,Paramètres!$A$1:$I$89,5,0)</f>
        <v>8.5212276155146327</v>
      </c>
      <c r="DQ6" s="13">
        <f t="shared" si="43"/>
        <v>3.0601574970852115</v>
      </c>
      <c r="DR6" s="20">
        <f t="shared" si="16"/>
        <v>20.170912404444724</v>
      </c>
      <c r="DS6" s="59">
        <f t="shared" si="17"/>
        <v>313.50424573777804</v>
      </c>
      <c r="DT6" s="59">
        <f ca="1">AVERAGE(OFFSET($DS$3,0,0,'Données projet'!$E$14+1,1))-AVERAGE(OFFSET($H$3,0,0,'Données projet'!$E$14+1,1))</f>
        <v>225.28075317732998</v>
      </c>
      <c r="DU6" s="59">
        <f t="shared" si="44"/>
        <v>358.43407531256207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3.6141025641025637</v>
      </c>
      <c r="EJ6" s="12">
        <f>IF('Données projet'!$A$192&gt;35,EJ5+EI6-ER5,IF(A6&lt;'Données projet'!$A$192,$EG$205^A6,IF(A6='Données projet'!$A$192,'Données projet'!$B$192,EJ5+EI6-ER5)))</f>
        <v>1.5977623119270878</v>
      </c>
      <c r="EK6" s="17">
        <f>EJ6*VLOOKUP('Données projet'!$B$15,Paramètres!$A$1:$I$89,3,0)*VLOOKUP('Données projet'!$B$15,Paramètres!$A$1:$I$89,5,0)</f>
        <v>1.6201309842940672</v>
      </c>
      <c r="EL6" s="13">
        <f t="shared" si="45"/>
        <v>0.70584697492714799</v>
      </c>
      <c r="EM6" s="20">
        <f t="shared" si="19"/>
        <v>4.0510782789769495</v>
      </c>
      <c r="EN6" s="59">
        <f t="shared" si="20"/>
        <v>297.38441161231026</v>
      </c>
      <c r="EO6" s="59">
        <f ca="1">AVERAGE(OFFSET($EN$3,0,0,'Données projet'!$E$15+1,1))-AVERAGE(OFFSET($H$3,0,0,'Données projet'!$E$15+1,1))</f>
        <v>363.98308691765931</v>
      </c>
      <c r="EP6" s="59">
        <f t="shared" si="46"/>
        <v>181.47089407988187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3.6141025641025637</v>
      </c>
      <c r="FE6" s="12">
        <f>IF('Données projet'!$A$218&gt;35,FE5+FD6-FM5,IF(A6&lt;'Données projet'!$A$218,$FB$205^A6,IF(A6='Données projet'!$A$218,'Données projet'!$B$218,FE5+FD6-FM5)))</f>
        <v>1.5977623119270878</v>
      </c>
      <c r="FF6" s="17">
        <f>FE6*VLOOKUP('Données projet'!$B$16,Paramètres!$A$1:$I$89,3,0)*VLOOKUP('Données projet'!$B$16,Paramètres!$A$1:$I$89,5,0)</f>
        <v>1.7198313525583175</v>
      </c>
      <c r="FG6" s="13">
        <f t="shared" si="47"/>
        <v>0.74409326293708933</v>
      </c>
      <c r="FH6" s="20">
        <f t="shared" si="22"/>
        <v>4.2913353719878335</v>
      </c>
      <c r="FI6" s="59">
        <f t="shared" si="23"/>
        <v>297.62466870532114</v>
      </c>
      <c r="FJ6" s="59">
        <f ca="1">AVERAGE(OFFSET($FI$3,0,0,'Données projet'!$E$16+1,1))-AVERAGE(OFFSET($H$3,0,0,'Données projet'!$E$16+1,1))</f>
        <v>395.30533160963489</v>
      </c>
      <c r="FK6" s="59">
        <f t="shared" si="48"/>
        <v>196.02102977695085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2.2999999999999998</v>
      </c>
      <c r="FZ6" s="12">
        <f>IF('Données projet'!$A$244&gt;35,FZ5+FY6-GH5,IF(A6&lt;'Données projet'!$A$244,$FW$205^A6,IF(A6='Données projet'!$A$244,'Données projet'!$B$244,FZ5+FY6-GH5)))</f>
        <v>2.5616415021458128</v>
      </c>
      <c r="GA6" s="17">
        <f>FZ6*VLOOKUP('Données projet'!$B$17,Paramètres!$A$1:$I$89,3,0)*VLOOKUP('Données projet'!$B$17,Paramètres!$A$1:$I$89,5,0)</f>
        <v>2.6774276980428038</v>
      </c>
      <c r="GB6" s="13">
        <f t="shared" si="49"/>
        <v>1.1002299688887245</v>
      </c>
      <c r="GC6" s="20">
        <f t="shared" si="25"/>
        <v>6.5794204365724118</v>
      </c>
      <c r="GD6" s="59">
        <f t="shared" si="26"/>
        <v>299.91275376990575</v>
      </c>
      <c r="GE6" s="59">
        <f ca="1">AVERAGE(OFFSET($GD$3,0,0,'Données projet'!$E$17+1,1))-AVERAGE(OFFSET($H$3,0,0,'Données projet'!$E$17+1,1))</f>
        <v>269.41185214595805</v>
      </c>
      <c r="GF6" s="59">
        <f t="shared" si="50"/>
        <v>299.70148160580993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4.75</v>
      </c>
      <c r="GU6" s="12">
        <f>IF('Données projet'!$A$270&gt;35,GU5+GT6-HC5,IF(A6&lt;'Données projet'!$A$270,$GR$205^A6,IF(A6='Données projet'!$A$270,'Données projet'!$B$270,GU5+GT6-HC5)))</f>
        <v>1.9799696845186814</v>
      </c>
      <c r="GV6" s="17">
        <f>GU6*VLOOKUP('Données projet'!$B$18,Paramètres!$A$1:$I$89,3,0)*VLOOKUP('Données projet'!$B$18,Paramètres!$A$1:$I$89,5,0)</f>
        <v>1.7297015163955203</v>
      </c>
      <c r="GW6" s="13">
        <f t="shared" si="51"/>
        <v>0.7478653074126923</v>
      </c>
      <c r="GX6" s="20">
        <f t="shared" si="28"/>
        <v>4.3150955514659701</v>
      </c>
      <c r="GY6" s="59">
        <f t="shared" si="29"/>
        <v>297.64842888479927</v>
      </c>
      <c r="GZ6" s="59">
        <f ca="1">AVERAGE(OFFSET($GY$3,0,0,'Données projet'!$E$18+1,1))-AVERAGE(OFFSET($H$3,0,0,'Données projet'!$E$18+1,1))</f>
        <v>226.35975611953359</v>
      </c>
      <c r="HA6" s="59">
        <f t="shared" si="52"/>
        <v>271.65876694892461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3.6141025641025637</v>
      </c>
      <c r="N7" s="13">
        <f>IF('Données projet'!$A$36&gt;35,N6+M7-V6,IF(A7&lt;'Données projet'!$A$36,$K$205^A7,IF(A7='Données projet'!$A$36,'Données projet'!$B$36,N6+M7-V6)))</f>
        <v>1.8678825449842353</v>
      </c>
      <c r="O7" s="13">
        <f>N7*VLOOKUP('Données projet'!$B$9,Paramètres!$A$1:$I$89,3,0)*VLOOKUP('Données projet'!$B$9,Paramètres!$A$1:$I$89,5,0)</f>
        <v>1.6900601267017361</v>
      </c>
      <c r="P7" s="13">
        <f t="shared" si="33"/>
        <v>0.73270036787625048</v>
      </c>
      <c r="Q7" s="20">
        <f t="shared" si="2"/>
        <v>4.2196411947233265</v>
      </c>
      <c r="R7" s="59">
        <f t="shared" si="0"/>
        <v>297.55297452805667</v>
      </c>
      <c r="S7" s="59">
        <f ca="1">AVERAGE(OFFSET($R$3,0,0,'Données projet'!$E$9+1,1))-AVERAGE(OFFSET($H$3,0,0,'Données projet'!$E$9+1,1))</f>
        <v>309.07357540707869</v>
      </c>
      <c r="T7" s="59">
        <f t="shared" si="34"/>
        <v>155.9593924683299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2.2999999999999998</v>
      </c>
      <c r="AI7" s="13">
        <f>IF('Données projet'!$A$62&gt;35,AI6+AH7-AQ6,IF(A7&lt;'Données projet'!$A$62,$AF$205^A7,IF(A7='Données projet'!$A$62,'Données projet'!$B$62,AI6+AH7-AQ6)))</f>
        <v>3.5050251165172894</v>
      </c>
      <c r="AJ7" s="13">
        <f>AI7*VLOOKUP('Données projet'!$B$10,Paramètres!$A$1:$I$89,3,0)*VLOOKUP('Données projet'!$B$10,Paramètres!$A$1:$I$89,5,0)</f>
        <v>3.0619899417895042</v>
      </c>
      <c r="AK7" s="13">
        <f t="shared" si="35"/>
        <v>1.2387537636714157</v>
      </c>
      <c r="AL7" s="20">
        <f t="shared" si="4"/>
        <v>7.4904619536777686</v>
      </c>
      <c r="AM7" s="59">
        <f t="shared" si="5"/>
        <v>300.82379528701108</v>
      </c>
      <c r="AN7" s="59">
        <f ca="1">AVERAGE(OFFSET($AM$3,0,0,'Données projet'!$E$10+1,1))-AVERAGE(OFFSET($H$3,0,0,'Données projet'!$E$10+1,1))</f>
        <v>210.07838338464626</v>
      </c>
      <c r="AO7" s="59">
        <f t="shared" si="36"/>
        <v>241.76003724236273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2.2999999999999998</v>
      </c>
      <c r="BD7" s="12">
        <f>IF('Données projet'!$A$88&gt;35,BD6+BC7-BL6,IF(A7&lt;'Données projet'!$A$88,$BA$205^A7,IF(A7='Données projet'!$A$88,'Données projet'!$B$88,BD6+BC7-BL6)))</f>
        <v>3.5050251165172894</v>
      </c>
      <c r="BE7" s="13">
        <f>BD7*VLOOKUP('Données projet'!$B$11,Paramètres!$A$1:$I$89,3,0)*VLOOKUP('Données projet'!$B$11,Paramètres!$A$1:$I$89,5,0)</f>
        <v>1.9137437136184399</v>
      </c>
      <c r="BF7" s="13">
        <f t="shared" si="37"/>
        <v>0.81775756479591588</v>
      </c>
      <c r="BG7" s="20">
        <f t="shared" si="7"/>
        <v>4.7573647265716694</v>
      </c>
      <c r="BH7" s="59">
        <f t="shared" si="8"/>
        <v>298.09069805990498</v>
      </c>
      <c r="BI7" s="59">
        <f ca="1">AVERAGE(OFFSET($BH$3,0,0,'Données projet'!$E$11+1,1))-AVERAGE(OFFSET($H$3,0,0,'Données projet'!$E$11+1,1))</f>
        <v>168.72306536277267</v>
      </c>
      <c r="BJ7" s="59">
        <f t="shared" si="38"/>
        <v>203.35476578922339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7.2264102564102561</v>
      </c>
      <c r="BY7" s="12">
        <f>IF('Données projet'!$A$114&gt;35,BY6+BX7-CG6,IF(A7&lt;'Données projet'!$A$114,$BV$205^A7,IF(A7='Données projet'!$A$114,'Données projet'!$B$114,BY6+BX7-CG6)))</f>
        <v>2.0486723961153532</v>
      </c>
      <c r="BZ7" s="13">
        <f>BY7*VLOOKUP('Données projet'!$B$12,Paramètres!$A$1:$I$89,3,0)*VLOOKUP('Données projet'!$B$12,Paramètres!$A$1:$I$89,5,0)</f>
        <v>0.95877868138198519</v>
      </c>
      <c r="CA7" s="13">
        <f t="shared" si="39"/>
        <v>0.44401579092570115</v>
      </c>
      <c r="CB7" s="20">
        <f t="shared" si="10"/>
        <v>2.4432003726025537</v>
      </c>
      <c r="CC7" s="59">
        <f t="shared" si="11"/>
        <v>295.77653370593589</v>
      </c>
      <c r="CD7" s="59">
        <f ca="1">AVERAGE(OFFSET($CC$3,0,0,'Données projet'!$E$12+1,1))-AVERAGE(OFFSET($H$3,0,0,'Données projet'!$E$12+1,1))</f>
        <v>158.58786357608489</v>
      </c>
      <c r="CE7" s="59">
        <f t="shared" si="40"/>
        <v>163.20074068819849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4.75</v>
      </c>
      <c r="CT7" s="12">
        <f>IF('Données projet'!$A$140&gt;35,CT6+CS7-DB6,IF(A7&lt;'Données projet'!$A$140,$CQ$205^A7,IF(A7='Données projet'!$A$140,'Données projet'!$B$140,CT6+CS7-DB6)))</f>
        <v>2.4862495702121006</v>
      </c>
      <c r="CU7" s="17">
        <f>CT7*VLOOKUP('Données projet'!$B$13,Paramètres!$A$1:$I$89,3,0)*VLOOKUP('Données projet'!$B$13,Paramètres!$A$1:$I$89,5,0)</f>
        <v>1.8229181848795122</v>
      </c>
      <c r="CV7" s="13">
        <f t="shared" si="41"/>
        <v>0.78336820888849046</v>
      </c>
      <c r="CW7" s="20">
        <f t="shared" si="13"/>
        <v>4.5392821358126039</v>
      </c>
      <c r="CX7" s="59">
        <f t="shared" si="14"/>
        <v>297.8726154691459</v>
      </c>
      <c r="CY7" s="59">
        <f ca="1">AVERAGE(OFFSET($CX$3,0,0,'Données projet'!$E$13+1,1))-AVERAGE(OFFSET($H$3,0,0,'Données projet'!$E$13+1,1))</f>
        <v>178.12968684094687</v>
      </c>
      <c r="CZ7" s="59">
        <f t="shared" si="42"/>
        <v>219.36004077210373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8.4</v>
      </c>
      <c r="DO7" s="12">
        <f>IF('Données projet'!$A$166&gt;35,DO6+DN7-DW6,IF(A7&lt;'Données projet'!$A$166,$DL$205^A7,IF(A7='Données projet'!$A$166,'Données projet'!$B$166,DO6+DN7-DW6)))</f>
        <v>19.888381054913129</v>
      </c>
      <c r="DP7" s="17">
        <f>DO7*VLOOKUP('Données projet'!$B$14,Paramètres!$A$1:$I$89,3,0)*VLOOKUP('Données projet'!$B$14,Paramètres!$A$1:$I$89,5,0)</f>
        <v>17.995007178485398</v>
      </c>
      <c r="DQ7" s="13">
        <f t="shared" si="43"/>
        <v>5.9238546434872283</v>
      </c>
      <c r="DR7" s="20">
        <f t="shared" si="16"/>
        <v>41.658684339935661</v>
      </c>
      <c r="DS7" s="59">
        <f t="shared" si="17"/>
        <v>334.99201767326895</v>
      </c>
      <c r="DT7" s="59">
        <f ca="1">AVERAGE(OFFSET($DS$3,0,0,'Données projet'!$E$14+1,1))-AVERAGE(OFFSET($H$3,0,0,'Données projet'!$E$14+1,1))</f>
        <v>225.28075317732998</v>
      </c>
      <c r="DU7" s="59">
        <f t="shared" si="44"/>
        <v>358.43407531256207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3.6141025641025637</v>
      </c>
      <c r="EJ7" s="12">
        <f>IF('Données projet'!$A$192&gt;35,EJ6+EI7-ER6,IF(A7&lt;'Données projet'!$A$192,$EG$205^A7,IF(A7='Données projet'!$A$192,'Données projet'!$B$192,EJ6+EI7-ER6)))</f>
        <v>1.8678825449842353</v>
      </c>
      <c r="EK7" s="17">
        <f>EJ7*VLOOKUP('Données projet'!$B$15,Paramètres!$A$1:$I$89,3,0)*VLOOKUP('Données projet'!$B$15,Paramètres!$A$1:$I$89,5,0)</f>
        <v>1.8940329006140149</v>
      </c>
      <c r="EL7" s="13">
        <f t="shared" si="45"/>
        <v>0.81031089159353775</v>
      </c>
      <c r="EM7" s="20">
        <f t="shared" si="19"/>
        <v>4.710065438094821</v>
      </c>
      <c r="EN7" s="59">
        <f t="shared" si="20"/>
        <v>298.04339877142814</v>
      </c>
      <c r="EO7" s="59">
        <f ca="1">AVERAGE(OFFSET($EN$3,0,0,'Données projet'!$E$15+1,1))-AVERAGE(OFFSET($H$3,0,0,'Données projet'!$E$15+1,1))</f>
        <v>363.98308691765931</v>
      </c>
      <c r="EP7" s="59">
        <f t="shared" si="46"/>
        <v>181.47089407988187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3.6141025641025637</v>
      </c>
      <c r="FE7" s="12">
        <f>IF('Données projet'!$A$218&gt;35,FE6+FD7-FM6,IF(A7&lt;'Données projet'!$A$218,$FB$205^A7,IF(A7='Données projet'!$A$218,'Données projet'!$B$218,FE6+FD7-FM6)))</f>
        <v>1.8678825449842353</v>
      </c>
      <c r="FF7" s="17">
        <f>FE7*VLOOKUP('Données projet'!$B$16,Paramètres!$A$1:$I$89,3,0)*VLOOKUP('Données projet'!$B$16,Paramètres!$A$1:$I$89,5,0)</f>
        <v>2.0105887714210309</v>
      </c>
      <c r="FG7" s="13">
        <f t="shared" si="47"/>
        <v>0.85421755243978903</v>
      </c>
      <c r="FH7" s="20">
        <f t="shared" si="22"/>
        <v>4.9895376807242604</v>
      </c>
      <c r="FI7" s="59">
        <f t="shared" si="23"/>
        <v>298.32287101405757</v>
      </c>
      <c r="FJ7" s="59">
        <f ca="1">AVERAGE(OFFSET($FI$3,0,0,'Données projet'!$E$16+1,1))-AVERAGE(OFFSET($H$3,0,0,'Données projet'!$E$16+1,1))</f>
        <v>395.30533160963489</v>
      </c>
      <c r="FK7" s="59">
        <f t="shared" si="48"/>
        <v>196.02102977695085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2.2999999999999998</v>
      </c>
      <c r="FZ7" s="12">
        <f>IF('Données projet'!$A$244&gt;35,FZ6+FY7-GH6,IF(A7&lt;'Données projet'!$A$244,$FW$205^A7,IF(A7='Données projet'!$A$244,'Données projet'!$B$244,FZ6+FY7-GH6)))</f>
        <v>3.5050251165172894</v>
      </c>
      <c r="GA7" s="17">
        <f>FZ7*VLOOKUP('Données projet'!$B$17,Paramètres!$A$1:$I$89,3,0)*VLOOKUP('Données projet'!$B$17,Paramètres!$A$1:$I$89,5,0)</f>
        <v>3.6634522517838715</v>
      </c>
      <c r="GB7" s="13">
        <f t="shared" si="49"/>
        <v>1.4514622397431189</v>
      </c>
      <c r="GC7" s="20">
        <f t="shared" si="25"/>
        <v>8.9084760727428414</v>
      </c>
      <c r="GD7" s="59">
        <f t="shared" si="26"/>
        <v>302.24180940607613</v>
      </c>
      <c r="GE7" s="59">
        <f ca="1">AVERAGE(OFFSET($GD$3,0,0,'Données projet'!$E$17+1,1))-AVERAGE(OFFSET($H$3,0,0,'Données projet'!$E$17+1,1))</f>
        <v>269.41185214595805</v>
      </c>
      <c r="GF7" s="59">
        <f t="shared" si="50"/>
        <v>299.70148160580993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4.75</v>
      </c>
      <c r="GU7" s="12">
        <f>IF('Données projet'!$A$270&gt;35,GU6+GT7-HC6,IF(A7&lt;'Données projet'!$A$270,$GR$205^A7,IF(A7='Données projet'!$A$270,'Données projet'!$B$270,GU6+GT7-HC6)))</f>
        <v>2.4862495702121006</v>
      </c>
      <c r="GV7" s="17">
        <f>GU7*VLOOKUP('Données projet'!$B$18,Paramètres!$A$1:$I$89,3,0)*VLOOKUP('Données projet'!$B$18,Paramètres!$A$1:$I$89,5,0)</f>
        <v>2.1719876245372913</v>
      </c>
      <c r="GW7" s="13">
        <f t="shared" si="51"/>
        <v>0.91453265252739235</v>
      </c>
      <c r="GX7" s="20">
        <f t="shared" si="28"/>
        <v>5.375689482554324</v>
      </c>
      <c r="GY7" s="59">
        <f t="shared" si="29"/>
        <v>298.70902281588764</v>
      </c>
      <c r="GZ7" s="59">
        <f ca="1">AVERAGE(OFFSET($GY$3,0,0,'Données projet'!$E$18+1,1))-AVERAGE(OFFSET($H$3,0,0,'Données projet'!$E$18+1,1))</f>
        <v>226.35975611953359</v>
      </c>
      <c r="HA7" s="59">
        <f t="shared" si="52"/>
        <v>271.65876694892461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3.6141025641025637</v>
      </c>
      <c r="N8" s="13">
        <f>IF('Données projet'!$A$36&gt;35,N7+M8-V7,IF(A8&lt;'Données projet'!$A$36,$K$205^A8,IF(A8='Données projet'!$A$36,'Données projet'!$B$36,N7+M8-V7)))</f>
        <v>2.1836697334841126</v>
      </c>
      <c r="O8" s="13">
        <f>N8*VLOOKUP('Données projet'!$B$9,Paramètres!$A$1:$I$89,3,0)*VLOOKUP('Données projet'!$B$9,Paramètres!$A$1:$I$89,5,0)</f>
        <v>1.975784374856425</v>
      </c>
      <c r="P8" s="13">
        <f t="shared" si="33"/>
        <v>0.84113853208196609</v>
      </c>
      <c r="Q8" s="20">
        <f t="shared" si="2"/>
        <v>4.9061407295843642</v>
      </c>
      <c r="R8" s="59">
        <f t="shared" si="0"/>
        <v>298.23947406291768</v>
      </c>
      <c r="S8" s="59">
        <f ca="1">AVERAGE(OFFSET($R$3,0,0,'Données projet'!$E$9+1,1))-AVERAGE(OFFSET($H$3,0,0,'Données projet'!$E$9+1,1))</f>
        <v>309.07357540707869</v>
      </c>
      <c r="T8" s="59">
        <f t="shared" si="34"/>
        <v>155.9593924683299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2.2999999999999998</v>
      </c>
      <c r="AI8" s="13">
        <f>IF('Données projet'!$A$62&gt;35,AI7+AH8-AQ7,IF(A8&lt;'Données projet'!$A$62,$AF$205^A8,IF(A8='Données projet'!$A$62,'Données projet'!$B$62,AI7+AH8-AQ7)))</f>
        <v>4.79583152331272</v>
      </c>
      <c r="AJ8" s="13">
        <f>AI8*VLOOKUP('Données projet'!$B$10,Paramètres!$A$1:$I$89,3,0)*VLOOKUP('Données projet'!$B$10,Paramètres!$A$1:$I$89,5,0)</f>
        <v>4.189638418765993</v>
      </c>
      <c r="AK8" s="13">
        <f t="shared" si="35"/>
        <v>1.6342077230679199</v>
      </c>
      <c r="AL8" s="20">
        <f t="shared" si="4"/>
        <v>10.143198697027399</v>
      </c>
      <c r="AM8" s="59">
        <f t="shared" si="5"/>
        <v>303.47653203036072</v>
      </c>
      <c r="AN8" s="59">
        <f ca="1">AVERAGE(OFFSET($AM$3,0,0,'Données projet'!$E$10+1,1))-AVERAGE(OFFSET($H$3,0,0,'Données projet'!$E$10+1,1))</f>
        <v>210.07838338464626</v>
      </c>
      <c r="AO8" s="59">
        <f t="shared" si="36"/>
        <v>241.76003724236273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2.2999999999999998</v>
      </c>
      <c r="BD8" s="12">
        <f>IF('Données projet'!$A$88&gt;35,BD7+BC8-BL7,IF(A8&lt;'Données projet'!$A$88,$BA$205^A8,IF(A8='Données projet'!$A$88,'Données projet'!$B$88,BD7+BC8-BL7)))</f>
        <v>4.79583152331272</v>
      </c>
      <c r="BE8" s="13">
        <f>BD8*VLOOKUP('Données projet'!$B$11,Paramètres!$A$1:$I$89,3,0)*VLOOKUP('Données projet'!$B$11,Paramètres!$A$1:$I$89,5,0)</f>
        <v>2.6185240117287449</v>
      </c>
      <c r="BF8" s="13">
        <f t="shared" si="37"/>
        <v>1.0788146661414966</v>
      </c>
      <c r="BG8" s="20">
        <f t="shared" si="7"/>
        <v>6.4395315306240031</v>
      </c>
      <c r="BH8" s="59">
        <f t="shared" si="8"/>
        <v>299.7728648639573</v>
      </c>
      <c r="BI8" s="59">
        <f ca="1">AVERAGE(OFFSET($BH$3,0,0,'Données projet'!$E$11+1,1))-AVERAGE(OFFSET($H$3,0,0,'Données projet'!$E$11+1,1))</f>
        <v>168.72306536277267</v>
      </c>
      <c r="BJ8" s="59">
        <f t="shared" si="38"/>
        <v>203.35476578922339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7.2264102564102561</v>
      </c>
      <c r="BY8" s="12">
        <f>IF('Données projet'!$A$114&gt;35,BY7+BX8-CG7,IF(A8&lt;'Données projet'!$A$114,$BV$205^A8,IF(A8='Données projet'!$A$114,'Données projet'!$B$114,BY7+BX8-CG7)))</f>
        <v>2.4509849511252071</v>
      </c>
      <c r="BZ8" s="13">
        <f>BY8*VLOOKUP('Données projet'!$B$12,Paramètres!$A$1:$I$89,3,0)*VLOOKUP('Données projet'!$B$12,Paramètres!$A$1:$I$89,5,0)</f>
        <v>1.1470609571265968</v>
      </c>
      <c r="CA8" s="13">
        <f t="shared" si="39"/>
        <v>0.52023874619045773</v>
      </c>
      <c r="CB8" s="20">
        <f t="shared" si="10"/>
        <v>2.9038803166105365</v>
      </c>
      <c r="CC8" s="59">
        <f t="shared" si="11"/>
        <v>296.23721364994384</v>
      </c>
      <c r="CD8" s="59">
        <f ca="1">AVERAGE(OFFSET($CC$3,0,0,'Données projet'!$E$12+1,1))-AVERAGE(OFFSET($H$3,0,0,'Données projet'!$E$12+1,1))</f>
        <v>158.58786357608489</v>
      </c>
      <c r="CE8" s="59">
        <f t="shared" si="40"/>
        <v>163.20074068819849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4.75</v>
      </c>
      <c r="CT8" s="12">
        <f>IF('Données projet'!$A$140&gt;35,CT7+CS8-DB7,IF(A8&lt;'Données projet'!$A$140,$CQ$205^A8,IF(A8='Données projet'!$A$140,'Données projet'!$B$140,CT7+CS8-DB7)))</f>
        <v>3.121985641352143</v>
      </c>
      <c r="CU8" s="17">
        <f>CT8*VLOOKUP('Données projet'!$B$13,Paramètres!$A$1:$I$89,3,0)*VLOOKUP('Données projet'!$B$13,Paramètres!$A$1:$I$89,5,0)</f>
        <v>2.2890398722393912</v>
      </c>
      <c r="CV8" s="13">
        <f t="shared" si="41"/>
        <v>0.95794763960763063</v>
      </c>
      <c r="CW8" s="20">
        <f t="shared" si="13"/>
        <v>5.655169916466896</v>
      </c>
      <c r="CX8" s="59">
        <f t="shared" si="14"/>
        <v>298.9885032498002</v>
      </c>
      <c r="CY8" s="59">
        <f ca="1">AVERAGE(OFFSET($CX$3,0,0,'Données projet'!$E$13+1,1))-AVERAGE(OFFSET($H$3,0,0,'Données projet'!$E$13+1,1))</f>
        <v>178.12968684094687</v>
      </c>
      <c r="CZ8" s="59">
        <f t="shared" si="42"/>
        <v>219.36004077210373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>
        <f>VLOOKUP(A8,'Données projet'!$A$165:$I$185,2,0)</f>
        <v>42</v>
      </c>
      <c r="DM8" s="12">
        <f>VLOOKUP(A8,'Données projet'!$A$165:$I$185,9,0)</f>
        <v>8.4</v>
      </c>
      <c r="DN8" s="12">
        <f t="array" ref="DN8">INDEX(DM:DM,MIN(IF(ISNUMBER(DM8:DM204),ROW(DM8:DM204),"")))</f>
        <v>8.4</v>
      </c>
      <c r="DO8" s="12">
        <f>IF('Données projet'!$A$166&gt;35,DO7+DN8-DW7,IF(A8&lt;'Données projet'!$A$166,$DL$205^A8,IF(A8='Données projet'!$A$166,'Données projet'!$B$166,DO7+DN8-DW7)))</f>
        <v>42</v>
      </c>
      <c r="DP8" s="17">
        <f>DO8*VLOOKUP('Données projet'!$B$14,Paramètres!$A$1:$I$89,3,0)*VLOOKUP('Données projet'!$B$14,Paramètres!$A$1:$I$89,5,0)</f>
        <v>38.001600000000003</v>
      </c>
      <c r="DQ8" s="13">
        <f t="shared" si="43"/>
        <v>11.467401227090512</v>
      </c>
      <c r="DR8" s="20">
        <f t="shared" si="16"/>
        <v>86.158510470515978</v>
      </c>
      <c r="DS8" s="59">
        <f t="shared" si="17"/>
        <v>379.49184380384929</v>
      </c>
      <c r="DT8" s="59">
        <f ca="1">AVERAGE(OFFSET($DS$3,0,0,'Données projet'!$E$14+1,1))-AVERAGE(OFFSET($H$3,0,0,'Données projet'!$E$14+1,1))</f>
        <v>225.28075317732998</v>
      </c>
      <c r="DU8" s="59">
        <f t="shared" si="44"/>
        <v>358.43407531256207</v>
      </c>
      <c r="DV8" s="15">
        <f>IF(ISNA(VLOOKUP(A8,'Données projet'!$A$165:$I$185,3,0)),0,VLOOKUP(A8,'Données projet'!$A$165:$I$185,3,0))</f>
        <v>1</v>
      </c>
      <c r="DW8" s="15">
        <f>IF(ISNA(VLOOKUP(A8,'Données projet'!$A$165:$I$185,4,0)),0,VLOOKUP(A8,'Données projet'!$A$165:$I$185,4,0))</f>
        <v>13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7.4999999999999997E-2</v>
      </c>
      <c r="DZ8" s="16">
        <f>IF(ISNA(VLOOKUP(A8,'Données projet'!$A$165:$I$185,7,0)),0%,VLOOKUP(A8,'Données projet'!$A$165:$I$185,7,0))</f>
        <v>0.25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0.97138403149243302</v>
      </c>
      <c r="EC8" s="21">
        <f>EXP(-LN(2)/2)*EC7+(1-EXP(-LN(2)/2))/(LN(2)/2)*DW8*DZ8*VLOOKUP('Données projet'!$B$14,Paramètres!$A$1:$I$89,3,0)*0.475*44/12</f>
        <v>2.7745352450886043</v>
      </c>
      <c r="ED8" s="22">
        <f t="shared" si="18"/>
        <v>3.7459192765810374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3.6141025641025637</v>
      </c>
      <c r="EJ8" s="12">
        <f>IF('Données projet'!$A$192&gt;35,EJ7+EI8-ER7,IF(A8&lt;'Données projet'!$A$192,$EG$205^A8,IF(A8='Données projet'!$A$192,'Données projet'!$B$192,EJ7+EI8-ER7)))</f>
        <v>2.1836697334841126</v>
      </c>
      <c r="EK8" s="17">
        <f>EJ8*VLOOKUP('Données projet'!$B$15,Paramètres!$A$1:$I$89,3,0)*VLOOKUP('Données projet'!$B$15,Paramètres!$A$1:$I$89,5,0)</f>
        <v>2.2142411097528902</v>
      </c>
      <c r="EL8" s="13">
        <f t="shared" si="45"/>
        <v>0.93023525545729457</v>
      </c>
      <c r="EM8" s="20">
        <f t="shared" si="19"/>
        <v>5.476629669407739</v>
      </c>
      <c r="EN8" s="59">
        <f t="shared" si="20"/>
        <v>298.80996300274103</v>
      </c>
      <c r="EO8" s="59">
        <f ca="1">AVERAGE(OFFSET($EN$3,0,0,'Données projet'!$E$15+1,1))-AVERAGE(OFFSET($H$3,0,0,'Données projet'!$E$15+1,1))</f>
        <v>363.98308691765931</v>
      </c>
      <c r="EP8" s="59">
        <f t="shared" si="46"/>
        <v>181.47089407988187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3.6141025641025637</v>
      </c>
      <c r="FE8" s="12">
        <f>IF('Données projet'!$A$218&gt;35,FE7+FD8-FM7,IF(A8&lt;'Données projet'!$A$218,$FB$205^A8,IF(A8='Données projet'!$A$218,'Données projet'!$B$218,FE7+FD8-FM7)))</f>
        <v>2.1836697334841126</v>
      </c>
      <c r="FF8" s="17">
        <f>FE8*VLOOKUP('Données projet'!$B$16,Paramètres!$A$1:$I$89,3,0)*VLOOKUP('Données projet'!$B$16,Paramètres!$A$1:$I$89,5,0)</f>
        <v>2.3505021011222991</v>
      </c>
      <c r="FG8" s="13">
        <f t="shared" si="47"/>
        <v>0.98064001280699242</v>
      </c>
      <c r="FH8" s="20">
        <f t="shared" si="22"/>
        <v>5.8017391817601833</v>
      </c>
      <c r="FI8" s="59">
        <f t="shared" si="23"/>
        <v>299.1350725150935</v>
      </c>
      <c r="FJ8" s="59">
        <f ca="1">AVERAGE(OFFSET($FI$3,0,0,'Données projet'!$E$16+1,1))-AVERAGE(OFFSET($H$3,0,0,'Données projet'!$E$16+1,1))</f>
        <v>395.30533160963489</v>
      </c>
      <c r="FK8" s="59">
        <f t="shared" si="48"/>
        <v>196.02102977695085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2.2999999999999998</v>
      </c>
      <c r="FZ8" s="12">
        <f>IF('Données projet'!$A$244&gt;35,FZ7+FY8-GH7,IF(A8&lt;'Données projet'!$A$244,$FW$205^A8,IF(A8='Données projet'!$A$244,'Données projet'!$B$244,FZ7+FY8-GH7)))</f>
        <v>4.79583152331272</v>
      </c>
      <c r="GA8" s="17">
        <f>FZ8*VLOOKUP('Données projet'!$B$17,Paramètres!$A$1:$I$89,3,0)*VLOOKUP('Données projet'!$B$17,Paramètres!$A$1:$I$89,5,0)</f>
        <v>5.0126031081664557</v>
      </c>
      <c r="GB8" s="13">
        <f t="shared" si="49"/>
        <v>1.9148202584665126</v>
      </c>
      <c r="GC8" s="20">
        <f t="shared" si="25"/>
        <v>12.065262363552421</v>
      </c>
      <c r="GD8" s="59">
        <f t="shared" si="26"/>
        <v>305.39859569688576</v>
      </c>
      <c r="GE8" s="59">
        <f ca="1">AVERAGE(OFFSET($GD$3,0,0,'Données projet'!$E$17+1,1))-AVERAGE(OFFSET($H$3,0,0,'Données projet'!$E$17+1,1))</f>
        <v>269.41185214595805</v>
      </c>
      <c r="GF8" s="59">
        <f t="shared" si="50"/>
        <v>299.70148160580993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4.75</v>
      </c>
      <c r="GU8" s="12">
        <f>IF('Données projet'!$A$270&gt;35,GU7+GT8-HC7,IF(A8&lt;'Données projet'!$A$270,$GR$205^A8,IF(A8='Données projet'!$A$270,'Données projet'!$B$270,GU7+GT8-HC7)))</f>
        <v>3.121985641352143</v>
      </c>
      <c r="GV8" s="17">
        <f>GU8*VLOOKUP('Données projet'!$B$18,Paramètres!$A$1:$I$89,3,0)*VLOOKUP('Données projet'!$B$18,Paramètres!$A$1:$I$89,5,0)</f>
        <v>2.7273666562852323</v>
      </c>
      <c r="GW8" s="13">
        <f t="shared" si="51"/>
        <v>1.1183430548908408</v>
      </c>
      <c r="GX8" s="20">
        <f t="shared" si="28"/>
        <v>6.6979444136316602</v>
      </c>
      <c r="GY8" s="59">
        <f t="shared" si="29"/>
        <v>300.03127774696497</v>
      </c>
      <c r="GZ8" s="59">
        <f ca="1">AVERAGE(OFFSET($GY$3,0,0,'Données projet'!$E$18+1,1))-AVERAGE(OFFSET($H$3,0,0,'Données projet'!$E$18+1,1))</f>
        <v>226.35975611953359</v>
      </c>
      <c r="HA8" s="59">
        <f t="shared" si="52"/>
        <v>271.65876694892461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3.6141025641025637</v>
      </c>
      <c r="N9" s="13">
        <f>IF('Données projet'!$A$36&gt;35,N8+M9-V8,IF(A9&lt;'Données projet'!$A$36,$K$205^A9,IF(A9='Données projet'!$A$36,'Données projet'!$B$36,N8+M9-V8)))</f>
        <v>2.5528444054145929</v>
      </c>
      <c r="O9" s="13">
        <f>N9*VLOOKUP('Données projet'!$B$9,Paramètres!$A$1:$I$89,3,0)*VLOOKUP('Données projet'!$B$9,Paramètres!$A$1:$I$89,5,0)</f>
        <v>2.3098136180191235</v>
      </c>
      <c r="P9" s="13">
        <f t="shared" si="33"/>
        <v>0.96562532403764356</v>
      </c>
      <c r="Q9" s="20">
        <f t="shared" si="2"/>
        <v>5.7047228240822028</v>
      </c>
      <c r="R9" s="59">
        <f t="shared" si="0"/>
        <v>299.0380561574155</v>
      </c>
      <c r="S9" s="59">
        <f ca="1">AVERAGE(OFFSET($R$3,0,0,'Données projet'!$E$9+1,1))-AVERAGE(OFFSET($H$3,0,0,'Données projet'!$E$9+1,1))</f>
        <v>309.07357540707869</v>
      </c>
      <c r="T9" s="59">
        <f t="shared" si="34"/>
        <v>155.9593924683299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2.2999999999999998</v>
      </c>
      <c r="AI9" s="13">
        <f>IF('Données projet'!$A$62&gt;35,AI8+AH9-AQ8,IF(A9&lt;'Données projet'!$A$62,$AF$205^A9,IF(A9='Données projet'!$A$62,'Données projet'!$B$62,AI8+AH9-AQ8)))</f>
        <v>6.5620071855158564</v>
      </c>
      <c r="AJ9" s="13">
        <f>AI9*VLOOKUP('Données projet'!$B$10,Paramètres!$A$1:$I$89,3,0)*VLOOKUP('Données projet'!$B$10,Paramètres!$A$1:$I$89,5,0)</f>
        <v>5.7325694772666536</v>
      </c>
      <c r="AK9" s="13">
        <f t="shared" si="35"/>
        <v>2.1559045554135094</v>
      </c>
      <c r="AL9" s="20">
        <f t="shared" si="4"/>
        <v>13.739092273584617</v>
      </c>
      <c r="AM9" s="59">
        <f t="shared" si="5"/>
        <v>307.07242560691793</v>
      </c>
      <c r="AN9" s="59">
        <f ca="1">AVERAGE(OFFSET($AM$3,0,0,'Données projet'!$E$10+1,1))-AVERAGE(OFFSET($H$3,0,0,'Données projet'!$E$10+1,1))</f>
        <v>210.07838338464626</v>
      </c>
      <c r="AO9" s="59">
        <f t="shared" si="36"/>
        <v>241.76003724236273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2.2999999999999998</v>
      </c>
      <c r="BD9" s="12">
        <f>IF('Données projet'!$A$88&gt;35,BD8+BC9-BL8,IF(A9&lt;'Données projet'!$A$88,$BA$205^A9,IF(A9='Données projet'!$A$88,'Données projet'!$B$88,BD8+BC9-BL8)))</f>
        <v>6.5620071855158564</v>
      </c>
      <c r="BE9" s="13">
        <f>BD9*VLOOKUP('Données projet'!$B$11,Paramètres!$A$1:$I$89,3,0)*VLOOKUP('Données projet'!$B$11,Paramètres!$A$1:$I$89,5,0)</f>
        <v>3.5828559232916577</v>
      </c>
      <c r="BF9" s="13">
        <f t="shared" si="37"/>
        <v>1.4232104158797276</v>
      </c>
      <c r="BG9" s="20">
        <f t="shared" si="7"/>
        <v>8.7188988740568281</v>
      </c>
      <c r="BH9" s="59">
        <f t="shared" si="8"/>
        <v>302.05223220739015</v>
      </c>
      <c r="BI9" s="59">
        <f ca="1">AVERAGE(OFFSET($BH$3,0,0,'Données projet'!$E$11+1,1))-AVERAGE(OFFSET($H$3,0,0,'Données projet'!$E$11+1,1))</f>
        <v>168.72306536277267</v>
      </c>
      <c r="BJ9" s="59">
        <f t="shared" si="38"/>
        <v>203.35476578922339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7.2264102564102561</v>
      </c>
      <c r="BY9" s="12">
        <f>IF('Données projet'!$A$114&gt;35,BY8+BX9-CG8,IF(A9&lt;'Données projet'!$A$114,$BV$205^A9,IF(A9='Données projet'!$A$114,'Données projet'!$B$114,BY8+BX9-CG8)))</f>
        <v>2.9323025204191722</v>
      </c>
      <c r="BZ9" s="13">
        <f>BY9*VLOOKUP('Données projet'!$B$12,Paramètres!$A$1:$I$89,3,0)*VLOOKUP('Données projet'!$B$12,Paramètres!$A$1:$I$89,5,0)</f>
        <v>1.3723175795561726</v>
      </c>
      <c r="CA9" s="13">
        <f t="shared" si="39"/>
        <v>0.60954668407977464</v>
      </c>
      <c r="CB9" s="20">
        <f t="shared" si="10"/>
        <v>3.4517469258326074</v>
      </c>
      <c r="CC9" s="59">
        <f t="shared" si="11"/>
        <v>296.78508025916591</v>
      </c>
      <c r="CD9" s="59">
        <f ca="1">AVERAGE(OFFSET($CC$3,0,0,'Données projet'!$E$12+1,1))-AVERAGE(OFFSET($H$3,0,0,'Données projet'!$E$12+1,1))</f>
        <v>158.58786357608489</v>
      </c>
      <c r="CE9" s="59">
        <f t="shared" si="40"/>
        <v>163.20074068819849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4.75</v>
      </c>
      <c r="CT9" s="12">
        <f>IF('Données projet'!$A$140&gt;35,CT8+CS9-DB8,IF(A9&lt;'Données projet'!$A$140,$CQ$205^A9,IF(A9='Données projet'!$A$140,'Données projet'!$B$140,CT8+CS9-DB8)))</f>
        <v>3.920279951613006</v>
      </c>
      <c r="CU9" s="17">
        <f>CT9*VLOOKUP('Données projet'!$B$13,Paramètres!$A$1:$I$89,3,0)*VLOOKUP('Données projet'!$B$13,Paramètres!$A$1:$I$89,5,0)</f>
        <v>2.8743492605226559</v>
      </c>
      <c r="CV9" s="13">
        <f t="shared" si="41"/>
        <v>1.1714333946891846</v>
      </c>
      <c r="CW9" s="20">
        <f t="shared" si="13"/>
        <v>7.0464047911606214</v>
      </c>
      <c r="CX9" s="59">
        <f t="shared" si="14"/>
        <v>300.37973812449394</v>
      </c>
      <c r="CY9" s="59">
        <f ca="1">AVERAGE(OFFSET($CX$3,0,0,'Données projet'!$E$13+1,1))-AVERAGE(OFFSET($H$3,0,0,'Données projet'!$E$13+1,1))</f>
        <v>178.12968684094687</v>
      </c>
      <c r="CZ9" s="59">
        <f t="shared" si="42"/>
        <v>219.36004077210373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16.600000000000001</v>
      </c>
      <c r="DO9" s="12">
        <f>IF('Données projet'!$A$166&gt;35,DO8+DN9-DW8,IF(A9&lt;'Données projet'!$A$166,$DL$205^A9,IF(A9='Données projet'!$A$166,'Données projet'!$B$166,DO8+DN9-DW8)))</f>
        <v>45.6</v>
      </c>
      <c r="DP9" s="17">
        <f>DO9*VLOOKUP('Données projet'!$B$14,Paramètres!$A$1:$I$89,3,0)*VLOOKUP('Données projet'!$B$14,Paramètres!$A$1:$I$89,5,0)</f>
        <v>41.258880000000005</v>
      </c>
      <c r="DQ9" s="13">
        <f t="shared" si="43"/>
        <v>12.331709063679407</v>
      </c>
      <c r="DR9" s="20">
        <f t="shared" si="16"/>
        <v>93.33694261924164</v>
      </c>
      <c r="DS9" s="59">
        <f t="shared" si="17"/>
        <v>386.67027595257497</v>
      </c>
      <c r="DT9" s="59">
        <f ca="1">AVERAGE(OFFSET($DS$3,0,0,'Données projet'!$E$14+1,1))-AVERAGE(OFFSET($H$3,0,0,'Données projet'!$E$14+1,1))</f>
        <v>225.28075317732998</v>
      </c>
      <c r="DU9" s="59">
        <f t="shared" si="44"/>
        <v>358.43407531256207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0.94482148406840638</v>
      </c>
      <c r="EC9" s="21">
        <f>EXP(-LN(2)/2)*EC8+(1-EXP(-LN(2)/2))/(LN(2)/2)*DW9*DZ9*VLOOKUP('Données projet'!$B$14,Paramètres!$A$1:$I$89,3,0)*0.475*44/12</f>
        <v>1.9618926864432318</v>
      </c>
      <c r="ED9" s="22">
        <f t="shared" si="18"/>
        <v>2.9067141705116382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3.6141025641025637</v>
      </c>
      <c r="EJ9" s="12">
        <f>IF('Données projet'!$A$192&gt;35,EJ8+EI9-ER8,IF(A9&lt;'Données projet'!$A$192,$EG$205^A9,IF(A9='Données projet'!$A$192,'Données projet'!$B$192,EJ8+EI9-ER8)))</f>
        <v>2.5528444054145929</v>
      </c>
      <c r="EK9" s="17">
        <f>EJ9*VLOOKUP('Données projet'!$B$15,Paramètres!$A$1:$I$89,3,0)*VLOOKUP('Données projet'!$B$15,Paramètres!$A$1:$I$89,5,0)</f>
        <v>2.5885842270903976</v>
      </c>
      <c r="EL9" s="13">
        <f t="shared" si="45"/>
        <v>1.0679081812586111</v>
      </c>
      <c r="EM9" s="20">
        <f t="shared" si="19"/>
        <v>6.3683909445411908</v>
      </c>
      <c r="EN9" s="59">
        <f t="shared" si="20"/>
        <v>299.70172427787452</v>
      </c>
      <c r="EO9" s="59">
        <f ca="1">AVERAGE(OFFSET($EN$3,0,0,'Données projet'!$E$15+1,1))-AVERAGE(OFFSET($H$3,0,0,'Données projet'!$E$15+1,1))</f>
        <v>363.98308691765931</v>
      </c>
      <c r="EP9" s="59">
        <f t="shared" si="46"/>
        <v>181.47089407988187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3.6141025641025637</v>
      </c>
      <c r="FE9" s="12">
        <f>IF('Données projet'!$A$218&gt;35,FE8+FD9-FM8,IF(A9&lt;'Données projet'!$A$218,$FB$205^A9,IF(A9='Données projet'!$A$218,'Données projet'!$B$218,FE8+FD9-FM8)))</f>
        <v>2.5528444054145929</v>
      </c>
      <c r="FF9" s="17">
        <f>FE9*VLOOKUP('Données projet'!$B$16,Paramètres!$A$1:$I$89,3,0)*VLOOKUP('Données projet'!$B$16,Paramètres!$A$1:$I$89,5,0)</f>
        <v>2.7478817179882675</v>
      </c>
      <c r="FG9" s="13">
        <f t="shared" si="47"/>
        <v>1.1257727401777804</v>
      </c>
      <c r="FH9" s="20">
        <f t="shared" si="22"/>
        <v>6.7466148479725332</v>
      </c>
      <c r="FI9" s="59">
        <f t="shared" si="23"/>
        <v>300.07994818130584</v>
      </c>
      <c r="FJ9" s="59">
        <f ca="1">AVERAGE(OFFSET($FI$3,0,0,'Données projet'!$E$16+1,1))-AVERAGE(OFFSET($H$3,0,0,'Données projet'!$E$16+1,1))</f>
        <v>395.30533160963489</v>
      </c>
      <c r="FK9" s="59">
        <f t="shared" si="48"/>
        <v>196.02102977695085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2.2999999999999998</v>
      </c>
      <c r="FZ9" s="12">
        <f>IF('Données projet'!$A$244&gt;35,FZ8+FY9-GH8,IF(A9&lt;'Données projet'!$A$244,$FW$205^A9,IF(A9='Données projet'!$A$244,'Données projet'!$B$244,FZ8+FY9-GH8)))</f>
        <v>6.5620071855158564</v>
      </c>
      <c r="GA9" s="17">
        <f>FZ9*VLOOKUP('Données projet'!$B$17,Paramètres!$A$1:$I$89,3,0)*VLOOKUP('Données projet'!$B$17,Paramètres!$A$1:$I$89,5,0)</f>
        <v>6.8586099103011744</v>
      </c>
      <c r="GB9" s="13">
        <f t="shared" si="49"/>
        <v>2.5260985245352776</v>
      </c>
      <c r="GC9" s="20">
        <f t="shared" si="25"/>
        <v>16.345033857340152</v>
      </c>
      <c r="GD9" s="59">
        <f t="shared" si="26"/>
        <v>309.67836719067344</v>
      </c>
      <c r="GE9" s="59">
        <f ca="1">AVERAGE(OFFSET($GD$3,0,0,'Données projet'!$E$17+1,1))-AVERAGE(OFFSET($H$3,0,0,'Données projet'!$E$17+1,1))</f>
        <v>269.41185214595805</v>
      </c>
      <c r="GF9" s="59">
        <f t="shared" si="50"/>
        <v>299.70148160580993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4.75</v>
      </c>
      <c r="GU9" s="12">
        <f>IF('Données projet'!$A$270&gt;35,GU8+GT9-HC8,IF(A9&lt;'Données projet'!$A$270,$GR$205^A9,IF(A9='Données projet'!$A$270,'Données projet'!$B$270,GU8+GT9-HC8)))</f>
        <v>3.920279951613006</v>
      </c>
      <c r="GV9" s="17">
        <f>GU9*VLOOKUP('Données projet'!$B$18,Paramètres!$A$1:$I$89,3,0)*VLOOKUP('Données projet'!$B$18,Paramètres!$A$1:$I$89,5,0)</f>
        <v>3.4247565657291221</v>
      </c>
      <c r="GW9" s="13">
        <f t="shared" si="51"/>
        <v>1.3675741210181858</v>
      </c>
      <c r="GX9" s="20">
        <f t="shared" si="28"/>
        <v>8.3466426127515607</v>
      </c>
      <c r="GY9" s="59">
        <f t="shared" si="29"/>
        <v>301.67997594608488</v>
      </c>
      <c r="GZ9" s="59">
        <f ca="1">AVERAGE(OFFSET($GY$3,0,0,'Données projet'!$E$18+1,1))-AVERAGE(OFFSET($H$3,0,0,'Données projet'!$E$18+1,1))</f>
        <v>226.35975611953359</v>
      </c>
      <c r="HA9" s="59">
        <f t="shared" si="52"/>
        <v>271.65876694892461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3.6141025641025637</v>
      </c>
      <c r="N10" s="13">
        <f>IF('Données projet'!$A$36&gt;35,N9+M10-V9,IF(A10&lt;'Données projet'!$A$36,$K$205^A10,IF(A10='Données projet'!$A$36,'Données projet'!$B$36,N9+M10-V9)))</f>
        <v>2.9844323334822644</v>
      </c>
      <c r="O10" s="13">
        <f>N10*VLOOKUP('Données projet'!$B$9,Paramètres!$A$1:$I$89,3,0)*VLOOKUP('Données projet'!$B$9,Paramètres!$A$1:$I$89,5,0)</f>
        <v>2.7003143753347527</v>
      </c>
      <c r="P10" s="13">
        <f t="shared" si="33"/>
        <v>1.1085359080089574</v>
      </c>
      <c r="Q10" s="20">
        <f t="shared" si="2"/>
        <v>6.6337475768236276</v>
      </c>
      <c r="R10" s="59">
        <f t="shared" si="0"/>
        <v>299.96708091015694</v>
      </c>
      <c r="S10" s="59">
        <f ca="1">AVERAGE(OFFSET($R$3,0,0,'Données projet'!$E$9+1,1))-AVERAGE(OFFSET($H$3,0,0,'Données projet'!$E$9+1,1))</f>
        <v>309.07357540707869</v>
      </c>
      <c r="T10" s="59">
        <f t="shared" si="34"/>
        <v>155.9593924683299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2.2999999999999998</v>
      </c>
      <c r="AI10" s="13">
        <f>IF('Données projet'!$A$62&gt;35,AI9+AH10-AQ9,IF(A10&lt;'Données projet'!$A$62,$AF$205^A10,IF(A10='Données projet'!$A$62,'Données projet'!$B$62,AI9+AH10-AQ9)))</f>
        <v>8.9786178045341511</v>
      </c>
      <c r="AJ10" s="13">
        <f>AI10*VLOOKUP('Données projet'!$B$10,Paramètres!$A$1:$I$89,3,0)*VLOOKUP('Données projet'!$B$10,Paramètres!$A$1:$I$89,5,0)</f>
        <v>7.8437205140410358</v>
      </c>
      <c r="AK10" s="13">
        <f t="shared" si="35"/>
        <v>2.8441454451868036</v>
      </c>
      <c r="AL10" s="20">
        <f t="shared" si="4"/>
        <v>18.614699878988485</v>
      </c>
      <c r="AM10" s="59">
        <f t="shared" si="5"/>
        <v>311.94803321232177</v>
      </c>
      <c r="AN10" s="59">
        <f ca="1">AVERAGE(OFFSET($AM$3,0,0,'Données projet'!$E$10+1,1))-AVERAGE(OFFSET($H$3,0,0,'Données projet'!$E$10+1,1))</f>
        <v>210.07838338464626</v>
      </c>
      <c r="AO10" s="59">
        <f t="shared" si="36"/>
        <v>241.76003724236273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2.2999999999999998</v>
      </c>
      <c r="BD10" s="12">
        <f>IF('Données projet'!$A$88&gt;35,BD9+BC10-BL9,IF(A10&lt;'Données projet'!$A$88,$BA$205^A10,IF(A10='Données projet'!$A$88,'Données projet'!$B$88,BD9+BC10-BL9)))</f>
        <v>8.9786178045341511</v>
      </c>
      <c r="BE10" s="13">
        <f>BD10*VLOOKUP('Données projet'!$B$11,Paramètres!$A$1:$I$89,3,0)*VLOOKUP('Données projet'!$B$11,Paramètres!$A$1:$I$89,5,0)</f>
        <v>4.9023253212756464</v>
      </c>
      <c r="BF10" s="13">
        <f t="shared" si="37"/>
        <v>1.8775494544517806</v>
      </c>
      <c r="BG10" s="20">
        <f t="shared" si="7"/>
        <v>11.808281901058599</v>
      </c>
      <c r="BH10" s="59">
        <f t="shared" si="8"/>
        <v>305.14161523439191</v>
      </c>
      <c r="BI10" s="59">
        <f ca="1">AVERAGE(OFFSET($BH$3,0,0,'Données projet'!$E$11+1,1))-AVERAGE(OFFSET($H$3,0,0,'Données projet'!$E$11+1,1))</f>
        <v>168.72306536277267</v>
      </c>
      <c r="BJ10" s="59">
        <f t="shared" si="38"/>
        <v>203.35476578922339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7.2264102564102561</v>
      </c>
      <c r="BY10" s="12">
        <f>IF('Données projet'!$A$114&gt;35,BY9+BX10-CG9,IF(A10&lt;'Données projet'!$A$114,$BV$205^A10,IF(A10='Données projet'!$A$114,'Données projet'!$B$114,BY9+BX10-CG9)))</f>
        <v>3.5081398877252363</v>
      </c>
      <c r="BZ10" s="13">
        <f>BY10*VLOOKUP('Données projet'!$B$12,Paramètres!$A$1:$I$89,3,0)*VLOOKUP('Données projet'!$B$12,Paramètres!$A$1:$I$89,5,0)</f>
        <v>1.6418094674554107</v>
      </c>
      <c r="CA10" s="13">
        <f t="shared" si="39"/>
        <v>0.71418586714920729</v>
      </c>
      <c r="CB10" s="20">
        <f t="shared" si="10"/>
        <v>4.1033585411030424</v>
      </c>
      <c r="CC10" s="59">
        <f t="shared" si="11"/>
        <v>297.43669187443635</v>
      </c>
      <c r="CD10" s="59">
        <f ca="1">AVERAGE(OFFSET($CC$3,0,0,'Données projet'!$E$12+1,1))-AVERAGE(OFFSET($H$3,0,0,'Données projet'!$E$12+1,1))</f>
        <v>158.58786357608489</v>
      </c>
      <c r="CE10" s="59">
        <f t="shared" si="40"/>
        <v>163.20074068819849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4.75</v>
      </c>
      <c r="CT10" s="12">
        <f>IF('Données projet'!$A$140&gt;35,CT9+CS10-DB9,IF(A10&lt;'Données projet'!$A$140,$CQ$205^A10,IF(A10='Données projet'!$A$140,'Données projet'!$B$140,CT9+CS10-DB9)))</f>
        <v>4.9226987771675601</v>
      </c>
      <c r="CU10" s="17">
        <f>CT10*VLOOKUP('Données projet'!$B$13,Paramètres!$A$1:$I$89,3,0)*VLOOKUP('Données projet'!$B$13,Paramètres!$A$1:$I$89,5,0)</f>
        <v>3.6093227434192547</v>
      </c>
      <c r="CV10" s="13">
        <f t="shared" si="41"/>
        <v>1.432496037836781</v>
      </c>
      <c r="CW10" s="20">
        <f t="shared" si="13"/>
        <v>8.7811677106875958</v>
      </c>
      <c r="CX10" s="59">
        <f t="shared" si="14"/>
        <v>302.11450104402093</v>
      </c>
      <c r="CY10" s="59">
        <f ca="1">AVERAGE(OFFSET($CX$3,0,0,'Données projet'!$E$13+1,1))-AVERAGE(OFFSET($H$3,0,0,'Données projet'!$E$13+1,1))</f>
        <v>178.12968684094687</v>
      </c>
      <c r="CZ10" s="59">
        <f t="shared" si="42"/>
        <v>219.36004077210373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16.600000000000001</v>
      </c>
      <c r="DO10" s="12">
        <f>IF('Données projet'!$A$166&gt;35,DO9+DN10-DW9,IF(A10&lt;'Données projet'!$A$166,$DL$205^A10,IF(A10='Données projet'!$A$166,'Données projet'!$B$166,DO9+DN10-DW9)))</f>
        <v>62.2</v>
      </c>
      <c r="DP10" s="17">
        <f>DO10*VLOOKUP('Données projet'!$B$14,Paramètres!$A$1:$I$89,3,0)*VLOOKUP('Données projet'!$B$14,Paramètres!$A$1:$I$89,5,0)</f>
        <v>56.278560000000006</v>
      </c>
      <c r="DQ10" s="13">
        <f t="shared" si="43"/>
        <v>16.223894703537749</v>
      </c>
      <c r="DR10" s="20">
        <f t="shared" si="16"/>
        <v>126.27510860866158</v>
      </c>
      <c r="DS10" s="59">
        <f t="shared" si="17"/>
        <v>419.6084419419949</v>
      </c>
      <c r="DT10" s="59">
        <f ca="1">AVERAGE(OFFSET($DS$3,0,0,'Données projet'!$E$14+1,1))-AVERAGE(OFFSET($H$3,0,0,'Données projet'!$E$14+1,1))</f>
        <v>225.28075317732998</v>
      </c>
      <c r="DU10" s="59">
        <f t="shared" si="44"/>
        <v>358.43407531256207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0.91898529090055336</v>
      </c>
      <c r="EC10" s="21">
        <f>EXP(-LN(2)/2)*EC9+(1-EXP(-LN(2)/2))/(LN(2)/2)*DW10*DZ10*VLOOKUP('Données projet'!$B$14,Paramètres!$A$1:$I$89,3,0)*0.475*44/12</f>
        <v>1.3872676225443024</v>
      </c>
      <c r="ED10" s="22">
        <f t="shared" si="18"/>
        <v>2.3062529134448555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3.6141025641025637</v>
      </c>
      <c r="EJ10" s="12">
        <f>IF('Données projet'!$A$192&gt;35,EJ9+EI10-ER9,IF(A10&lt;'Données projet'!$A$192,$EG$205^A10,IF(A10='Données projet'!$A$192,'Données projet'!$B$192,EJ9+EI10-ER9)))</f>
        <v>2.9844323334822644</v>
      </c>
      <c r="EK10" s="17">
        <f>EJ10*VLOOKUP('Données projet'!$B$15,Paramètres!$A$1:$I$89,3,0)*VLOOKUP('Données projet'!$B$15,Paramètres!$A$1:$I$89,5,0)</f>
        <v>3.0262143861510165</v>
      </c>
      <c r="EL10" s="13">
        <f t="shared" si="45"/>
        <v>1.225956420065428</v>
      </c>
      <c r="EM10" s="20">
        <f t="shared" si="19"/>
        <v>7.4058641541603079</v>
      </c>
      <c r="EN10" s="59">
        <f t="shared" si="20"/>
        <v>300.73919748749364</v>
      </c>
      <c r="EO10" s="59">
        <f ca="1">AVERAGE(OFFSET($EN$3,0,0,'Données projet'!$E$15+1,1))-AVERAGE(OFFSET($H$3,0,0,'Données projet'!$E$15+1,1))</f>
        <v>363.98308691765931</v>
      </c>
      <c r="EP10" s="59">
        <f t="shared" si="46"/>
        <v>181.47089407988187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3.6141025641025637</v>
      </c>
      <c r="FE10" s="12">
        <f>IF('Données projet'!$A$218&gt;35,FE9+FD10-FM9,IF(A10&lt;'Données projet'!$A$218,$FB$205^A10,IF(A10='Données projet'!$A$218,'Données projet'!$B$218,FE9+FD10-FM9)))</f>
        <v>2.9844323334822644</v>
      </c>
      <c r="FF10" s="17">
        <f>FE10*VLOOKUP('Données projet'!$B$16,Paramètres!$A$1:$I$89,3,0)*VLOOKUP('Données projet'!$B$16,Paramètres!$A$1:$I$89,5,0)</f>
        <v>3.2124429637603096</v>
      </c>
      <c r="FG10" s="13">
        <f t="shared" si="47"/>
        <v>1.2923848160138536</v>
      </c>
      <c r="FH10" s="20">
        <f t="shared" si="22"/>
        <v>7.8459083831066669</v>
      </c>
      <c r="FI10" s="59">
        <f t="shared" si="23"/>
        <v>301.17924171644</v>
      </c>
      <c r="FJ10" s="59">
        <f ca="1">AVERAGE(OFFSET($FI$3,0,0,'Données projet'!$E$16+1,1))-AVERAGE(OFFSET($H$3,0,0,'Données projet'!$E$16+1,1))</f>
        <v>395.30533160963489</v>
      </c>
      <c r="FK10" s="59">
        <f t="shared" si="48"/>
        <v>196.02102977695085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2.2999999999999998</v>
      </c>
      <c r="FZ10" s="12">
        <f>IF('Données projet'!$A$244&gt;35,FZ9+FY10-GH9,IF(A10&lt;'Données projet'!$A$244,$FW$205^A10,IF(A10='Données projet'!$A$244,'Données projet'!$B$244,FZ9+FY10-GH9)))</f>
        <v>8.9786178045341511</v>
      </c>
      <c r="GA10" s="17">
        <f>FZ10*VLOOKUP('Données projet'!$B$17,Paramètres!$A$1:$I$89,3,0)*VLOOKUP('Données projet'!$B$17,Paramètres!$A$1:$I$89,5,0)</f>
        <v>9.3844513292990968</v>
      </c>
      <c r="GB10" s="13">
        <f t="shared" si="49"/>
        <v>3.3325184060720576</v>
      </c>
      <c r="GC10" s="20">
        <f t="shared" si="25"/>
        <v>22.148722289104757</v>
      </c>
      <c r="GD10" s="59">
        <f t="shared" si="26"/>
        <v>315.48205562243805</v>
      </c>
      <c r="GE10" s="59">
        <f ca="1">AVERAGE(OFFSET($GD$3,0,0,'Données projet'!$E$17+1,1))-AVERAGE(OFFSET($H$3,0,0,'Données projet'!$E$17+1,1))</f>
        <v>269.41185214595805</v>
      </c>
      <c r="GF10" s="59">
        <f t="shared" si="50"/>
        <v>299.70148160580993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4.75</v>
      </c>
      <c r="GU10" s="12">
        <f>IF('Données projet'!$A$270&gt;35,GU9+GT10-HC9,IF(A10&lt;'Données projet'!$A$270,$GR$205^A10,IF(A10='Données projet'!$A$270,'Données projet'!$B$270,GU9+GT10-HC9)))</f>
        <v>4.9226987771675601</v>
      </c>
      <c r="GV10" s="17">
        <f>GU10*VLOOKUP('Données projet'!$B$18,Paramètres!$A$1:$I$89,3,0)*VLOOKUP('Données projet'!$B$18,Paramètres!$A$1:$I$89,5,0)</f>
        <v>4.3004696517335805</v>
      </c>
      <c r="GW10" s="13">
        <f t="shared" si="51"/>
        <v>1.6723481835913181</v>
      </c>
      <c r="GX10" s="20">
        <f t="shared" si="28"/>
        <v>10.40265772985753</v>
      </c>
      <c r="GY10" s="59">
        <f t="shared" si="29"/>
        <v>303.73599106319085</v>
      </c>
      <c r="GZ10" s="59">
        <f ca="1">AVERAGE(OFFSET($GY$3,0,0,'Données projet'!$E$18+1,1))-AVERAGE(OFFSET($H$3,0,0,'Données projet'!$E$18+1,1))</f>
        <v>226.35975611953359</v>
      </c>
      <c r="HA10" s="59">
        <f t="shared" si="52"/>
        <v>271.65876694892461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3.6141025641025637</v>
      </c>
      <c r="N11" s="13">
        <f>IF('Données projet'!$A$36&gt;35,N10+M11-V10,IF(A11&lt;'Données projet'!$A$36,$K$205^A11,IF(A11='Données projet'!$A$36,'Données projet'!$B$36,N10+M11-V10)))</f>
        <v>3.4889852018567837</v>
      </c>
      <c r="O11" s="13">
        <f>N11*VLOOKUP('Données projet'!$B$9,Paramètres!$A$1:$I$89,3,0)*VLOOKUP('Données projet'!$B$9,Paramètres!$A$1:$I$89,5,0)</f>
        <v>3.156833810640018</v>
      </c>
      <c r="P11" s="13">
        <f t="shared" si="33"/>
        <v>1.2725969677420546</v>
      </c>
      <c r="Q11" s="20">
        <f t="shared" si="2"/>
        <v>7.7145919390154418</v>
      </c>
      <c r="R11" s="59">
        <f t="shared" si="0"/>
        <v>301.04792527234878</v>
      </c>
      <c r="S11" s="59">
        <f ca="1">AVERAGE(OFFSET($R$3,0,0,'Données projet'!$E$9+1,1))-AVERAGE(OFFSET($H$3,0,0,'Données projet'!$E$9+1,1))</f>
        <v>309.07357540707869</v>
      </c>
      <c r="T11" s="59">
        <f t="shared" si="34"/>
        <v>155.9593924683299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2.2999999999999998</v>
      </c>
      <c r="AI11" s="13">
        <f>IF('Données projet'!$A$62&gt;35,AI10+AH11-AQ10,IF(A11&lt;'Données projet'!$A$62,$AF$205^A11,IF(A11='Données projet'!$A$62,'Données projet'!$B$62,AI10+AH11-AQ10)))</f>
        <v>12.285201067417038</v>
      </c>
      <c r="AJ11" s="13">
        <f>AI11*VLOOKUP('Données projet'!$B$10,Paramètres!$A$1:$I$89,3,0)*VLOOKUP('Données projet'!$B$10,Paramètres!$A$1:$I$89,5,0)</f>
        <v>10.732351652495526</v>
      </c>
      <c r="AK11" s="13">
        <f t="shared" si="35"/>
        <v>3.7520971385606225</v>
      </c>
      <c r="AL11" s="20">
        <f t="shared" si="4"/>
        <v>25.227081644422793</v>
      </c>
      <c r="AM11" s="59">
        <f t="shared" si="5"/>
        <v>318.56041497775612</v>
      </c>
      <c r="AN11" s="59">
        <f ca="1">AVERAGE(OFFSET($AM$3,0,0,'Données projet'!$E$10+1,1))-AVERAGE(OFFSET($H$3,0,0,'Données projet'!$E$10+1,1))</f>
        <v>210.07838338464626</v>
      </c>
      <c r="AO11" s="59">
        <f t="shared" si="36"/>
        <v>241.76003724236273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2.2999999999999998</v>
      </c>
      <c r="BD11" s="12">
        <f>IF('Données projet'!$A$88&gt;35,BD10+BC11-BL10,IF(A11&lt;'Données projet'!$A$88,$BA$205^A11,IF(A11='Données projet'!$A$88,'Données projet'!$B$88,BD10+BC11-BL10)))</f>
        <v>12.285201067417038</v>
      </c>
      <c r="BE11" s="13">
        <f>BD11*VLOOKUP('Données projet'!$B$11,Paramètres!$A$1:$I$89,3,0)*VLOOKUP('Données projet'!$B$11,Paramètres!$A$1:$I$89,5,0)</f>
        <v>6.7077197828097024</v>
      </c>
      <c r="BF11" s="13">
        <f t="shared" si="37"/>
        <v>2.4769295633162978</v>
      </c>
      <c r="BG11" s="20">
        <f t="shared" si="7"/>
        <v>15.996597611169451</v>
      </c>
      <c r="BH11" s="59">
        <f t="shared" si="8"/>
        <v>309.32993094450279</v>
      </c>
      <c r="BI11" s="59">
        <f ca="1">AVERAGE(OFFSET($BH$3,0,0,'Données projet'!$E$11+1,1))-AVERAGE(OFFSET($H$3,0,0,'Données projet'!$E$11+1,1))</f>
        <v>168.72306536277267</v>
      </c>
      <c r="BJ11" s="59">
        <f t="shared" si="38"/>
        <v>203.35476578922339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7.2264102564102561</v>
      </c>
      <c r="BY11" s="12">
        <f>IF('Données projet'!$A$114&gt;35,BY10+BX11-CG10,IF(A11&lt;'Données projet'!$A$114,$BV$205^A11,IF(A11='Données projet'!$A$114,'Données projet'!$B$114,BY10+BX11-CG10)))</f>
        <v>4.1970585866050225</v>
      </c>
      <c r="BZ11" s="13">
        <f>BY11*VLOOKUP('Données projet'!$B$12,Paramètres!$A$1:$I$89,3,0)*VLOOKUP('Données projet'!$B$12,Paramètres!$A$1:$I$89,5,0)</f>
        <v>1.9642234185311505</v>
      </c>
      <c r="CA11" s="13">
        <f t="shared" si="39"/>
        <v>0.83678816759654573</v>
      </c>
      <c r="CB11" s="20">
        <f t="shared" si="10"/>
        <v>4.8784285125057369</v>
      </c>
      <c r="CC11" s="59">
        <f t="shared" si="11"/>
        <v>298.21176184583908</v>
      </c>
      <c r="CD11" s="59">
        <f ca="1">AVERAGE(OFFSET($CC$3,0,0,'Données projet'!$E$12+1,1))-AVERAGE(OFFSET($H$3,0,0,'Données projet'!$E$12+1,1))</f>
        <v>158.58786357608489</v>
      </c>
      <c r="CE11" s="59">
        <f t="shared" si="40"/>
        <v>163.20074068819849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4.75</v>
      </c>
      <c r="CT11" s="12">
        <f>IF('Données projet'!$A$140&gt;35,CT10+CS11-DB10,IF(A11&lt;'Données projet'!$A$140,$CQ$205^A11,IF(A11='Données projet'!$A$140,'Données projet'!$B$140,CT10+CS11-DB10)))</f>
        <v>6.1814369253798551</v>
      </c>
      <c r="CU11" s="17">
        <f>CT11*VLOOKUP('Données projet'!$B$13,Paramètres!$A$1:$I$89,3,0)*VLOOKUP('Données projet'!$B$13,Paramètres!$A$1:$I$89,5,0)</f>
        <v>4.5322295536885102</v>
      </c>
      <c r="CV11" s="13">
        <f t="shared" si="41"/>
        <v>1.7517384323523946</v>
      </c>
      <c r="CW11" s="20">
        <f t="shared" si="13"/>
        <v>10.944577575687909</v>
      </c>
      <c r="CX11" s="59">
        <f t="shared" si="14"/>
        <v>304.27791090902122</v>
      </c>
      <c r="CY11" s="59">
        <f ca="1">AVERAGE(OFFSET($CX$3,0,0,'Données projet'!$E$13+1,1))-AVERAGE(OFFSET($H$3,0,0,'Données projet'!$E$13+1,1))</f>
        <v>178.12968684094687</v>
      </c>
      <c r="CZ11" s="59">
        <f t="shared" si="42"/>
        <v>219.36004077210373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16.600000000000001</v>
      </c>
      <c r="DO11" s="12">
        <f>IF('Données projet'!$A$166&gt;35,DO10+DN11-DW10,IF(A11&lt;'Données projet'!$A$166,$DL$205^A11,IF(A11='Données projet'!$A$166,'Données projet'!$B$166,DO10+DN11-DW10)))</f>
        <v>78.800000000000011</v>
      </c>
      <c r="DP11" s="17">
        <f>DO11*VLOOKUP('Données projet'!$B$14,Paramètres!$A$1:$I$89,3,0)*VLOOKUP('Données projet'!$B$14,Paramètres!$A$1:$I$89,5,0)</f>
        <v>71.298240000000007</v>
      </c>
      <c r="DQ11" s="13">
        <f t="shared" si="43"/>
        <v>19.995510702345133</v>
      </c>
      <c r="DR11" s="20">
        <f t="shared" si="16"/>
        <v>159.00328247325112</v>
      </c>
      <c r="DS11" s="59">
        <f t="shared" si="17"/>
        <v>452.3366158065844</v>
      </c>
      <c r="DT11" s="59">
        <f ca="1">AVERAGE(OFFSET($DS$3,0,0,'Données projet'!$E$14+1,1))-AVERAGE(OFFSET($H$3,0,0,'Données projet'!$E$14+1,1))</f>
        <v>225.28075317732998</v>
      </c>
      <c r="DU11" s="59">
        <f t="shared" si="44"/>
        <v>358.43407531256207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0.89385558979354163</v>
      </c>
      <c r="EC11" s="21">
        <f>EXP(-LN(2)/2)*EC10+(1-EXP(-LN(2)/2))/(LN(2)/2)*DW11*DZ11*VLOOKUP('Données projet'!$B$14,Paramètres!$A$1:$I$89,3,0)*0.475*44/12</f>
        <v>0.98094634322161611</v>
      </c>
      <c r="ED11" s="22">
        <f t="shared" si="18"/>
        <v>1.8748019330151577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3.6141025641025637</v>
      </c>
      <c r="EJ11" s="12">
        <f>IF('Données projet'!$A$192&gt;35,EJ10+EI11-ER10,IF(A11&lt;'Données projet'!$A$192,$EG$205^A11,IF(A11='Données projet'!$A$192,'Données projet'!$B$192,EJ10+EI11-ER10)))</f>
        <v>3.4889852018567837</v>
      </c>
      <c r="EK11" s="17">
        <f>EJ11*VLOOKUP('Données projet'!$B$15,Paramètres!$A$1:$I$89,3,0)*VLOOKUP('Données projet'!$B$15,Paramètres!$A$1:$I$89,5,0)</f>
        <v>3.5378309946827793</v>
      </c>
      <c r="EL11" s="13">
        <f t="shared" si="45"/>
        <v>1.4073954767611927</v>
      </c>
      <c r="EM11" s="20">
        <f t="shared" si="19"/>
        <v>8.6129361044315829</v>
      </c>
      <c r="EN11" s="59">
        <f t="shared" si="20"/>
        <v>301.9462694377649</v>
      </c>
      <c r="EO11" s="59">
        <f ca="1">AVERAGE(OFFSET($EN$3,0,0,'Données projet'!$E$15+1,1))-AVERAGE(OFFSET($H$3,0,0,'Données projet'!$E$15+1,1))</f>
        <v>363.98308691765931</v>
      </c>
      <c r="EP11" s="59">
        <f t="shared" si="46"/>
        <v>181.47089407988187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3.6141025641025637</v>
      </c>
      <c r="FE11" s="12">
        <f>IF('Données projet'!$A$218&gt;35,FE10+FD11-FM10,IF(A11&lt;'Données projet'!$A$218,$FB$205^A11,IF(A11='Données projet'!$A$218,'Données projet'!$B$218,FE10+FD11-FM10)))</f>
        <v>3.4889852018567837</v>
      </c>
      <c r="FF11" s="17">
        <f>FE11*VLOOKUP('Données projet'!$B$16,Paramètres!$A$1:$I$89,3,0)*VLOOKUP('Données projet'!$B$16,Paramètres!$A$1:$I$89,5,0)</f>
        <v>3.7555436712786419</v>
      </c>
      <c r="FG11" s="13">
        <f t="shared" si="47"/>
        <v>1.4836551402012079</v>
      </c>
      <c r="FH11" s="20">
        <f t="shared" si="22"/>
        <v>9.1249379299940703</v>
      </c>
      <c r="FI11" s="59">
        <f t="shared" si="23"/>
        <v>302.45827126332739</v>
      </c>
      <c r="FJ11" s="59">
        <f ca="1">AVERAGE(OFFSET($FI$3,0,0,'Données projet'!$E$16+1,1))-AVERAGE(OFFSET($H$3,0,0,'Données projet'!$E$16+1,1))</f>
        <v>395.30533160963489</v>
      </c>
      <c r="FK11" s="59">
        <f t="shared" si="48"/>
        <v>196.02102977695085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2.2999999999999998</v>
      </c>
      <c r="FZ11" s="12">
        <f>IF('Données projet'!$A$244&gt;35,FZ10+FY11-GH10,IF(A11&lt;'Données projet'!$A$244,$FW$205^A11,IF(A11='Données projet'!$A$244,'Données projet'!$B$244,FZ10+FY11-GH10)))</f>
        <v>12.285201067417038</v>
      </c>
      <c r="GA11" s="17">
        <f>FZ11*VLOOKUP('Données projet'!$B$17,Paramètres!$A$1:$I$89,3,0)*VLOOKUP('Données projet'!$B$17,Paramètres!$A$1:$I$89,5,0)</f>
        <v>12.84049215566429</v>
      </c>
      <c r="GB11" s="13">
        <f t="shared" si="49"/>
        <v>4.3963759999630803</v>
      </c>
      <c r="GC11" s="20">
        <f t="shared" si="25"/>
        <v>30.020878704384334</v>
      </c>
      <c r="GD11" s="59">
        <f t="shared" si="26"/>
        <v>323.35421203771767</v>
      </c>
      <c r="GE11" s="59">
        <f ca="1">AVERAGE(OFFSET($GD$3,0,0,'Données projet'!$E$17+1,1))-AVERAGE(OFFSET($H$3,0,0,'Données projet'!$E$17+1,1))</f>
        <v>269.41185214595805</v>
      </c>
      <c r="GF11" s="59">
        <f t="shared" si="50"/>
        <v>299.70148160580993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4.75</v>
      </c>
      <c r="GU11" s="12">
        <f>IF('Données projet'!$A$270&gt;35,GU10+GT11-HC10,IF(A11&lt;'Données projet'!$A$270,$GR$205^A11,IF(A11='Données projet'!$A$270,'Données projet'!$B$270,GU10+GT11-HC10)))</f>
        <v>6.1814369253798551</v>
      </c>
      <c r="GV11" s="17">
        <f>GU11*VLOOKUP('Données projet'!$B$18,Paramètres!$A$1:$I$89,3,0)*VLOOKUP('Données projet'!$B$18,Paramètres!$A$1:$I$89,5,0)</f>
        <v>5.4001032980118424</v>
      </c>
      <c r="GW11" s="13">
        <f t="shared" si="51"/>
        <v>2.0450434124030847</v>
      </c>
      <c r="GX11" s="20">
        <f t="shared" si="28"/>
        <v>12.966963853972665</v>
      </c>
      <c r="GY11" s="59">
        <f t="shared" si="29"/>
        <v>306.300297187306</v>
      </c>
      <c r="GZ11" s="59">
        <f ca="1">AVERAGE(OFFSET($GY$3,0,0,'Données projet'!$E$18+1,1))-AVERAGE(OFFSET($H$3,0,0,'Données projet'!$E$18+1,1))</f>
        <v>226.35975611953359</v>
      </c>
      <c r="HA11" s="59">
        <f t="shared" si="52"/>
        <v>271.65876694892461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3.6141025641025637</v>
      </c>
      <c r="N12" s="13">
        <f>IF('Données projet'!$A$36&gt;35,N11+M12-V11,IF(A12&lt;'Données projet'!$A$36,$K$205^A12,IF(A12='Données projet'!$A$36,'Données projet'!$B$36,N11+M12-V11)))</f>
        <v>4.0788385791853514</v>
      </c>
      <c r="O12" s="13">
        <f>N12*VLOOKUP('Données projet'!$B$9,Paramètres!$A$1:$I$89,3,0)*VLOOKUP('Données projet'!$B$9,Paramètres!$A$1:$I$89,5,0)</f>
        <v>3.690533146446906</v>
      </c>
      <c r="P12" s="13">
        <f t="shared" si="33"/>
        <v>1.4609387306317054</v>
      </c>
      <c r="Q12" s="20">
        <f t="shared" si="2"/>
        <v>8.9721468525785806</v>
      </c>
      <c r="R12" s="59">
        <f t="shared" si="0"/>
        <v>302.3054801859119</v>
      </c>
      <c r="S12" s="59">
        <f ca="1">AVERAGE(OFFSET($R$3,0,0,'Données projet'!$E$9+1,1))-AVERAGE(OFFSET($H$3,0,0,'Données projet'!$E$9+1,1))</f>
        <v>309.07357540707869</v>
      </c>
      <c r="T12" s="59">
        <f t="shared" si="34"/>
        <v>155.9593924683299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2.2999999999999998</v>
      </c>
      <c r="AI12" s="13">
        <f>IF('Données projet'!$A$62&gt;35,AI11+AH12-AQ11,IF(A12&lt;'Données projet'!$A$62,$AF$205^A12,IF(A12='Données projet'!$A$62,'Données projet'!$B$62,AI11+AH12-AQ11)))</f>
        <v>16.809509943796456</v>
      </c>
      <c r="AJ12" s="13">
        <f>AI12*VLOOKUP('Données projet'!$B$10,Paramètres!$A$1:$I$89,3,0)*VLOOKUP('Données projet'!$B$10,Paramètres!$A$1:$I$89,5,0)</f>
        <v>14.684787886900585</v>
      </c>
      <c r="AK12" s="13">
        <f t="shared" si="35"/>
        <v>4.9498990851609408</v>
      </c>
      <c r="AL12" s="20">
        <f t="shared" si="4"/>
        <v>34.197079809673824</v>
      </c>
      <c r="AM12" s="59">
        <f t="shared" si="5"/>
        <v>327.53041314300714</v>
      </c>
      <c r="AN12" s="59">
        <f ca="1">AVERAGE(OFFSET($AM$3,0,0,'Données projet'!$E$10+1,1))-AVERAGE(OFFSET($H$3,0,0,'Données projet'!$E$10+1,1))</f>
        <v>210.07838338464626</v>
      </c>
      <c r="AO12" s="59">
        <f t="shared" si="36"/>
        <v>241.76003724236273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2.2999999999999998</v>
      </c>
      <c r="BD12" s="12">
        <f>IF('Données projet'!$A$88&gt;35,BD11+BC12-BL11,IF(A12&lt;'Données projet'!$A$88,$BA$205^A12,IF(A12='Données projet'!$A$88,'Données projet'!$B$88,BD11+BC12-BL11)))</f>
        <v>16.809509943796456</v>
      </c>
      <c r="BE12" s="13">
        <f>BD12*VLOOKUP('Données projet'!$B$11,Paramètres!$A$1:$I$89,3,0)*VLOOKUP('Données projet'!$B$11,Paramètres!$A$1:$I$89,5,0)</f>
        <v>9.1779924293128641</v>
      </c>
      <c r="BF12" s="13">
        <f t="shared" si="37"/>
        <v>3.2676529755758974</v>
      </c>
      <c r="BG12" s="20">
        <f t="shared" si="7"/>
        <v>21.676165746847925</v>
      </c>
      <c r="BH12" s="59">
        <f t="shared" si="8"/>
        <v>315.00949908018123</v>
      </c>
      <c r="BI12" s="59">
        <f ca="1">AVERAGE(OFFSET($BH$3,0,0,'Données projet'!$E$11+1,1))-AVERAGE(OFFSET($H$3,0,0,'Données projet'!$E$11+1,1))</f>
        <v>168.72306536277267</v>
      </c>
      <c r="BJ12" s="59">
        <f t="shared" si="38"/>
        <v>203.35476578922339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7.2264102564102561</v>
      </c>
      <c r="BY12" s="12">
        <f>IF('Données projet'!$A$114&gt;35,BY11+BX12-CG11,IF(A12&lt;'Données projet'!$A$114,$BV$205^A12,IF(A12='Données projet'!$A$114,'Données projet'!$B$114,BY11+BX12-CG11)))</f>
        <v>5.0212652126643498</v>
      </c>
      <c r="BZ12" s="13">
        <f>BY12*VLOOKUP('Données projet'!$B$12,Paramètres!$A$1:$I$89,3,0)*VLOOKUP('Données projet'!$B$12,Paramètres!$A$1:$I$89,5,0)</f>
        <v>2.349952119526916</v>
      </c>
      <c r="CA12" s="13">
        <f t="shared" si="39"/>
        <v>0.98043726379605944</v>
      </c>
      <c r="CB12" s="20">
        <f t="shared" si="10"/>
        <v>5.8004281759541811</v>
      </c>
      <c r="CC12" s="59">
        <f t="shared" si="11"/>
        <v>299.13376150928752</v>
      </c>
      <c r="CD12" s="59">
        <f ca="1">AVERAGE(OFFSET($CC$3,0,0,'Données projet'!$E$12+1,1))-AVERAGE(OFFSET($H$3,0,0,'Données projet'!$E$12+1,1))</f>
        <v>158.58786357608489</v>
      </c>
      <c r="CE12" s="59">
        <f t="shared" si="40"/>
        <v>163.20074068819849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4.75</v>
      </c>
      <c r="CT12" s="12">
        <f>IF('Données projet'!$A$140&gt;35,CT11+CS12-DB11,IF(A12&lt;'Données projet'!$A$140,$CQ$205^A12,IF(A12='Données projet'!$A$140,'Données projet'!$B$140,CT11+CS12-DB11)))</f>
        <v>7.7620354590201153</v>
      </c>
      <c r="CU12" s="17">
        <f>CT12*VLOOKUP('Données projet'!$B$13,Paramètres!$A$1:$I$89,3,0)*VLOOKUP('Données projet'!$B$13,Paramètres!$A$1:$I$89,5,0)</f>
        <v>5.6911243985535487</v>
      </c>
      <c r="CV12" s="13">
        <f t="shared" si="41"/>
        <v>2.1421263684710175</v>
      </c>
      <c r="CW12" s="20">
        <f t="shared" si="13"/>
        <v>13.642911752567786</v>
      </c>
      <c r="CX12" s="59">
        <f t="shared" si="14"/>
        <v>306.9762450859011</v>
      </c>
      <c r="CY12" s="59">
        <f ca="1">AVERAGE(OFFSET($CX$3,0,0,'Données projet'!$E$13+1,1))-AVERAGE(OFFSET($H$3,0,0,'Données projet'!$E$13+1,1))</f>
        <v>178.12968684094687</v>
      </c>
      <c r="CZ12" s="59">
        <f t="shared" si="42"/>
        <v>219.36004077210373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16.600000000000001</v>
      </c>
      <c r="DO12" s="12">
        <f>IF('Données projet'!$A$166&gt;35,DO11+DN12-DW11,IF(A12&lt;'Données projet'!$A$166,$DL$205^A12,IF(A12='Données projet'!$A$166,'Données projet'!$B$166,DO11+DN12-DW11)))</f>
        <v>95.4</v>
      </c>
      <c r="DP12" s="17">
        <f>DO12*VLOOKUP('Données projet'!$B$14,Paramètres!$A$1:$I$89,3,0)*VLOOKUP('Données projet'!$B$14,Paramètres!$A$1:$I$89,5,0)</f>
        <v>86.317920000000001</v>
      </c>
      <c r="DQ12" s="13">
        <f t="shared" si="43"/>
        <v>23.675048588166593</v>
      </c>
      <c r="DR12" s="20">
        <f t="shared" si="16"/>
        <v>191.57108695772345</v>
      </c>
      <c r="DS12" s="59">
        <f t="shared" si="17"/>
        <v>484.90442029105679</v>
      </c>
      <c r="DT12" s="59">
        <f ca="1">AVERAGE(OFFSET($DS$3,0,0,'Données projet'!$E$14+1,1))-AVERAGE(OFFSET($H$3,0,0,'Données projet'!$E$14+1,1))</f>
        <v>225.28075317732998</v>
      </c>
      <c r="DU12" s="59">
        <f t="shared" si="44"/>
        <v>358.43407531256207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0.86941306168481469</v>
      </c>
      <c r="EC12" s="21">
        <f>EXP(-LN(2)/2)*EC11+(1-EXP(-LN(2)/2))/(LN(2)/2)*DW12*DZ12*VLOOKUP('Données projet'!$B$14,Paramètres!$A$1:$I$89,3,0)*0.475*44/12</f>
        <v>0.69363381127215129</v>
      </c>
      <c r="ED12" s="22">
        <f t="shared" si="18"/>
        <v>1.563046872956966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3.6141025641025637</v>
      </c>
      <c r="EJ12" s="12">
        <f>IF('Données projet'!$A$192&gt;35,EJ11+EI12-ER11,IF(A12&lt;'Données projet'!$A$192,$EG$205^A12,IF(A12='Données projet'!$A$192,'Données projet'!$B$192,EJ11+EI12-ER11)))</f>
        <v>4.0788385791853514</v>
      </c>
      <c r="EK12" s="17">
        <f>EJ12*VLOOKUP('Données projet'!$B$15,Paramètres!$A$1:$I$89,3,0)*VLOOKUP('Données projet'!$B$15,Paramètres!$A$1:$I$89,5,0)</f>
        <v>4.1359423192939468</v>
      </c>
      <c r="EL12" s="13">
        <f t="shared" si="45"/>
        <v>1.6156871448188612</v>
      </c>
      <c r="EM12" s="20">
        <f t="shared" si="19"/>
        <v>10.017421316663141</v>
      </c>
      <c r="EN12" s="59">
        <f t="shared" si="20"/>
        <v>303.35075464999647</v>
      </c>
      <c r="EO12" s="59">
        <f ca="1">AVERAGE(OFFSET($EN$3,0,0,'Données projet'!$E$15+1,1))-AVERAGE(OFFSET($H$3,0,0,'Données projet'!$E$15+1,1))</f>
        <v>363.98308691765931</v>
      </c>
      <c r="EP12" s="59">
        <f t="shared" si="46"/>
        <v>181.47089407988187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3.6141025641025637</v>
      </c>
      <c r="FE12" s="12">
        <f>IF('Données projet'!$A$218&gt;35,FE11+FD12-FM11,IF(A12&lt;'Données projet'!$A$218,$FB$205^A12,IF(A12='Données projet'!$A$218,'Données projet'!$B$218,FE11+FD12-FM11)))</f>
        <v>4.0788385791853514</v>
      </c>
      <c r="FF12" s="17">
        <f>FE12*VLOOKUP('Données projet'!$B$16,Paramètres!$A$1:$I$89,3,0)*VLOOKUP('Données projet'!$B$16,Paramètres!$A$1:$I$89,5,0)</f>
        <v>4.3904618466351124</v>
      </c>
      <c r="FG12" s="13">
        <f t="shared" si="47"/>
        <v>1.7032330833433977</v>
      </c>
      <c r="FH12" s="20">
        <f t="shared" si="22"/>
        <v>10.613185336379239</v>
      </c>
      <c r="FI12" s="59">
        <f t="shared" si="23"/>
        <v>303.94651866971253</v>
      </c>
      <c r="FJ12" s="59">
        <f ca="1">AVERAGE(OFFSET($FI$3,0,0,'Données projet'!$E$16+1,1))-AVERAGE(OFFSET($H$3,0,0,'Données projet'!$E$16+1,1))</f>
        <v>395.30533160963489</v>
      </c>
      <c r="FK12" s="59">
        <f t="shared" si="48"/>
        <v>196.02102977695085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2.2999999999999998</v>
      </c>
      <c r="FZ12" s="12">
        <f>IF('Données projet'!$A$244&gt;35,FZ11+FY12-GH11,IF(A12&lt;'Données projet'!$A$244,$FW$205^A12,IF(A12='Données projet'!$A$244,'Données projet'!$B$244,FZ11+FY12-GH11)))</f>
        <v>16.809509943796456</v>
      </c>
      <c r="GA12" s="17">
        <f>FZ12*VLOOKUP('Données projet'!$B$17,Paramètres!$A$1:$I$89,3,0)*VLOOKUP('Données projet'!$B$17,Paramètres!$A$1:$I$89,5,0)</f>
        <v>17.569299793256057</v>
      </c>
      <c r="GB12" s="13">
        <f t="shared" si="49"/>
        <v>5.7998545177828067</v>
      </c>
      <c r="GC12" s="20">
        <f t="shared" si="25"/>
        <v>40.701277091726013</v>
      </c>
      <c r="GD12" s="59">
        <f t="shared" si="26"/>
        <v>334.03461042505933</v>
      </c>
      <c r="GE12" s="59">
        <f ca="1">AVERAGE(OFFSET($GD$3,0,0,'Données projet'!$E$17+1,1))-AVERAGE(OFFSET($H$3,0,0,'Données projet'!$E$17+1,1))</f>
        <v>269.41185214595805</v>
      </c>
      <c r="GF12" s="59">
        <f t="shared" si="50"/>
        <v>299.70148160580993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4.75</v>
      </c>
      <c r="GU12" s="12">
        <f>IF('Données projet'!$A$270&gt;35,GU11+GT12-HC11,IF(A12&lt;'Données projet'!$A$270,$GR$205^A12,IF(A12='Données projet'!$A$270,'Données projet'!$B$270,GU11+GT12-HC11)))</f>
        <v>7.7620354590201153</v>
      </c>
      <c r="GV12" s="17">
        <f>GU12*VLOOKUP('Données projet'!$B$18,Paramètres!$A$1:$I$89,3,0)*VLOOKUP('Données projet'!$B$18,Paramètres!$A$1:$I$89,5,0)</f>
        <v>6.7809141769999739</v>
      </c>
      <c r="GW12" s="13">
        <f t="shared" si="51"/>
        <v>2.5007965444325708</v>
      </c>
      <c r="GX12" s="20">
        <f t="shared" si="28"/>
        <v>16.165646173161679</v>
      </c>
      <c r="GY12" s="59">
        <f t="shared" si="29"/>
        <v>309.498979506495</v>
      </c>
      <c r="GZ12" s="59">
        <f ca="1">AVERAGE(OFFSET($GY$3,0,0,'Données projet'!$E$18+1,1))-AVERAGE(OFFSET($H$3,0,0,'Données projet'!$E$18+1,1))</f>
        <v>226.35975611953359</v>
      </c>
      <c r="HA12" s="59">
        <f t="shared" si="52"/>
        <v>271.65876694892461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3.6141025641025637</v>
      </c>
      <c r="N13" s="13">
        <f>IF('Données projet'!$A$36&gt;35,N12+M13-V12,IF(A13&lt;'Données projet'!$A$36,$K$205^A13,IF(A13='Données projet'!$A$36,'Données projet'!$B$36,N12+M13-V12)))</f>
        <v>4.7684135049345766</v>
      </c>
      <c r="O13" s="13">
        <f>N13*VLOOKUP('Données projet'!$B$9,Paramètres!$A$1:$I$89,3,0)*VLOOKUP('Données projet'!$B$9,Paramètres!$A$1:$I$89,5,0)</f>
        <v>4.3144605392648048</v>
      </c>
      <c r="P13" s="13">
        <f t="shared" si="33"/>
        <v>1.677154691360536</v>
      </c>
      <c r="Q13" s="20">
        <f t="shared" si="2"/>
        <v>10.435396526672468</v>
      </c>
      <c r="R13" s="59">
        <f t="shared" si="0"/>
        <v>303.76872986000581</v>
      </c>
      <c r="S13" s="59">
        <f ca="1">AVERAGE(OFFSET($R$3,0,0,'Données projet'!$E$9+1,1))-AVERAGE(OFFSET($H$3,0,0,'Données projet'!$E$9+1,1))</f>
        <v>309.07357540707869</v>
      </c>
      <c r="T13" s="59">
        <f t="shared" si="34"/>
        <v>155.9593924683299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23</v>
      </c>
      <c r="AG13" s="12">
        <f>VLOOKUP(A13,'Données projet'!$A$61:$I$81,9,0)</f>
        <v>2.2999999999999998</v>
      </c>
      <c r="AH13" s="12">
        <f t="array" ref="AH13">INDEX(AG:AG,MIN(IF(ISNUMBER(AG13:AG209),ROW(AG13:AG209),"")))</f>
        <v>2.2999999999999998</v>
      </c>
      <c r="AI13" s="13">
        <f>IF('Données projet'!$A$62&gt;35,AI12+AH13-AQ12,IF(A13&lt;'Données projet'!$A$62,$AF$205^A13,IF(A13='Données projet'!$A$62,'Données projet'!$B$62,AI12+AH13-AQ12)))</f>
        <v>23</v>
      </c>
      <c r="AJ13" s="13">
        <f>AI13*VLOOKUP('Données projet'!$B$10,Paramètres!$A$1:$I$89,3,0)*VLOOKUP('Données projet'!$B$10,Paramètres!$A$1:$I$89,5,0)</f>
        <v>20.0928</v>
      </c>
      <c r="AK13" s="13">
        <f t="shared" si="35"/>
        <v>6.5300817245569407</v>
      </c>
      <c r="AL13" s="20">
        <f t="shared" si="4"/>
        <v>46.368185670270002</v>
      </c>
      <c r="AM13" s="59">
        <f t="shared" si="5"/>
        <v>339.70151900360332</v>
      </c>
      <c r="AN13" s="59">
        <f ca="1">AVERAGE(OFFSET($AM$3,0,0,'Données projet'!$E$10+1,1))-AVERAGE(OFFSET($H$3,0,0,'Données projet'!$E$10+1,1))</f>
        <v>210.07838338464626</v>
      </c>
      <c r="AO13" s="59">
        <f t="shared" si="36"/>
        <v>241.76003724236273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23</v>
      </c>
      <c r="BB13" s="12">
        <f>VLOOKUP(A13,'Données projet'!$A$87:$I$107,9,0)</f>
        <v>2.2999999999999998</v>
      </c>
      <c r="BC13" s="12">
        <f t="array" ref="BC13">INDEX(BB:BB,MIN(IF(ISNUMBER(BB13:BB209),ROW(BB13:BB209),"")))</f>
        <v>2.2999999999999998</v>
      </c>
      <c r="BD13" s="12">
        <f>IF('Données projet'!$A$88&gt;35,BD12+BC13-BL12,IF(A13&lt;'Données projet'!$A$88,$BA$205^A13,IF(A13='Données projet'!$A$88,'Données projet'!$B$88,BD12+BC13-BL12)))</f>
        <v>23</v>
      </c>
      <c r="BE13" s="13">
        <f>BD13*VLOOKUP('Données projet'!$B$11,Paramètres!$A$1:$I$89,3,0)*VLOOKUP('Données projet'!$B$11,Paramètres!$A$1:$I$89,5,0)</f>
        <v>12.558</v>
      </c>
      <c r="BF13" s="13">
        <f t="shared" si="37"/>
        <v>4.3108032327306516</v>
      </c>
      <c r="BG13" s="20">
        <f t="shared" si="7"/>
        <v>29.379832297005887</v>
      </c>
      <c r="BH13" s="59">
        <f t="shared" si="8"/>
        <v>322.71316563033918</v>
      </c>
      <c r="BI13" s="59">
        <f ca="1">AVERAGE(OFFSET($BH$3,0,0,'Données projet'!$E$11+1,1))-AVERAGE(OFFSET($H$3,0,0,'Données projet'!$E$11+1,1))</f>
        <v>168.72306536277267</v>
      </c>
      <c r="BJ13" s="59">
        <f t="shared" si="38"/>
        <v>203.35476578922339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7.2264102564102561</v>
      </c>
      <c r="BY13" s="12">
        <f>IF('Données projet'!$A$114&gt;35,BY12+BX13-CG12,IF(A13&lt;'Données projet'!$A$114,$BV$205^A13,IF(A13='Données projet'!$A$114,'Données projet'!$B$114,BY12+BX13-CG12)))</f>
        <v>6.0073272306422343</v>
      </c>
      <c r="BZ13" s="13">
        <f>BY13*VLOOKUP('Données projet'!$B$12,Paramètres!$A$1:$I$89,3,0)*VLOOKUP('Données projet'!$B$12,Paramètres!$A$1:$I$89,5,0)</f>
        <v>2.8114291439405656</v>
      </c>
      <c r="CA13" s="13">
        <f t="shared" si="39"/>
        <v>1.1487462006075717</v>
      </c>
      <c r="CB13" s="20">
        <f t="shared" si="10"/>
        <v>6.8973053917546716</v>
      </c>
      <c r="CC13" s="59">
        <f t="shared" si="11"/>
        <v>300.230638725088</v>
      </c>
      <c r="CD13" s="59">
        <f ca="1">AVERAGE(OFFSET($CC$3,0,0,'Données projet'!$E$12+1,1))-AVERAGE(OFFSET($H$3,0,0,'Données projet'!$E$12+1,1))</f>
        <v>158.58786357608489</v>
      </c>
      <c r="CE13" s="59">
        <f t="shared" si="40"/>
        <v>163.20074068819849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4.75</v>
      </c>
      <c r="CT13" s="12">
        <f>IF('Données projet'!$A$140&gt;35,CT12+CS13-DB12,IF(A13&lt;'Données projet'!$A$140,$CQ$205^A13,IF(A13='Données projet'!$A$140,'Données projet'!$B$140,CT12+CS13-DB12)))</f>
        <v>9.7467943448089507</v>
      </c>
      <c r="CU13" s="17">
        <f>CT13*VLOOKUP('Données projet'!$B$13,Paramètres!$A$1:$I$89,3,0)*VLOOKUP('Données projet'!$B$13,Paramètres!$A$1:$I$89,5,0)</f>
        <v>7.1463496136139222</v>
      </c>
      <c r="CV13" s="13">
        <f t="shared" si="41"/>
        <v>2.6195151591991359</v>
      </c>
      <c r="CW13" s="20">
        <f t="shared" si="13"/>
        <v>17.008881145982745</v>
      </c>
      <c r="CX13" s="59">
        <f t="shared" si="14"/>
        <v>310.34221447931606</v>
      </c>
      <c r="CY13" s="59">
        <f ca="1">AVERAGE(OFFSET($CX$3,0,0,'Données projet'!$E$13+1,1))-AVERAGE(OFFSET($H$3,0,0,'Données projet'!$E$13+1,1))</f>
        <v>178.12968684094687</v>
      </c>
      <c r="CZ13" s="59">
        <f t="shared" si="42"/>
        <v>219.36004077210373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112</v>
      </c>
      <c r="DM13" s="12">
        <f>VLOOKUP(A13,'Données projet'!$A$165:$I$185,9,0)</f>
        <v>16.600000000000001</v>
      </c>
      <c r="DN13" s="12">
        <f t="array" ref="DN13">INDEX(DM:DM,MIN(IF(ISNUMBER(DM13:DM209),ROW(DM13:DM209),"")))</f>
        <v>16.600000000000001</v>
      </c>
      <c r="DO13" s="12">
        <f>IF('Données projet'!$A$166&gt;35,DO12+DN13-DW12,IF(A13&lt;'Données projet'!$A$166,$DL$205^A13,IF(A13='Données projet'!$A$166,'Données projet'!$B$166,DO12+DN13-DW12)))</f>
        <v>112</v>
      </c>
      <c r="DP13" s="17">
        <f>DO13*VLOOKUP('Données projet'!$B$14,Paramètres!$A$1:$I$89,3,0)*VLOOKUP('Données projet'!$B$14,Paramètres!$A$1:$I$89,5,0)</f>
        <v>101.33759999999999</v>
      </c>
      <c r="DQ13" s="13">
        <f t="shared" si="43"/>
        <v>27.280415454305565</v>
      </c>
      <c r="DR13" s="20">
        <f t="shared" si="16"/>
        <v>224.00971024958213</v>
      </c>
      <c r="DS13" s="59">
        <f t="shared" si="17"/>
        <v>517.34304358291547</v>
      </c>
      <c r="DT13" s="59">
        <f ca="1">AVERAGE(OFFSET($DS$3,0,0,'Données projet'!$E$14+1,1))-AVERAGE(OFFSET($H$3,0,0,'Données projet'!$E$14+1,1))</f>
        <v>225.28075317732998</v>
      </c>
      <c r="DU13" s="59">
        <f t="shared" si="44"/>
        <v>358.43407531256207</v>
      </c>
      <c r="DV13" s="15">
        <f>IF(ISNA(VLOOKUP(A13,'Données projet'!$A$165:$I$185,3,0)),0,VLOOKUP(A13,'Données projet'!$A$165:$I$185,3,0))</f>
        <v>2</v>
      </c>
      <c r="DW13" s="15">
        <f>IF(ISNA(VLOOKUP(A13,'Données projet'!$A$165:$I$185,4,0)),0,VLOOKUP(A13,'Données projet'!$A$165:$I$185,4,0))</f>
        <v>41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7.4999999999999997E-2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3.9092347074225788</v>
      </c>
      <c r="EC13" s="21">
        <f>EXP(-LN(2)/2)*EC12+(1-EXP(-LN(2)/2))/(LN(2)/2)*DW13*DZ13*VLOOKUP('Données projet'!$B$14,Paramètres!$A$1:$I$89,3,0)*0.475*44/12</f>
        <v>9.2409304830440977</v>
      </c>
      <c r="ED13" s="22">
        <f t="shared" si="18"/>
        <v>13.150165190466677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3.6141025641025637</v>
      </c>
      <c r="EJ13" s="12">
        <f>IF('Données projet'!$A$192&gt;35,EJ12+EI13-ER12,IF(A13&lt;'Données projet'!$A$192,$EG$205^A13,IF(A13='Données projet'!$A$192,'Données projet'!$B$192,EJ12+EI13-ER12)))</f>
        <v>4.7684135049345766</v>
      </c>
      <c r="EK13" s="17">
        <f>EJ13*VLOOKUP('Données projet'!$B$15,Paramètres!$A$1:$I$89,3,0)*VLOOKUP('Données projet'!$B$15,Paramètres!$A$1:$I$89,5,0)</f>
        <v>4.8351712940036604</v>
      </c>
      <c r="EL13" s="13">
        <f t="shared" si="45"/>
        <v>1.8548055561044454</v>
      </c>
      <c r="EM13" s="20">
        <f t="shared" si="19"/>
        <v>11.65170968060495</v>
      </c>
      <c r="EN13" s="59">
        <f t="shared" si="20"/>
        <v>304.98504301393825</v>
      </c>
      <c r="EO13" s="59">
        <f ca="1">AVERAGE(OFFSET($EN$3,0,0,'Données projet'!$E$15+1,1))-AVERAGE(OFFSET($H$3,0,0,'Données projet'!$E$15+1,1))</f>
        <v>363.98308691765931</v>
      </c>
      <c r="EP13" s="59">
        <f t="shared" si="46"/>
        <v>181.47089407988187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3.6141025641025637</v>
      </c>
      <c r="FE13" s="12">
        <f>IF('Données projet'!$A$218&gt;35,FE12+FD13-FM12,IF(A13&lt;'Données projet'!$A$218,$FB$205^A13,IF(A13='Données projet'!$A$218,'Données projet'!$B$218,FE12+FD13-FM12)))</f>
        <v>4.7684135049345766</v>
      </c>
      <c r="FF13" s="17">
        <f>FE13*VLOOKUP('Données projet'!$B$16,Paramètres!$A$1:$I$89,3,0)*VLOOKUP('Données projet'!$B$16,Paramètres!$A$1:$I$89,5,0)</f>
        <v>5.1327202967115779</v>
      </c>
      <c r="FG13" s="13">
        <f t="shared" si="47"/>
        <v>1.9553081154708458</v>
      </c>
      <c r="FH13" s="20">
        <f t="shared" si="22"/>
        <v>12.344982817884386</v>
      </c>
      <c r="FI13" s="59">
        <f t="shared" si="23"/>
        <v>305.6783161512177</v>
      </c>
      <c r="FJ13" s="59">
        <f ca="1">AVERAGE(OFFSET($FI$3,0,0,'Données projet'!$E$16+1,1))-AVERAGE(OFFSET($H$3,0,0,'Données projet'!$E$16+1,1))</f>
        <v>395.30533160963489</v>
      </c>
      <c r="FK13" s="59">
        <f t="shared" si="48"/>
        <v>196.02102977695085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>
        <f>VLOOKUP(A13,'Données projet'!$A$243:$I$263,2,0)</f>
        <v>23</v>
      </c>
      <c r="FX13" s="12">
        <f>VLOOKUP(A13,'Données projet'!$A$243:$I$263,9,0)</f>
        <v>2.2999999999999998</v>
      </c>
      <c r="FY13" s="12">
        <f t="array" ref="FY13">INDEX(FX:FX,MIN(IF(ISNUMBER(FX13:FX209),ROW(FX13:FX209),"")))</f>
        <v>2.2999999999999998</v>
      </c>
      <c r="FZ13" s="12">
        <f>IF('Données projet'!$A$244&gt;35,FZ12+FY13-GH12,IF(A13&lt;'Données projet'!$A$244,$FW$205^A13,IF(A13='Données projet'!$A$244,'Données projet'!$B$244,FZ12+FY13-GH12)))</f>
        <v>23</v>
      </c>
      <c r="GA13" s="17">
        <f>FZ13*VLOOKUP('Données projet'!$B$17,Paramètres!$A$1:$I$89,3,0)*VLOOKUP('Données projet'!$B$17,Paramètres!$A$1:$I$89,5,0)</f>
        <v>24.0396</v>
      </c>
      <c r="GB13" s="13">
        <f t="shared" si="49"/>
        <v>7.6513729552995686</v>
      </c>
      <c r="GC13" s="20">
        <f t="shared" si="25"/>
        <v>55.19511123048008</v>
      </c>
      <c r="GD13" s="59">
        <f t="shared" si="26"/>
        <v>348.52844456381342</v>
      </c>
      <c r="GE13" s="59">
        <f ca="1">AVERAGE(OFFSET($GD$3,0,0,'Données projet'!$E$17+1,1))-AVERAGE(OFFSET($H$3,0,0,'Données projet'!$E$17+1,1))</f>
        <v>269.41185214595805</v>
      </c>
      <c r="GF13" s="59">
        <f t="shared" si="50"/>
        <v>299.70148160580993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4.75</v>
      </c>
      <c r="GU13" s="12">
        <f>IF('Données projet'!$A$270&gt;35,GU12+GT13-HC12,IF(A13&lt;'Données projet'!$A$270,$GR$205^A13,IF(A13='Données projet'!$A$270,'Données projet'!$B$270,GU12+GT13-HC12)))</f>
        <v>9.7467943448089507</v>
      </c>
      <c r="GV13" s="17">
        <f>GU13*VLOOKUP('Données projet'!$B$18,Paramètres!$A$1:$I$89,3,0)*VLOOKUP('Données projet'!$B$18,Paramètres!$A$1:$I$89,5,0)</f>
        <v>8.5147995396251002</v>
      </c>
      <c r="GW13" s="13">
        <f t="shared" si="51"/>
        <v>3.0581176510561066</v>
      </c>
      <c r="GX13" s="20">
        <f t="shared" si="28"/>
        <v>20.156164107103098</v>
      </c>
      <c r="GY13" s="59">
        <f t="shared" si="29"/>
        <v>313.48949744043642</v>
      </c>
      <c r="GZ13" s="59">
        <f ca="1">AVERAGE(OFFSET($GY$3,0,0,'Données projet'!$E$18+1,1))-AVERAGE(OFFSET($H$3,0,0,'Données projet'!$E$18+1,1))</f>
        <v>226.35975611953359</v>
      </c>
      <c r="HA13" s="59">
        <f t="shared" si="52"/>
        <v>271.65876694892461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3.6141025641025637</v>
      </c>
      <c r="N14" s="13">
        <f>IF('Données projet'!$A$36&gt;35,N13+M14-V13,IF(A14&lt;'Données projet'!$A$36,$K$205^A14,IF(A14='Données projet'!$A$36,'Données projet'!$B$36,N13+M14-V13)))</f>
        <v>5.5745690623980924</v>
      </c>
      <c r="O14" s="13">
        <f>N14*VLOOKUP('Données projet'!$B$9,Paramètres!$A$1:$I$89,3,0)*VLOOKUP('Données projet'!$B$9,Paramètres!$A$1:$I$89,5,0)</f>
        <v>5.043870087657794</v>
      </c>
      <c r="P14" s="13">
        <f t="shared" si="33"/>
        <v>1.9253701745153864</v>
      </c>
      <c r="Q14" s="20">
        <f t="shared" si="2"/>
        <v>12.138093456618288</v>
      </c>
      <c r="R14" s="59">
        <f t="shared" si="0"/>
        <v>305.47142678995158</v>
      </c>
      <c r="S14" s="59">
        <f ca="1">AVERAGE(OFFSET($R$3,0,0,'Données projet'!$E$9+1,1))-AVERAGE(OFFSET($H$3,0,0,'Données projet'!$E$9+1,1))</f>
        <v>309.07357540707869</v>
      </c>
      <c r="T14" s="59">
        <f t="shared" si="34"/>
        <v>155.9593924683299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7.4</v>
      </c>
      <c r="AI14" s="13">
        <f>IF('Données projet'!$A$62&gt;35,AI13+AH14-AQ13,IF(A14&lt;'Données projet'!$A$62,$AF$205^A14,IF(A14='Données projet'!$A$62,'Données projet'!$B$62,AI13+AH14-AQ13)))</f>
        <v>30.4</v>
      </c>
      <c r="AJ14" s="13">
        <f>AI14*VLOOKUP('Données projet'!$B$10,Paramètres!$A$1:$I$89,3,0)*VLOOKUP('Données projet'!$B$10,Paramètres!$A$1:$I$89,5,0)</f>
        <v>26.557440000000003</v>
      </c>
      <c r="AK14" s="13">
        <f t="shared" si="35"/>
        <v>8.3553182981993483</v>
      </c>
      <c r="AL14" s="20">
        <f t="shared" si="4"/>
        <v>60.806387369363868</v>
      </c>
      <c r="AM14" s="59">
        <f t="shared" si="5"/>
        <v>354.13972070269716</v>
      </c>
      <c r="AN14" s="59">
        <f ca="1">AVERAGE(OFFSET($AM$3,0,0,'Données projet'!$E$10+1,1))-AVERAGE(OFFSET($H$3,0,0,'Données projet'!$E$10+1,1))</f>
        <v>210.07838338464626</v>
      </c>
      <c r="AO14" s="59">
        <f t="shared" si="36"/>
        <v>241.76003724236273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11.4</v>
      </c>
      <c r="BD14" s="12">
        <f>IF('Données projet'!$A$88&gt;35,BD13+BC14-BL13,IF(A14&lt;'Données projet'!$A$88,$BA$205^A14,IF(A14='Données projet'!$A$88,'Données projet'!$B$88,BD13+BC14-BL13)))</f>
        <v>34.4</v>
      </c>
      <c r="BE14" s="13">
        <f>BD14*VLOOKUP('Données projet'!$B$11,Paramètres!$A$1:$I$89,3,0)*VLOOKUP('Données projet'!$B$11,Paramètres!$A$1:$I$89,5,0)</f>
        <v>18.782399999999999</v>
      </c>
      <c r="BF14" s="13">
        <f t="shared" si="37"/>
        <v>6.1523144400889027</v>
      </c>
      <c r="BG14" s="20">
        <f t="shared" si="7"/>
        <v>43.42796098315484</v>
      </c>
      <c r="BH14" s="59">
        <f t="shared" si="8"/>
        <v>336.76129431648815</v>
      </c>
      <c r="BI14" s="59">
        <f ca="1">AVERAGE(OFFSET($BH$3,0,0,'Données projet'!$E$11+1,1))-AVERAGE(OFFSET($H$3,0,0,'Données projet'!$E$11+1,1))</f>
        <v>168.72306536277267</v>
      </c>
      <c r="BJ14" s="59">
        <f t="shared" si="38"/>
        <v>203.35476578922339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7.2264102564102561</v>
      </c>
      <c r="BY14" s="12">
        <f>IF('Données projet'!$A$114&gt;35,BY13+BX14-CG13,IF(A14&lt;'Données projet'!$A$114,$BV$205^A14,IF(A14='Données projet'!$A$114,'Données projet'!$B$114,BY13+BX14-CG13)))</f>
        <v>7.1870293496939057</v>
      </c>
      <c r="BZ14" s="13">
        <f>BY14*VLOOKUP('Données projet'!$B$12,Paramètres!$A$1:$I$89,3,0)*VLOOKUP('Données projet'!$B$12,Paramètres!$A$1:$I$89,5,0)</f>
        <v>3.3635297356567477</v>
      </c>
      <c r="CA14" s="13">
        <f t="shared" si="39"/>
        <v>1.3459482642479659</v>
      </c>
      <c r="CB14" s="20">
        <f t="shared" si="10"/>
        <v>8.2023408498340427</v>
      </c>
      <c r="CC14" s="59">
        <f t="shared" si="11"/>
        <v>301.53567418316737</v>
      </c>
      <c r="CD14" s="59">
        <f ca="1">AVERAGE(OFFSET($CC$3,0,0,'Données projet'!$E$12+1,1))-AVERAGE(OFFSET($H$3,0,0,'Données projet'!$E$12+1,1))</f>
        <v>158.58786357608489</v>
      </c>
      <c r="CE14" s="59">
        <f t="shared" si="40"/>
        <v>163.20074068819849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4.75</v>
      </c>
      <c r="CT14" s="12">
        <f>IF('Données projet'!$A$140&gt;35,CT13+CS14-DB13,IF(A14&lt;'Données projet'!$A$140,$CQ$205^A14,IF(A14='Données projet'!$A$140,'Données projet'!$B$140,CT13+CS14-DB13)))</f>
        <v>12.239057719016479</v>
      </c>
      <c r="CU14" s="17">
        <f>CT14*VLOOKUP('Données projet'!$B$13,Paramètres!$A$1:$I$89,3,0)*VLOOKUP('Données projet'!$B$13,Paramètres!$A$1:$I$89,5,0)</f>
        <v>8.9736771195828826</v>
      </c>
      <c r="CV14" s="13">
        <f t="shared" si="41"/>
        <v>3.2032935919517467</v>
      </c>
      <c r="CW14" s="20">
        <f t="shared" si="13"/>
        <v>21.208223989256144</v>
      </c>
      <c r="CX14" s="59">
        <f t="shared" si="14"/>
        <v>314.54155732258948</v>
      </c>
      <c r="CY14" s="59">
        <f ca="1">AVERAGE(OFFSET($CX$3,0,0,'Données projet'!$E$13+1,1))-AVERAGE(OFFSET($H$3,0,0,'Données projet'!$E$13+1,1))</f>
        <v>178.12968684094687</v>
      </c>
      <c r="CZ14" s="59">
        <f t="shared" si="42"/>
        <v>219.36004077210373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14.2</v>
      </c>
      <c r="DO14" s="12">
        <f>IF('Données projet'!$A$166&gt;35,DO13+DN14-DW13,IF(A14&lt;'Données projet'!$A$166,$DL$205^A14,IF(A14='Données projet'!$A$166,'Données projet'!$B$166,DO13+DN14-DW13)))</f>
        <v>85.2</v>
      </c>
      <c r="DP14" s="17">
        <f>DO14*VLOOKUP('Données projet'!$B$14,Paramètres!$A$1:$I$89,3,0)*VLOOKUP('Données projet'!$B$14,Paramètres!$A$1:$I$89,5,0)</f>
        <v>77.08896</v>
      </c>
      <c r="DQ14" s="13">
        <f t="shared" si="43"/>
        <v>21.423891539868706</v>
      </c>
      <c r="DR14" s="20">
        <f t="shared" si="16"/>
        <v>171.57654976527132</v>
      </c>
      <c r="DS14" s="59">
        <f t="shared" si="17"/>
        <v>464.90988309860461</v>
      </c>
      <c r="DT14" s="59">
        <f ca="1">AVERAGE(OFFSET($DS$3,0,0,'Données projet'!$E$14+1,1))-AVERAGE(OFFSET($H$3,0,0,'Données projet'!$E$14+1,1))</f>
        <v>225.28075317732998</v>
      </c>
      <c r="DU14" s="59">
        <f t="shared" si="44"/>
        <v>358.43407531256207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3.8023364787703899</v>
      </c>
      <c r="EC14" s="21">
        <f>EXP(-LN(2)/2)*EC13+(1-EXP(-LN(2)/2))/(LN(2)/2)*DW14*DZ14*VLOOKUP('Données projet'!$B$14,Paramètres!$A$1:$I$89,3,0)*0.475*44/12</f>
        <v>6.53432460903396</v>
      </c>
      <c r="ED14" s="22">
        <f t="shared" si="18"/>
        <v>10.33666108780435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3.6141025641025637</v>
      </c>
      <c r="EJ14" s="12">
        <f>IF('Données projet'!$A$192&gt;35,EJ13+EI14-ER13,IF(A14&lt;'Données projet'!$A$192,$EG$205^A14,IF(A14='Données projet'!$A$192,'Données projet'!$B$192,EJ13+EI14-ER13)))</f>
        <v>5.5745690623980924</v>
      </c>
      <c r="EK14" s="17">
        <f>EJ14*VLOOKUP('Données projet'!$B$15,Paramètres!$A$1:$I$89,3,0)*VLOOKUP('Données projet'!$B$15,Paramètres!$A$1:$I$89,5,0)</f>
        <v>5.6526130292716656</v>
      </c>
      <c r="EL14" s="13">
        <f t="shared" si="45"/>
        <v>2.1293130059171332</v>
      </c>
      <c r="EM14" s="20">
        <f t="shared" si="19"/>
        <v>13.553521177953826</v>
      </c>
      <c r="EN14" s="59">
        <f t="shared" si="20"/>
        <v>306.88685451128714</v>
      </c>
      <c r="EO14" s="59">
        <f ca="1">AVERAGE(OFFSET($EN$3,0,0,'Données projet'!$E$15+1,1))-AVERAGE(OFFSET($H$3,0,0,'Données projet'!$E$15+1,1))</f>
        <v>363.98308691765931</v>
      </c>
      <c r="EP14" s="59">
        <f t="shared" si="46"/>
        <v>181.47089407988187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3.6141025641025637</v>
      </c>
      <c r="FE14" s="12">
        <f>IF('Données projet'!$A$218&gt;35,FE13+FD14-FM13,IF(A14&lt;'Données projet'!$A$218,$FB$205^A14,IF(A14='Données projet'!$A$218,'Données projet'!$B$218,FE13+FD14-FM13)))</f>
        <v>5.5745690623980924</v>
      </c>
      <c r="FF14" s="17">
        <f>FE14*VLOOKUP('Données projet'!$B$16,Paramètres!$A$1:$I$89,3,0)*VLOOKUP('Données projet'!$B$16,Paramètres!$A$1:$I$89,5,0)</f>
        <v>6.0004661387653062</v>
      </c>
      <c r="FG14" s="13">
        <f t="shared" si="47"/>
        <v>2.244689739657511</v>
      </c>
      <c r="FH14" s="20">
        <f t="shared" si="22"/>
        <v>14.360313154919739</v>
      </c>
      <c r="FI14" s="59">
        <f t="shared" si="23"/>
        <v>307.69364648825308</v>
      </c>
      <c r="FJ14" s="59">
        <f ca="1">AVERAGE(OFFSET($FI$3,0,0,'Données projet'!$E$16+1,1))-AVERAGE(OFFSET($H$3,0,0,'Données projet'!$E$16+1,1))</f>
        <v>395.30533160963489</v>
      </c>
      <c r="FK14" s="59">
        <f t="shared" si="48"/>
        <v>196.02102977695085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7.4</v>
      </c>
      <c r="FZ14" s="12">
        <f>IF('Données projet'!$A$244&gt;35,FZ13+FY14-GH13,IF(A14&lt;'Données projet'!$A$244,$FW$205^A14,IF(A14='Données projet'!$A$244,'Données projet'!$B$244,FZ13+FY14-GH13)))</f>
        <v>30.4</v>
      </c>
      <c r="GA14" s="17">
        <f>FZ14*VLOOKUP('Données projet'!$B$17,Paramètres!$A$1:$I$89,3,0)*VLOOKUP('Données projet'!$B$17,Paramètres!$A$1:$I$89,5,0)</f>
        <v>31.774079999999998</v>
      </c>
      <c r="GB14" s="13">
        <f t="shared" si="49"/>
        <v>9.790023947073907</v>
      </c>
      <c r="GC14" s="20">
        <f t="shared" si="25"/>
        <v>72.39081437448705</v>
      </c>
      <c r="GD14" s="59">
        <f t="shared" si="26"/>
        <v>365.72414770782035</v>
      </c>
      <c r="GE14" s="59">
        <f ca="1">AVERAGE(OFFSET($GD$3,0,0,'Données projet'!$E$17+1,1))-AVERAGE(OFFSET($H$3,0,0,'Données projet'!$E$17+1,1))</f>
        <v>269.41185214595805</v>
      </c>
      <c r="GF14" s="59">
        <f t="shared" si="50"/>
        <v>299.70148160580993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4.75</v>
      </c>
      <c r="GU14" s="12">
        <f>IF('Données projet'!$A$270&gt;35,GU13+GT14-HC13,IF(A14&lt;'Données projet'!$A$270,$GR$205^A14,IF(A14='Données projet'!$A$270,'Données projet'!$B$270,GU13+GT14-HC13)))</f>
        <v>12.239057719016479</v>
      </c>
      <c r="GV14" s="17">
        <f>GU14*VLOOKUP('Données projet'!$B$18,Paramètres!$A$1:$I$89,3,0)*VLOOKUP('Données projet'!$B$18,Paramètres!$A$1:$I$89,5,0)</f>
        <v>10.692040823332798</v>
      </c>
      <c r="GW14" s="13">
        <f t="shared" si="51"/>
        <v>3.7396419107028573</v>
      </c>
      <c r="GX14" s="20">
        <f t="shared" si="28"/>
        <v>25.135180761778766</v>
      </c>
      <c r="GY14" s="59">
        <f t="shared" si="29"/>
        <v>318.46851409511208</v>
      </c>
      <c r="GZ14" s="59">
        <f ca="1">AVERAGE(OFFSET($GY$3,0,0,'Données projet'!$E$18+1,1))-AVERAGE(OFFSET($H$3,0,0,'Données projet'!$E$18+1,1))</f>
        <v>226.35975611953359</v>
      </c>
      <c r="HA14" s="59">
        <f t="shared" si="52"/>
        <v>271.65876694892461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3.6141025641025637</v>
      </c>
      <c r="N15" s="13">
        <f>IF('Données projet'!$A$36&gt;35,N14+M15-V14,IF(A15&lt;'Données projet'!$A$36,$K$205^A15,IF(A15='Données projet'!$A$36,'Données projet'!$B$36,N14+M15-V14)))</f>
        <v>6.5170145582565855</v>
      </c>
      <c r="O15" s="13">
        <f>N15*VLOOKUP('Données projet'!$B$9,Paramètres!$A$1:$I$89,3,0)*VLOOKUP('Données projet'!$B$9,Paramètres!$A$1:$I$89,5,0)</f>
        <v>5.896594772310559</v>
      </c>
      <c r="P15" s="13">
        <f t="shared" si="33"/>
        <v>2.21032104433145</v>
      </c>
      <c r="Q15" s="20">
        <f t="shared" si="2"/>
        <v>14.119545047318164</v>
      </c>
      <c r="R15" s="59">
        <f t="shared" si="0"/>
        <v>307.4528783806515</v>
      </c>
      <c r="S15" s="59">
        <f ca="1">AVERAGE(OFFSET($R$3,0,0,'Données projet'!$E$9+1,1))-AVERAGE(OFFSET($H$3,0,0,'Données projet'!$E$9+1,1))</f>
        <v>309.07357540707869</v>
      </c>
      <c r="T15" s="59">
        <f t="shared" si="34"/>
        <v>155.9593924683299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7.4</v>
      </c>
      <c r="AI15" s="13">
        <f>IF('Données projet'!$A$62&gt;35,AI14+AH15-AQ14,IF(A15&lt;'Données projet'!$A$62,$AF$205^A15,IF(A15='Données projet'!$A$62,'Données projet'!$B$62,AI14+AH15-AQ14)))</f>
        <v>37.799999999999997</v>
      </c>
      <c r="AJ15" s="13">
        <f>AI15*VLOOKUP('Données projet'!$B$10,Paramètres!$A$1:$I$89,3,0)*VLOOKUP('Données projet'!$B$10,Paramètres!$A$1:$I$89,5,0)</f>
        <v>33.022080000000003</v>
      </c>
      <c r="AK15" s="13">
        <f t="shared" si="35"/>
        <v>10.129025278332465</v>
      </c>
      <c r="AL15" s="20">
        <f t="shared" si="4"/>
        <v>75.154841693095705</v>
      </c>
      <c r="AM15" s="59">
        <f t="shared" si="5"/>
        <v>368.48817502642902</v>
      </c>
      <c r="AN15" s="59">
        <f ca="1">AVERAGE(OFFSET($AM$3,0,0,'Données projet'!$E$10+1,1))-AVERAGE(OFFSET($H$3,0,0,'Données projet'!$E$10+1,1))</f>
        <v>210.07838338464626</v>
      </c>
      <c r="AO15" s="59">
        <f t="shared" si="36"/>
        <v>241.76003724236273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11.4</v>
      </c>
      <c r="BD15" s="12">
        <f>IF('Données projet'!$A$88&gt;35,BD14+BC15-BL14,IF(A15&lt;'Données projet'!$A$88,$BA$205^A15,IF(A15='Données projet'!$A$88,'Données projet'!$B$88,BD14+BC15-BL14)))</f>
        <v>45.8</v>
      </c>
      <c r="BE15" s="13">
        <f>BD15*VLOOKUP('Données projet'!$B$11,Paramètres!$A$1:$I$89,3,0)*VLOOKUP('Données projet'!$B$11,Paramètres!$A$1:$I$89,5,0)</f>
        <v>25.006799999999998</v>
      </c>
      <c r="BF15" s="13">
        <f t="shared" si="37"/>
        <v>7.9227548930322165</v>
      </c>
      <c r="BG15" s="20">
        <f t="shared" si="7"/>
        <v>57.352308105364443</v>
      </c>
      <c r="BH15" s="59">
        <f t="shared" si="8"/>
        <v>350.68564143869776</v>
      </c>
      <c r="BI15" s="59">
        <f ca="1">AVERAGE(OFFSET($BH$3,0,0,'Données projet'!$E$11+1,1))-AVERAGE(OFFSET($H$3,0,0,'Données projet'!$E$11+1,1))</f>
        <v>168.72306536277267</v>
      </c>
      <c r="BJ15" s="59">
        <f t="shared" si="38"/>
        <v>203.35476578922339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7.2264102564102561</v>
      </c>
      <c r="BY15" s="12">
        <f>IF('Données projet'!$A$114&gt;35,BY14+BX15-CG14,IF(A15&lt;'Données projet'!$A$114,$BV$205^A15,IF(A15='Données projet'!$A$114,'Données projet'!$B$114,BY14+BX15-CG14)))</f>
        <v>8.5983980712566286</v>
      </c>
      <c r="BZ15" s="13">
        <f>BY15*VLOOKUP('Données projet'!$B$12,Paramètres!$A$1:$I$89,3,0)*VLOOKUP('Données projet'!$B$12,Paramètres!$A$1:$I$89,5,0)</f>
        <v>4.0240502973481025</v>
      </c>
      <c r="CA15" s="13">
        <f t="shared" si="39"/>
        <v>1.5770034573990057</v>
      </c>
      <c r="CB15" s="20">
        <f t="shared" si="10"/>
        <v>9.7551686228512136</v>
      </c>
      <c r="CC15" s="59">
        <f t="shared" si="11"/>
        <v>303.08850195618453</v>
      </c>
      <c r="CD15" s="59">
        <f ca="1">AVERAGE(OFFSET($CC$3,0,0,'Données projet'!$E$12+1,1))-AVERAGE(OFFSET($H$3,0,0,'Données projet'!$E$12+1,1))</f>
        <v>158.58786357608489</v>
      </c>
      <c r="CE15" s="59">
        <f t="shared" si="40"/>
        <v>163.20074068819849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4.75</v>
      </c>
      <c r="CT15" s="12">
        <f>IF('Données projet'!$A$140&gt;35,CT14+CS15-DB14,IF(A15&lt;'Données projet'!$A$140,$CQ$205^A15,IF(A15='Données projet'!$A$140,'Données projet'!$B$140,CT14+CS15-DB14)))</f>
        <v>15.368594899018873</v>
      </c>
      <c r="CU15" s="17">
        <f>CT15*VLOOKUP('Données projet'!$B$13,Paramètres!$A$1:$I$89,3,0)*VLOOKUP('Données projet'!$B$13,Paramètres!$A$1:$I$89,5,0)</f>
        <v>11.268253779960638</v>
      </c>
      <c r="CV15" s="13">
        <f t="shared" si="41"/>
        <v>3.9171713896002975</v>
      </c>
      <c r="CW15" s="20">
        <f t="shared" si="13"/>
        <v>26.447948836985294</v>
      </c>
      <c r="CX15" s="59">
        <f t="shared" si="14"/>
        <v>319.7812821703186</v>
      </c>
      <c r="CY15" s="59">
        <f ca="1">AVERAGE(OFFSET($CX$3,0,0,'Données projet'!$E$13+1,1))-AVERAGE(OFFSET($H$3,0,0,'Données projet'!$E$13+1,1))</f>
        <v>178.12968684094687</v>
      </c>
      <c r="CZ15" s="59">
        <f t="shared" si="42"/>
        <v>219.36004077210373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14.2</v>
      </c>
      <c r="DO15" s="12">
        <f>IF('Données projet'!$A$166&gt;35,DO14+DN15-DW14,IF(A15&lt;'Données projet'!$A$166,$DL$205^A15,IF(A15='Données projet'!$A$166,'Données projet'!$B$166,DO14+DN15-DW14)))</f>
        <v>99.4</v>
      </c>
      <c r="DP15" s="17">
        <f>DO15*VLOOKUP('Données projet'!$B$14,Paramètres!$A$1:$I$89,3,0)*VLOOKUP('Données projet'!$B$14,Paramètres!$A$1:$I$89,5,0)</f>
        <v>89.937120000000007</v>
      </c>
      <c r="DQ15" s="13">
        <f t="shared" si="43"/>
        <v>24.550059235245158</v>
      </c>
      <c r="DR15" s="20">
        <f t="shared" si="16"/>
        <v>199.39850383471867</v>
      </c>
      <c r="DS15" s="59">
        <f t="shared" si="17"/>
        <v>492.73183716805198</v>
      </c>
      <c r="DT15" s="59">
        <f ca="1">AVERAGE(OFFSET($DS$3,0,0,'Données projet'!$E$14+1,1))-AVERAGE(OFFSET($H$3,0,0,'Données projet'!$E$14+1,1))</f>
        <v>225.28075317732998</v>
      </c>
      <c r="DU15" s="59">
        <f t="shared" si="44"/>
        <v>358.43407531256207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3.6983613878022288</v>
      </c>
      <c r="EC15" s="21">
        <f>EXP(-LN(2)/2)*EC14+(1-EXP(-LN(2)/2))/(LN(2)/2)*DW15*DZ15*VLOOKUP('Données projet'!$B$14,Paramètres!$A$1:$I$89,3,0)*0.475*44/12</f>
        <v>4.6204652415220497</v>
      </c>
      <c r="ED15" s="22">
        <f t="shared" si="18"/>
        <v>8.3188266293242776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3.6141025641025637</v>
      </c>
      <c r="EJ15" s="12">
        <f>IF('Données projet'!$A$192&gt;35,EJ14+EI15-ER14,IF(A15&lt;'Données projet'!$A$192,$EG$205^A15,IF(A15='Données projet'!$A$192,'Données projet'!$B$192,EJ14+EI15-ER14)))</f>
        <v>6.5170145582565855</v>
      </c>
      <c r="EK15" s="17">
        <f>EJ15*VLOOKUP('Données projet'!$B$15,Paramètres!$A$1:$I$89,3,0)*VLOOKUP('Données projet'!$B$15,Paramètres!$A$1:$I$89,5,0)</f>
        <v>6.608252762072178</v>
      </c>
      <c r="EL15" s="13">
        <f t="shared" si="45"/>
        <v>2.444446999981138</v>
      </c>
      <c r="EM15" s="20">
        <f t="shared" si="19"/>
        <v>15.766785418909523</v>
      </c>
      <c r="EN15" s="59">
        <f t="shared" si="20"/>
        <v>309.10011875224285</v>
      </c>
      <c r="EO15" s="59">
        <f ca="1">AVERAGE(OFFSET($EN$3,0,0,'Données projet'!$E$15+1,1))-AVERAGE(OFFSET($H$3,0,0,'Données projet'!$E$15+1,1))</f>
        <v>363.98308691765931</v>
      </c>
      <c r="EP15" s="59">
        <f t="shared" si="46"/>
        <v>181.47089407988187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3.6141025641025637</v>
      </c>
      <c r="FE15" s="12">
        <f>IF('Données projet'!$A$218&gt;35,FE14+FD15-FM14,IF(A15&lt;'Données projet'!$A$218,$FB$205^A15,IF(A15='Données projet'!$A$218,'Données projet'!$B$218,FE14+FD15-FM14)))</f>
        <v>6.5170145582565855</v>
      </c>
      <c r="FF15" s="17">
        <f>FE15*VLOOKUP('Données projet'!$B$16,Paramètres!$A$1:$I$89,3,0)*VLOOKUP('Données projet'!$B$16,Paramètres!$A$1:$I$89,5,0)</f>
        <v>7.0149144705073878</v>
      </c>
      <c r="FG15" s="13">
        <f t="shared" si="47"/>
        <v>2.5768992556502437</v>
      </c>
      <c r="FH15" s="20">
        <f t="shared" si="22"/>
        <v>16.705742239724543</v>
      </c>
      <c r="FI15" s="59">
        <f t="shared" si="23"/>
        <v>310.03907557305786</v>
      </c>
      <c r="FJ15" s="59">
        <f ca="1">AVERAGE(OFFSET($FI$3,0,0,'Données projet'!$E$16+1,1))-AVERAGE(OFFSET($H$3,0,0,'Données projet'!$E$16+1,1))</f>
        <v>395.30533160963489</v>
      </c>
      <c r="FK15" s="59">
        <f t="shared" si="48"/>
        <v>196.02102977695085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7.4</v>
      </c>
      <c r="FZ15" s="12">
        <f>IF('Données projet'!$A$244&gt;35,FZ14+FY15-GH14,IF(A15&lt;'Données projet'!$A$244,$FW$205^A15,IF(A15='Données projet'!$A$244,'Données projet'!$B$244,FZ14+FY15-GH14)))</f>
        <v>37.799999999999997</v>
      </c>
      <c r="GA15" s="17">
        <f>FZ15*VLOOKUP('Données projet'!$B$17,Paramètres!$A$1:$I$89,3,0)*VLOOKUP('Données projet'!$B$17,Paramètres!$A$1:$I$89,5,0)</f>
        <v>39.508560000000003</v>
      </c>
      <c r="GB15" s="13">
        <f t="shared" si="49"/>
        <v>11.868297112841578</v>
      </c>
      <c r="GC15" s="20">
        <f t="shared" si="25"/>
        <v>89.481359471532414</v>
      </c>
      <c r="GD15" s="59">
        <f t="shared" si="26"/>
        <v>382.81469280486573</v>
      </c>
      <c r="GE15" s="59">
        <f ca="1">AVERAGE(OFFSET($GD$3,0,0,'Données projet'!$E$17+1,1))-AVERAGE(OFFSET($H$3,0,0,'Données projet'!$E$17+1,1))</f>
        <v>269.41185214595805</v>
      </c>
      <c r="GF15" s="59">
        <f t="shared" si="50"/>
        <v>299.70148160580993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4.75</v>
      </c>
      <c r="GU15" s="12">
        <f>IF('Données projet'!$A$270&gt;35,GU14+GT15-HC14,IF(A15&lt;'Données projet'!$A$270,$GR$205^A15,IF(A15='Données projet'!$A$270,'Données projet'!$B$270,GU14+GT15-HC14)))</f>
        <v>15.368594899018873</v>
      </c>
      <c r="GV15" s="17">
        <f>GU15*VLOOKUP('Données projet'!$B$18,Paramètres!$A$1:$I$89,3,0)*VLOOKUP('Données projet'!$B$18,Paramètres!$A$1:$I$89,5,0)</f>
        <v>13.42600450378289</v>
      </c>
      <c r="GW15" s="13">
        <f t="shared" si="51"/>
        <v>4.5730489196371114</v>
      </c>
      <c r="GX15" s="20">
        <f t="shared" si="28"/>
        <v>31.348351379123169</v>
      </c>
      <c r="GY15" s="59">
        <f t="shared" si="29"/>
        <v>324.6816847124565</v>
      </c>
      <c r="GZ15" s="59">
        <f ca="1">AVERAGE(OFFSET($GY$3,0,0,'Données projet'!$E$18+1,1))-AVERAGE(OFFSET($H$3,0,0,'Données projet'!$E$18+1,1))</f>
        <v>226.35975611953359</v>
      </c>
      <c r="HA15" s="59">
        <f t="shared" si="52"/>
        <v>271.65876694892461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3.6141025641025637</v>
      </c>
      <c r="N16" s="13">
        <f>IF('Données projet'!$A$36&gt;35,N15+M16-V15,IF(A16&lt;'Données projet'!$A$36,$K$205^A16,IF(A16='Données projet'!$A$36,'Données projet'!$B$36,N15+M16-V15)))</f>
        <v>7.618791385868616</v>
      </c>
      <c r="O16" s="13">
        <f>N16*VLOOKUP('Données projet'!$B$9,Paramètres!$A$1:$I$89,3,0)*VLOOKUP('Données projet'!$B$9,Paramètres!$A$1:$I$89,5,0)</f>
        <v>6.8934824459339232</v>
      </c>
      <c r="P16" s="13">
        <f t="shared" si="33"/>
        <v>2.5374440633184476</v>
      </c>
      <c r="Q16" s="20">
        <f t="shared" si="2"/>
        <v>16.42553033694788</v>
      </c>
      <c r="R16" s="59">
        <f t="shared" si="0"/>
        <v>309.75886367028119</v>
      </c>
      <c r="S16" s="59">
        <f ca="1">AVERAGE(OFFSET($R$3,0,0,'Données projet'!$E$9+1,1))-AVERAGE(OFFSET($H$3,0,0,'Données projet'!$E$9+1,1))</f>
        <v>309.07357540707869</v>
      </c>
      <c r="T16" s="59">
        <f t="shared" si="34"/>
        <v>155.9593924683299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7.4</v>
      </c>
      <c r="AI16" s="13">
        <f>IF('Données projet'!$A$62&gt;35,AI15+AH16-AQ15,IF(A16&lt;'Données projet'!$A$62,$AF$205^A16,IF(A16='Données projet'!$A$62,'Données projet'!$B$62,AI15+AH16-AQ15)))</f>
        <v>45.199999999999996</v>
      </c>
      <c r="AJ16" s="13">
        <f>AI16*VLOOKUP('Données projet'!$B$10,Paramètres!$A$1:$I$89,3,0)*VLOOKUP('Données projet'!$B$10,Paramètres!$A$1:$I$89,5,0)</f>
        <v>39.486720000000005</v>
      </c>
      <c r="AK16" s="13">
        <f t="shared" si="35"/>
        <v>11.862499896265861</v>
      </c>
      <c r="AL16" s="20">
        <f t="shared" si="4"/>
        <v>89.433224652663043</v>
      </c>
      <c r="AM16" s="59">
        <f t="shared" si="5"/>
        <v>382.76655798599637</v>
      </c>
      <c r="AN16" s="59">
        <f ca="1">AVERAGE(OFFSET($AM$3,0,0,'Données projet'!$E$10+1,1))-AVERAGE(OFFSET($H$3,0,0,'Données projet'!$E$10+1,1))</f>
        <v>210.07838338464626</v>
      </c>
      <c r="AO16" s="59">
        <f t="shared" si="36"/>
        <v>241.76003724236273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11.4</v>
      </c>
      <c r="BD16" s="12">
        <f>IF('Données projet'!$A$88&gt;35,BD15+BC16-BL15,IF(A16&lt;'Données projet'!$A$88,$BA$205^A16,IF(A16='Données projet'!$A$88,'Données projet'!$B$88,BD15+BC16-BL15)))</f>
        <v>57.199999999999996</v>
      </c>
      <c r="BE16" s="13">
        <f>BD16*VLOOKUP('Données projet'!$B$11,Paramètres!$A$1:$I$89,3,0)*VLOOKUP('Données projet'!$B$11,Paramètres!$A$1:$I$89,5,0)</f>
        <v>31.231199999999998</v>
      </c>
      <c r="BF16" s="13">
        <f t="shared" si="37"/>
        <v>9.6420774360788197</v>
      </c>
      <c r="BG16" s="20">
        <f t="shared" si="7"/>
        <v>71.187624867837272</v>
      </c>
      <c r="BH16" s="59">
        <f t="shared" si="8"/>
        <v>364.52095820117057</v>
      </c>
      <c r="BI16" s="59">
        <f ca="1">AVERAGE(OFFSET($BH$3,0,0,'Données projet'!$E$11+1,1))-AVERAGE(OFFSET($H$3,0,0,'Données projet'!$E$11+1,1))</f>
        <v>168.72306536277267</v>
      </c>
      <c r="BJ16" s="59">
        <f t="shared" si="38"/>
        <v>203.35476578922339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7.2264102564102561</v>
      </c>
      <c r="BY16" s="12">
        <f>IF('Données projet'!$A$114&gt;35,BY15+BX16-CG15,IF(A16&lt;'Données projet'!$A$114,$BV$205^A16,IF(A16='Données projet'!$A$114,'Données projet'!$B$114,BY15+BX16-CG15)))</f>
        <v>10.286927434759741</v>
      </c>
      <c r="BZ16" s="13">
        <f>BY16*VLOOKUP('Données projet'!$B$12,Paramètres!$A$1:$I$89,3,0)*VLOOKUP('Données projet'!$B$12,Paramètres!$A$1:$I$89,5,0)</f>
        <v>4.8142820394675585</v>
      </c>
      <c r="CA16" s="13">
        <f t="shared" si="39"/>
        <v>1.8477232526006253</v>
      </c>
      <c r="CB16" s="20">
        <f t="shared" si="10"/>
        <v>11.602992550352086</v>
      </c>
      <c r="CC16" s="59">
        <f t="shared" si="11"/>
        <v>304.93632588368541</v>
      </c>
      <c r="CD16" s="59">
        <f ca="1">AVERAGE(OFFSET($CC$3,0,0,'Données projet'!$E$12+1,1))-AVERAGE(OFFSET($H$3,0,0,'Données projet'!$E$12+1,1))</f>
        <v>158.58786357608489</v>
      </c>
      <c r="CE16" s="59">
        <f t="shared" si="40"/>
        <v>163.20074068819849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4.75</v>
      </c>
      <c r="CT16" s="12">
        <f>IF('Données projet'!$A$140&gt;35,CT15+CS16-DB15,IF(A16&lt;'Données projet'!$A$140,$CQ$205^A16,IF(A16='Données projet'!$A$140,'Données projet'!$B$140,CT15+CS16-DB15)))</f>
        <v>19.298357323959845</v>
      </c>
      <c r="CU16" s="17">
        <f>CT16*VLOOKUP('Données projet'!$B$13,Paramètres!$A$1:$I$89,3,0)*VLOOKUP('Données projet'!$B$13,Paramètres!$A$1:$I$89,5,0)</f>
        <v>14.149555589927358</v>
      </c>
      <c r="CV16" s="13">
        <f t="shared" si="41"/>
        <v>4.7901421630709704</v>
      </c>
      <c r="CW16" s="20">
        <f t="shared" si="13"/>
        <v>32.986640253138752</v>
      </c>
      <c r="CX16" s="59">
        <f t="shared" si="14"/>
        <v>326.31997358647209</v>
      </c>
      <c r="CY16" s="59">
        <f ca="1">AVERAGE(OFFSET($CX$3,0,0,'Données projet'!$E$13+1,1))-AVERAGE(OFFSET($H$3,0,0,'Données projet'!$E$13+1,1))</f>
        <v>178.12968684094687</v>
      </c>
      <c r="CZ16" s="59">
        <f t="shared" si="42"/>
        <v>219.36004077210373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14.2</v>
      </c>
      <c r="DO16" s="12">
        <f>IF('Données projet'!$A$166&gt;35,DO15+DN16-DW15,IF(A16&lt;'Données projet'!$A$166,$DL$205^A16,IF(A16='Données projet'!$A$166,'Données projet'!$B$166,DO15+DN16-DW15)))</f>
        <v>113.60000000000001</v>
      </c>
      <c r="DP16" s="17">
        <f>DO16*VLOOKUP('Données projet'!$B$14,Paramètres!$A$1:$I$89,3,0)*VLOOKUP('Données projet'!$B$14,Paramètres!$A$1:$I$89,5,0)</f>
        <v>102.78528000000001</v>
      </c>
      <c r="DQ16" s="13">
        <f t="shared" si="43"/>
        <v>27.624487443976534</v>
      </c>
      <c r="DR16" s="20">
        <f t="shared" si="16"/>
        <v>227.1303449649258</v>
      </c>
      <c r="DS16" s="59">
        <f t="shared" si="17"/>
        <v>520.46367829825908</v>
      </c>
      <c r="DT16" s="59">
        <f ca="1">AVERAGE(OFFSET($DS$3,0,0,'Données projet'!$E$14+1,1))-AVERAGE(OFFSET($H$3,0,0,'Données projet'!$E$14+1,1))</f>
        <v>225.28075317732998</v>
      </c>
      <c r="DU16" s="59">
        <f t="shared" si="44"/>
        <v>358.43407531256207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3.5972295011644042</v>
      </c>
      <c r="EC16" s="21">
        <f>EXP(-LN(2)/2)*EC15+(1-EXP(-LN(2)/2))/(LN(2)/2)*DW16*DZ16*VLOOKUP('Données projet'!$B$14,Paramètres!$A$1:$I$89,3,0)*0.475*44/12</f>
        <v>3.2671623045169809</v>
      </c>
      <c r="ED16" s="22">
        <f t="shared" si="18"/>
        <v>6.8643918056813851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3.6141025641025637</v>
      </c>
      <c r="EJ16" s="12">
        <f>IF('Données projet'!$A$192&gt;35,EJ15+EI16-ER15,IF(A16&lt;'Données projet'!$A$192,$EG$205^A16,IF(A16='Données projet'!$A$192,'Données projet'!$B$192,EJ15+EI16-ER15)))</f>
        <v>7.618791385868616</v>
      </c>
      <c r="EK16" s="17">
        <f>EJ16*VLOOKUP('Données projet'!$B$15,Paramètres!$A$1:$I$89,3,0)*VLOOKUP('Données projet'!$B$15,Paramètres!$A$1:$I$89,5,0)</f>
        <v>7.7254544652707775</v>
      </c>
      <c r="EL16" s="13">
        <f t="shared" si="45"/>
        <v>2.8062201842152872</v>
      </c>
      <c r="EM16" s="20">
        <f t="shared" si="19"/>
        <v>18.342666681188227</v>
      </c>
      <c r="EN16" s="59">
        <f t="shared" si="20"/>
        <v>311.67600001452155</v>
      </c>
      <c r="EO16" s="59">
        <f ca="1">AVERAGE(OFFSET($EN$3,0,0,'Données projet'!$E$15+1,1))-AVERAGE(OFFSET($H$3,0,0,'Données projet'!$E$15+1,1))</f>
        <v>363.98308691765931</v>
      </c>
      <c r="EP16" s="59">
        <f t="shared" si="46"/>
        <v>181.47089407988187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3.6141025641025637</v>
      </c>
      <c r="FE16" s="12">
        <f>IF('Données projet'!$A$218&gt;35,FE15+FD16-FM15,IF(A16&lt;'Données projet'!$A$218,$FB$205^A16,IF(A16='Données projet'!$A$218,'Données projet'!$B$218,FE15+FD16-FM15)))</f>
        <v>7.618791385868616</v>
      </c>
      <c r="FF16" s="17">
        <f>FE16*VLOOKUP('Données projet'!$B$16,Paramètres!$A$1:$I$89,3,0)*VLOOKUP('Données projet'!$B$16,Paramètres!$A$1:$I$89,5,0)</f>
        <v>8.2008670477489787</v>
      </c>
      <c r="FG16" s="13">
        <f t="shared" si="47"/>
        <v>2.9582751043286537</v>
      </c>
      <c r="FH16" s="20">
        <f t="shared" si="22"/>
        <v>19.435505914868543</v>
      </c>
      <c r="FI16" s="59">
        <f t="shared" si="23"/>
        <v>312.76883924820186</v>
      </c>
      <c r="FJ16" s="59">
        <f ca="1">AVERAGE(OFFSET($FI$3,0,0,'Données projet'!$E$16+1,1))-AVERAGE(OFFSET($H$3,0,0,'Données projet'!$E$16+1,1))</f>
        <v>395.30533160963489</v>
      </c>
      <c r="FK16" s="59">
        <f t="shared" si="48"/>
        <v>196.02102977695085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7.4</v>
      </c>
      <c r="FZ16" s="12">
        <f>IF('Données projet'!$A$244&gt;35,FZ15+FY16-GH15,IF(A16&lt;'Données projet'!$A$244,$FW$205^A16,IF(A16='Données projet'!$A$244,'Données projet'!$B$244,FZ15+FY16-GH15)))</f>
        <v>45.199999999999996</v>
      </c>
      <c r="GA16" s="17">
        <f>FZ16*VLOOKUP('Données projet'!$B$17,Paramètres!$A$1:$I$89,3,0)*VLOOKUP('Données projet'!$B$17,Paramètres!$A$1:$I$89,5,0)</f>
        <v>47.243040000000001</v>
      </c>
      <c r="GB16" s="13">
        <f t="shared" si="49"/>
        <v>13.899429550353876</v>
      </c>
      <c r="GC16" s="20">
        <f t="shared" si="25"/>
        <v>106.48980113353299</v>
      </c>
      <c r="GD16" s="59">
        <f t="shared" si="26"/>
        <v>399.82313446686629</v>
      </c>
      <c r="GE16" s="59">
        <f ca="1">AVERAGE(OFFSET($GD$3,0,0,'Données projet'!$E$17+1,1))-AVERAGE(OFFSET($H$3,0,0,'Données projet'!$E$17+1,1))</f>
        <v>269.41185214595805</v>
      </c>
      <c r="GF16" s="59">
        <f t="shared" si="50"/>
        <v>299.70148160580993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4.75</v>
      </c>
      <c r="GU16" s="12">
        <f>IF('Données projet'!$A$270&gt;35,GU15+GT16-HC15,IF(A16&lt;'Données projet'!$A$270,$GR$205^A16,IF(A16='Données projet'!$A$270,'Données projet'!$B$270,GU15+GT16-HC15)))</f>
        <v>19.298357323959845</v>
      </c>
      <c r="GV16" s="17">
        <f>GU16*VLOOKUP('Données projet'!$B$18,Paramètres!$A$1:$I$89,3,0)*VLOOKUP('Données projet'!$B$18,Paramètres!$A$1:$I$89,5,0)</f>
        <v>16.859044958211321</v>
      </c>
      <c r="GW16" s="13">
        <f t="shared" si="51"/>
        <v>5.5921868779847026</v>
      </c>
      <c r="GX16" s="20">
        <f t="shared" si="28"/>
        <v>39.102562114708071</v>
      </c>
      <c r="GY16" s="59">
        <f t="shared" si="29"/>
        <v>332.43589544804138</v>
      </c>
      <c r="GZ16" s="59">
        <f ca="1">AVERAGE(OFFSET($GY$3,0,0,'Données projet'!$E$18+1,1))-AVERAGE(OFFSET($H$3,0,0,'Données projet'!$E$18+1,1))</f>
        <v>226.35975611953359</v>
      </c>
      <c r="HA16" s="59">
        <f t="shared" si="52"/>
        <v>271.65876694892461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3.6141025641025637</v>
      </c>
      <c r="N17" s="13">
        <f>IF('Données projet'!$A$36&gt;35,N16+M17-V16,IF(A17&lt;'Données projet'!$A$36,$K$205^A17,IF(A17='Données projet'!$A$36,'Données projet'!$B$36,N16+M17-V16)))</f>
        <v>8.9068363531343948</v>
      </c>
      <c r="O17" s="13">
        <f>N17*VLOOKUP('Données projet'!$B$9,Paramètres!$A$1:$I$89,3,0)*VLOOKUP('Données projet'!$B$9,Paramètres!$A$1:$I$89,5,0)</f>
        <v>8.0589055323160004</v>
      </c>
      <c r="P17" s="13">
        <f t="shared" si="33"/>
        <v>2.9129806237797036</v>
      </c>
      <c r="Q17" s="20">
        <f t="shared" si="2"/>
        <v>19.109368388533348</v>
      </c>
      <c r="R17" s="59">
        <f t="shared" si="0"/>
        <v>312.44270172186668</v>
      </c>
      <c r="S17" s="59">
        <f ca="1">AVERAGE(OFFSET($R$3,0,0,'Données projet'!$E$9+1,1))-AVERAGE(OFFSET($H$3,0,0,'Données projet'!$E$9+1,1))</f>
        <v>309.07357540707869</v>
      </c>
      <c r="T17" s="59">
        <f t="shared" si="34"/>
        <v>155.9593924683299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7.4</v>
      </c>
      <c r="AI17" s="13">
        <f>IF('Données projet'!$A$62&gt;35,AI16+AH17-AQ16,IF(A17&lt;'Données projet'!$A$62,$AF$205^A17,IF(A17='Données projet'!$A$62,'Données projet'!$B$62,AI16+AH17-AQ16)))</f>
        <v>52.599999999999994</v>
      </c>
      <c r="AJ17" s="13">
        <f>AI17*VLOOKUP('Données projet'!$B$10,Paramètres!$A$1:$I$89,3,0)*VLOOKUP('Données projet'!$B$10,Paramètres!$A$1:$I$89,5,0)</f>
        <v>45.951360000000001</v>
      </c>
      <c r="AK17" s="13">
        <f t="shared" si="35"/>
        <v>13.563098137964777</v>
      </c>
      <c r="AL17" s="20">
        <f t="shared" si="4"/>
        <v>103.65434792362198</v>
      </c>
      <c r="AM17" s="59">
        <f t="shared" si="5"/>
        <v>396.98768125695528</v>
      </c>
      <c r="AN17" s="59">
        <f ca="1">AVERAGE(OFFSET($AM$3,0,0,'Données projet'!$E$10+1,1))-AVERAGE(OFFSET($H$3,0,0,'Données projet'!$E$10+1,1))</f>
        <v>210.07838338464626</v>
      </c>
      <c r="AO17" s="59">
        <f t="shared" si="36"/>
        <v>241.76003724236273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11.4</v>
      </c>
      <c r="BD17" s="12">
        <f>IF('Données projet'!$A$88&gt;35,BD16+BC17-BL16,IF(A17&lt;'Données projet'!$A$88,$BA$205^A17,IF(A17='Données projet'!$A$88,'Données projet'!$B$88,BD16+BC17-BL16)))</f>
        <v>68.599999999999994</v>
      </c>
      <c r="BE17" s="13">
        <f>BD17*VLOOKUP('Données projet'!$B$11,Paramètres!$A$1:$I$89,3,0)*VLOOKUP('Données projet'!$B$11,Paramètres!$A$1:$I$89,5,0)</f>
        <v>37.455599999999997</v>
      </c>
      <c r="BF17" s="13">
        <f t="shared" si="37"/>
        <v>11.321695561560951</v>
      </c>
      <c r="BG17" s="20">
        <f t="shared" si="7"/>
        <v>84.953789769718654</v>
      </c>
      <c r="BH17" s="59">
        <f t="shared" si="8"/>
        <v>378.28712310305195</v>
      </c>
      <c r="BI17" s="59">
        <f ca="1">AVERAGE(OFFSET($BH$3,0,0,'Données projet'!$E$11+1,1))-AVERAGE(OFFSET($H$3,0,0,'Données projet'!$E$11+1,1))</f>
        <v>168.72306536277267</v>
      </c>
      <c r="BJ17" s="59">
        <f t="shared" si="38"/>
        <v>203.35476578922339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7.2264102564102561</v>
      </c>
      <c r="BY17" s="12">
        <f>IF('Données projet'!$A$114&gt;35,BY16+BX17-CG16,IF(A17&lt;'Données projet'!$A$114,$BV$205^A17,IF(A17='Données projet'!$A$114,'Données projet'!$B$114,BY16+BX17-CG16)))</f>
        <v>12.307045471848836</v>
      </c>
      <c r="BZ17" s="13">
        <f>BY17*VLOOKUP('Données projet'!$B$12,Paramètres!$A$1:$I$89,3,0)*VLOOKUP('Données projet'!$B$12,Paramètres!$A$1:$I$89,5,0)</f>
        <v>5.7596972808252556</v>
      </c>
      <c r="CA17" s="13">
        <f t="shared" si="39"/>
        <v>2.1649167617120959</v>
      </c>
      <c r="CB17" s="20">
        <f t="shared" si="10"/>
        <v>13.802036124085888</v>
      </c>
      <c r="CC17" s="59">
        <f t="shared" si="11"/>
        <v>307.13536945741919</v>
      </c>
      <c r="CD17" s="59">
        <f ca="1">AVERAGE(OFFSET($CC$3,0,0,'Données projet'!$E$12+1,1))-AVERAGE(OFFSET($H$3,0,0,'Données projet'!$E$12+1,1))</f>
        <v>158.58786357608489</v>
      </c>
      <c r="CE17" s="59">
        <f t="shared" si="40"/>
        <v>163.20074068819849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4.75</v>
      </c>
      <c r="CT17" s="12">
        <f>IF('Données projet'!$A$140&gt;35,CT16+CS17-DB16,IF(A17&lt;'Données projet'!$A$140,$CQ$205^A17,IF(A17='Données projet'!$A$140,'Données projet'!$B$140,CT16+CS17-DB16)))</f>
        <v>24.232963250726986</v>
      </c>
      <c r="CU17" s="17">
        <f>CT17*VLOOKUP('Données projet'!$B$13,Paramètres!$A$1:$I$89,3,0)*VLOOKUP('Données projet'!$B$13,Paramètres!$A$1:$I$89,5,0)</f>
        <v>17.767608655433026</v>
      </c>
      <c r="CV17" s="13">
        <f t="shared" si="41"/>
        <v>5.8576609650903171</v>
      </c>
      <c r="CW17" s="20">
        <f t="shared" si="13"/>
        <v>41.147344589078159</v>
      </c>
      <c r="CX17" s="59">
        <f t="shared" si="14"/>
        <v>334.48067792241147</v>
      </c>
      <c r="CY17" s="59">
        <f ca="1">AVERAGE(OFFSET($CX$3,0,0,'Données projet'!$E$13+1,1))-AVERAGE(OFFSET($H$3,0,0,'Données projet'!$E$13+1,1))</f>
        <v>178.12968684094687</v>
      </c>
      <c r="CZ17" s="59">
        <f t="shared" si="42"/>
        <v>219.36004077210373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14.2</v>
      </c>
      <c r="DO17" s="12">
        <f>IF('Données projet'!$A$166&gt;35,DO16+DN17-DW16,IF(A17&lt;'Données projet'!$A$166,$DL$205^A17,IF(A17='Données projet'!$A$166,'Données projet'!$B$166,DO16+DN17-DW16)))</f>
        <v>127.80000000000001</v>
      </c>
      <c r="DP17" s="17">
        <f>DO17*VLOOKUP('Données projet'!$B$14,Paramètres!$A$1:$I$89,3,0)*VLOOKUP('Données projet'!$B$14,Paramètres!$A$1:$I$89,5,0)</f>
        <v>115.63343999999999</v>
      </c>
      <c r="DQ17" s="13">
        <f t="shared" si="43"/>
        <v>30.654384291094836</v>
      </c>
      <c r="DR17" s="20">
        <f t="shared" si="16"/>
        <v>254.78462730699016</v>
      </c>
      <c r="DS17" s="59">
        <f t="shared" si="17"/>
        <v>548.11796064032342</v>
      </c>
      <c r="DT17" s="59">
        <f ca="1">AVERAGE(OFFSET($DS$3,0,0,'Données projet'!$E$14+1,1))-AVERAGE(OFFSET($H$3,0,0,'Données projet'!$E$14+1,1))</f>
        <v>225.28075317732998</v>
      </c>
      <c r="DU17" s="59">
        <f t="shared" si="44"/>
        <v>358.43407531256207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3.4988630712849855</v>
      </c>
      <c r="EC17" s="21">
        <f>EXP(-LN(2)/2)*EC16+(1-EXP(-LN(2)/2))/(LN(2)/2)*DW17*DZ17*VLOOKUP('Données projet'!$B$14,Paramètres!$A$1:$I$89,3,0)*0.475*44/12</f>
        <v>2.3102326207610253</v>
      </c>
      <c r="ED17" s="22">
        <f t="shared" si="18"/>
        <v>5.8090956920460108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3.6141025641025637</v>
      </c>
      <c r="EJ17" s="12">
        <f>IF('Données projet'!$A$192&gt;35,EJ16+EI17-ER16,IF(A17&lt;'Données projet'!$A$192,$EG$205^A17,IF(A17='Données projet'!$A$192,'Données projet'!$B$192,EJ16+EI17-ER16)))</f>
        <v>8.9068363531343948</v>
      </c>
      <c r="EK17" s="17">
        <f>EJ17*VLOOKUP('Données projet'!$B$15,Paramètres!$A$1:$I$89,3,0)*VLOOKUP('Données projet'!$B$15,Paramètres!$A$1:$I$89,5,0)</f>
        <v>9.0315320620782771</v>
      </c>
      <c r="EL17" s="13">
        <f t="shared" si="45"/>
        <v>3.2215350639052716</v>
      </c>
      <c r="EM17" s="20">
        <f t="shared" si="19"/>
        <v>21.340758577754681</v>
      </c>
      <c r="EN17" s="59">
        <f t="shared" si="20"/>
        <v>314.674091911088</v>
      </c>
      <c r="EO17" s="59">
        <f ca="1">AVERAGE(OFFSET($EN$3,0,0,'Données projet'!$E$15+1,1))-AVERAGE(OFFSET($H$3,0,0,'Données projet'!$E$15+1,1))</f>
        <v>363.98308691765931</v>
      </c>
      <c r="EP17" s="59">
        <f t="shared" si="46"/>
        <v>181.47089407988187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3.6141025641025637</v>
      </c>
      <c r="FE17" s="12">
        <f>IF('Données projet'!$A$218&gt;35,FE16+FD17-FM16,IF(A17&lt;'Données projet'!$A$218,$FB$205^A17,IF(A17='Données projet'!$A$218,'Données projet'!$B$218,FE16+FD17-FM16)))</f>
        <v>8.9068363531343948</v>
      </c>
      <c r="FF17" s="17">
        <f>FE17*VLOOKUP('Données projet'!$B$16,Paramètres!$A$1:$I$89,3,0)*VLOOKUP('Données projet'!$B$16,Paramètres!$A$1:$I$89,5,0)</f>
        <v>9.587318650513863</v>
      </c>
      <c r="FG17" s="13">
        <f t="shared" si="47"/>
        <v>3.396093802930769</v>
      </c>
      <c r="FH17" s="20">
        <f t="shared" si="22"/>
        <v>22.612776689749399</v>
      </c>
      <c r="FI17" s="59">
        <f t="shared" si="23"/>
        <v>315.94611002308272</v>
      </c>
      <c r="FJ17" s="59">
        <f ca="1">AVERAGE(OFFSET($FI$3,0,0,'Données projet'!$E$16+1,1))-AVERAGE(OFFSET($H$3,0,0,'Données projet'!$E$16+1,1))</f>
        <v>395.30533160963489</v>
      </c>
      <c r="FK17" s="59">
        <f t="shared" si="48"/>
        <v>196.02102977695085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7.4</v>
      </c>
      <c r="FZ17" s="12">
        <f>IF('Données projet'!$A$244&gt;35,FZ16+FY17-GH16,IF(A17&lt;'Données projet'!$A$244,$FW$205^A17,IF(A17='Données projet'!$A$244,'Données projet'!$B$244,FZ16+FY17-GH16)))</f>
        <v>52.599999999999994</v>
      </c>
      <c r="GA17" s="17">
        <f>FZ17*VLOOKUP('Données projet'!$B$17,Paramètres!$A$1:$I$89,3,0)*VLOOKUP('Données projet'!$B$17,Paramètres!$A$1:$I$89,5,0)</f>
        <v>54.977519999999998</v>
      </c>
      <c r="GB17" s="13">
        <f t="shared" si="49"/>
        <v>15.892040354202264</v>
      </c>
      <c r="GC17" s="20">
        <f t="shared" si="25"/>
        <v>123.43115095023562</v>
      </c>
      <c r="GD17" s="59">
        <f t="shared" si="26"/>
        <v>416.76448428356895</v>
      </c>
      <c r="GE17" s="59">
        <f ca="1">AVERAGE(OFFSET($GD$3,0,0,'Données projet'!$E$17+1,1))-AVERAGE(OFFSET($H$3,0,0,'Données projet'!$E$17+1,1))</f>
        <v>269.41185214595805</v>
      </c>
      <c r="GF17" s="59">
        <f t="shared" si="50"/>
        <v>299.70148160580993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4.75</v>
      </c>
      <c r="GU17" s="12">
        <f>IF('Données projet'!$A$270&gt;35,GU16+GT17-HC16,IF(A17&lt;'Données projet'!$A$270,$GR$205^A17,IF(A17='Données projet'!$A$270,'Données projet'!$B$270,GU16+GT17-HC16)))</f>
        <v>24.232963250726986</v>
      </c>
      <c r="GV17" s="17">
        <f>GU17*VLOOKUP('Données projet'!$B$18,Paramètres!$A$1:$I$89,3,0)*VLOOKUP('Données projet'!$B$18,Paramètres!$A$1:$I$89,5,0)</f>
        <v>21.169916695835099</v>
      </c>
      <c r="GW17" s="13">
        <f t="shared" si="51"/>
        <v>6.838447308975188</v>
      </c>
      <c r="GX17" s="20">
        <f t="shared" si="28"/>
        <v>48.781233975044579</v>
      </c>
      <c r="GY17" s="59">
        <f t="shared" si="29"/>
        <v>342.1145673083779</v>
      </c>
      <c r="GZ17" s="59">
        <f ca="1">AVERAGE(OFFSET($GY$3,0,0,'Données projet'!$E$18+1,1))-AVERAGE(OFFSET($H$3,0,0,'Données projet'!$E$18+1,1))</f>
        <v>226.35975611953359</v>
      </c>
      <c r="HA17" s="59">
        <f t="shared" si="52"/>
        <v>271.65876694892461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3.6141025641025637</v>
      </c>
      <c r="N18" s="13">
        <f>IF('Données projet'!$A$36&gt;35,N17+M18-V17,IF(A18&lt;'Données projet'!$A$36,$K$205^A18,IF(A18='Données projet'!$A$36,'Données projet'!$B$36,N17+M18-V17)))</f>
        <v>10.41264024746253</v>
      </c>
      <c r="O18" s="13">
        <f>N18*VLOOKUP('Données projet'!$B$9,Paramètres!$A$1:$I$89,3,0)*VLOOKUP('Données projet'!$B$9,Paramètres!$A$1:$I$89,5,0)</f>
        <v>9.421356895904097</v>
      </c>
      <c r="P18" s="13">
        <f t="shared" si="33"/>
        <v>3.3440958313850619</v>
      </c>
      <c r="Q18" s="20">
        <f t="shared" si="2"/>
        <v>22.233163500028613</v>
      </c>
      <c r="R18" s="59">
        <f t="shared" si="0"/>
        <v>315.56649683336195</v>
      </c>
      <c r="S18" s="59">
        <f ca="1">AVERAGE(OFFSET($R$3,0,0,'Données projet'!$E$9+1,1))-AVERAGE(OFFSET($H$3,0,0,'Données projet'!$E$9+1,1))</f>
        <v>309.07357540707869</v>
      </c>
      <c r="T18" s="59">
        <f t="shared" si="34"/>
        <v>155.9593924683299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60</v>
      </c>
      <c r="AG18" s="12">
        <f>VLOOKUP(A18,'Données projet'!$A$61:$I$81,9,0)</f>
        <v>7.4</v>
      </c>
      <c r="AH18" s="12">
        <f t="array" ref="AH18">INDEX(AG:AG,MIN(IF(ISNUMBER(AG18:AG214),ROW(AG18:AG214),"")))</f>
        <v>7.4</v>
      </c>
      <c r="AI18" s="13">
        <f>IF('Données projet'!$A$62&gt;35,AI17+AH18-AQ17,IF(A18&lt;'Données projet'!$A$62,$AF$205^A18,IF(A18='Données projet'!$A$62,'Données projet'!$B$62,AI17+AH18-AQ17)))</f>
        <v>59.999999999999993</v>
      </c>
      <c r="AJ18" s="13">
        <f>AI18*VLOOKUP('Données projet'!$B$10,Paramètres!$A$1:$I$89,3,0)*VLOOKUP('Données projet'!$B$10,Paramètres!$A$1:$I$89,5,0)</f>
        <v>52.416000000000004</v>
      </c>
      <c r="AK18" s="13">
        <f t="shared" si="35"/>
        <v>15.235978301273029</v>
      </c>
      <c r="AL18" s="20">
        <f t="shared" si="4"/>
        <v>117.82719554138386</v>
      </c>
      <c r="AM18" s="59">
        <f t="shared" si="5"/>
        <v>411.16052887471716</v>
      </c>
      <c r="AN18" s="59">
        <f ca="1">AVERAGE(OFFSET($AM$3,0,0,'Données projet'!$E$10+1,1))-AVERAGE(OFFSET($H$3,0,0,'Données projet'!$E$10+1,1))</f>
        <v>210.07838338464626</v>
      </c>
      <c r="AO18" s="59">
        <f t="shared" si="36"/>
        <v>241.76003724236273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11.4</v>
      </c>
      <c r="BD18" s="12">
        <f>IF('Données projet'!$A$88&gt;35,BD17+BC18-BL17,IF(A18&lt;'Données projet'!$A$88,$BA$205^A18,IF(A18='Données projet'!$A$88,'Données projet'!$B$88,BD17+BC18-BL17)))</f>
        <v>80</v>
      </c>
      <c r="BE18" s="13">
        <f>BD18*VLOOKUP('Données projet'!$B$11,Paramètres!$A$1:$I$89,3,0)*VLOOKUP('Données projet'!$B$11,Paramètres!$A$1:$I$89,5,0)</f>
        <v>43.680000000000007</v>
      </c>
      <c r="BF18" s="13">
        <f t="shared" si="37"/>
        <v>12.968979282088577</v>
      </c>
      <c r="BG18" s="20">
        <f t="shared" si="7"/>
        <v>98.663638916304294</v>
      </c>
      <c r="BH18" s="59">
        <f t="shared" si="8"/>
        <v>391.99697224963762</v>
      </c>
      <c r="BI18" s="59">
        <f ca="1">AVERAGE(OFFSET($BH$3,0,0,'Données projet'!$E$11+1,1))-AVERAGE(OFFSET($H$3,0,0,'Données projet'!$E$11+1,1))</f>
        <v>168.72306536277267</v>
      </c>
      <c r="BJ18" s="59">
        <f t="shared" si="38"/>
        <v>203.35476578922339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7.2264102564102561</v>
      </c>
      <c r="BY18" s="12">
        <f>IF('Données projet'!$A$114&gt;35,BY17+BX18-CG17,IF(A18&lt;'Données projet'!$A$114,$BV$205^A18,IF(A18='Données projet'!$A$114,'Données projet'!$B$114,BY17+BX18-CG17)))</f>
        <v>14.723868638788783</v>
      </c>
      <c r="BZ18" s="13">
        <f>BY18*VLOOKUP('Données projet'!$B$12,Paramètres!$A$1:$I$89,3,0)*VLOOKUP('Données projet'!$B$12,Paramètres!$A$1:$I$89,5,0)</f>
        <v>6.89077052295315</v>
      </c>
      <c r="CA18" s="13">
        <f t="shared" si="39"/>
        <v>2.5365619978778424</v>
      </c>
      <c r="CB18" s="20">
        <f t="shared" si="10"/>
        <v>16.419270807113978</v>
      </c>
      <c r="CC18" s="59">
        <f t="shared" si="11"/>
        <v>309.75260414044732</v>
      </c>
      <c r="CD18" s="59">
        <f ca="1">AVERAGE(OFFSET($CC$3,0,0,'Données projet'!$E$12+1,1))-AVERAGE(OFFSET($H$3,0,0,'Données projet'!$E$12+1,1))</f>
        <v>158.58786357608489</v>
      </c>
      <c r="CE18" s="59">
        <f t="shared" si="40"/>
        <v>163.20074068819849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4.75</v>
      </c>
      <c r="CT18" s="12">
        <f>IF('Données projet'!$A$140&gt;35,CT17+CS18-DB17,IF(A18&lt;'Données projet'!$A$140,$CQ$205^A18,IF(A18='Données projet'!$A$140,'Données projet'!$B$140,CT17+CS18-DB17)))</f>
        <v>30.429351993705815</v>
      </c>
      <c r="CU18" s="17">
        <f>CT18*VLOOKUP('Données projet'!$B$13,Paramètres!$A$1:$I$89,3,0)*VLOOKUP('Données projet'!$B$13,Paramètres!$A$1:$I$89,5,0)</f>
        <v>22.310800881785102</v>
      </c>
      <c r="CV18" s="13">
        <f t="shared" si="41"/>
        <v>7.1630842705397226</v>
      </c>
      <c r="CW18" s="20">
        <f t="shared" si="13"/>
        <v>51.333683306965732</v>
      </c>
      <c r="CX18" s="59">
        <f t="shared" si="14"/>
        <v>344.66701664029904</v>
      </c>
      <c r="CY18" s="59">
        <f ca="1">AVERAGE(OFFSET($CX$3,0,0,'Données projet'!$E$13+1,1))-AVERAGE(OFFSET($H$3,0,0,'Données projet'!$E$13+1,1))</f>
        <v>178.12968684094687</v>
      </c>
      <c r="CZ18" s="59">
        <f t="shared" si="42"/>
        <v>219.36004077210373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142</v>
      </c>
      <c r="DM18" s="12">
        <f>VLOOKUP(A18,'Données projet'!$A$165:$I$185,9,0)</f>
        <v>14.2</v>
      </c>
      <c r="DN18" s="12">
        <f t="array" ref="DN18">INDEX(DM:DM,MIN(IF(ISNUMBER(DM18:DM214),ROW(DM18:DM214),"")))</f>
        <v>14.2</v>
      </c>
      <c r="DO18" s="12">
        <f>IF('Données projet'!$A$166&gt;35,DO17+DN18-DW17,IF(A18&lt;'Données projet'!$A$166,$DL$205^A18,IF(A18='Données projet'!$A$166,'Données projet'!$B$166,DO17+DN18-DW17)))</f>
        <v>142</v>
      </c>
      <c r="DP18" s="17">
        <f>DO18*VLOOKUP('Données projet'!$B$14,Paramètres!$A$1:$I$89,3,0)*VLOOKUP('Données projet'!$B$14,Paramètres!$A$1:$I$89,5,0)</f>
        <v>128.48160000000001</v>
      </c>
      <c r="DQ18" s="13">
        <f t="shared" si="43"/>
        <v>33.645262125937215</v>
      </c>
      <c r="DR18" s="20">
        <f t="shared" si="16"/>
        <v>282.37095153600734</v>
      </c>
      <c r="DS18" s="59">
        <f t="shared" si="17"/>
        <v>575.70428486934065</v>
      </c>
      <c r="DT18" s="59">
        <f ca="1">AVERAGE(OFFSET($DS$3,0,0,'Données projet'!$E$14+1,1))-AVERAGE(OFFSET($H$3,0,0,'Données projet'!$E$14+1,1))</f>
        <v>225.28075317732998</v>
      </c>
      <c r="DU18" s="59">
        <f t="shared" si="44"/>
        <v>358.43407531256207</v>
      </c>
      <c r="DV18" s="15">
        <f>IF(ISNA(VLOOKUP(A18,'Données projet'!$A$165:$I$185,3,0)),0,VLOOKUP(A18,'Données projet'!$A$165:$I$185,3,0))</f>
        <v>3</v>
      </c>
      <c r="DW18" s="15">
        <f>IF(ISNA(VLOOKUP(A18,'Données projet'!$A$165:$I$185,4,0)),0,VLOOKUP(A18,'Données projet'!$A$165:$I$185,4,0))</f>
        <v>28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7.4999999999999997E-2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5.4953982367410337</v>
      </c>
      <c r="EC18" s="21">
        <f>EXP(-LN(2)/2)*EC17+(1-EXP(-LN(2)/2))/(LN(2)/2)*DW18*DZ18*VLOOKUP('Données projet'!$B$14,Paramètres!$A$1:$I$89,3,0)*0.475*44/12</f>
        <v>7.6095032186031775</v>
      </c>
      <c r="ED18" s="22">
        <f t="shared" si="18"/>
        <v>13.104901455344212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3.6141025641025637</v>
      </c>
      <c r="EJ18" s="12">
        <f>IF('Données projet'!$A$192&gt;35,EJ17+EI18-ER17,IF(A18&lt;'Données projet'!$A$192,$EG$205^A18,IF(A18='Données projet'!$A$192,'Données projet'!$B$192,EJ17+EI18-ER17)))</f>
        <v>10.41264024746253</v>
      </c>
      <c r="EK18" s="17">
        <f>EJ18*VLOOKUP('Données projet'!$B$15,Paramètres!$A$1:$I$89,3,0)*VLOOKUP('Données projet'!$B$15,Paramètres!$A$1:$I$89,5,0)</f>
        <v>10.558417210927006</v>
      </c>
      <c r="EL18" s="13">
        <f t="shared" si="45"/>
        <v>3.6983157010800451</v>
      </c>
      <c r="EM18" s="20">
        <f t="shared" si="19"/>
        <v>24.830476488412277</v>
      </c>
      <c r="EN18" s="59">
        <f t="shared" si="20"/>
        <v>318.16380982174559</v>
      </c>
      <c r="EO18" s="59">
        <f ca="1">AVERAGE(OFFSET($EN$3,0,0,'Données projet'!$E$15+1,1))-AVERAGE(OFFSET($H$3,0,0,'Données projet'!$E$15+1,1))</f>
        <v>363.98308691765931</v>
      </c>
      <c r="EP18" s="59">
        <f t="shared" si="46"/>
        <v>181.47089407988187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3.6141025641025637</v>
      </c>
      <c r="FE18" s="12">
        <f>IF('Données projet'!$A$218&gt;35,FE17+FD18-FM17,IF(A18&lt;'Données projet'!$A$218,$FB$205^A18,IF(A18='Données projet'!$A$218,'Données projet'!$B$218,FE17+FD18-FM17)))</f>
        <v>10.41264024746253</v>
      </c>
      <c r="FF18" s="17">
        <f>FE18*VLOOKUP('Données projet'!$B$16,Paramètres!$A$1:$I$89,3,0)*VLOOKUP('Données projet'!$B$16,Paramètres!$A$1:$I$89,5,0)</f>
        <v>11.208165962368668</v>
      </c>
      <c r="FG18" s="13">
        <f t="shared" si="47"/>
        <v>3.8987087784461352</v>
      </c>
      <c r="FH18" s="20">
        <f t="shared" si="22"/>
        <v>26.31114017358578</v>
      </c>
      <c r="FI18" s="59">
        <f t="shared" si="23"/>
        <v>319.6444735069191</v>
      </c>
      <c r="FJ18" s="59">
        <f ca="1">AVERAGE(OFFSET($FI$3,0,0,'Données projet'!$E$16+1,1))-AVERAGE(OFFSET($H$3,0,0,'Données projet'!$E$16+1,1))</f>
        <v>395.30533160963489</v>
      </c>
      <c r="FK18" s="59">
        <f t="shared" si="48"/>
        <v>196.02102977695085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>
        <f>VLOOKUP(A18,'Données projet'!$A$243:$I$263,2,0)</f>
        <v>60</v>
      </c>
      <c r="FX18" s="12">
        <f>VLOOKUP(A18,'Données projet'!$A$243:$I$263,9,0)</f>
        <v>7.4</v>
      </c>
      <c r="FY18" s="12">
        <f t="array" ref="FY18">INDEX(FX:FX,MIN(IF(ISNUMBER(FX18:FX214),ROW(FX18:FX214),"")))</f>
        <v>7.4</v>
      </c>
      <c r="FZ18" s="12">
        <f>IF('Données projet'!$A$244&gt;35,FZ17+FY18-GH17,IF(A18&lt;'Données projet'!$A$244,$FW$205^A18,IF(A18='Données projet'!$A$244,'Données projet'!$B$244,FZ17+FY18-GH17)))</f>
        <v>59.999999999999993</v>
      </c>
      <c r="GA18" s="17">
        <f>FZ18*VLOOKUP('Données projet'!$B$17,Paramètres!$A$1:$I$89,3,0)*VLOOKUP('Données projet'!$B$17,Paramètres!$A$1:$I$89,5,0)</f>
        <v>62.711999999999996</v>
      </c>
      <c r="GB18" s="13">
        <f t="shared" si="49"/>
        <v>17.85217356216183</v>
      </c>
      <c r="GC18" s="20">
        <f t="shared" si="25"/>
        <v>140.31593562076515</v>
      </c>
      <c r="GD18" s="59">
        <f t="shared" si="26"/>
        <v>433.64926895409849</v>
      </c>
      <c r="GE18" s="59">
        <f ca="1">AVERAGE(OFFSET($GD$3,0,0,'Données projet'!$E$17+1,1))-AVERAGE(OFFSET($H$3,0,0,'Données projet'!$E$17+1,1))</f>
        <v>269.41185214595805</v>
      </c>
      <c r="GF18" s="59">
        <f t="shared" si="50"/>
        <v>299.70148160580993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4.75</v>
      </c>
      <c r="GU18" s="12">
        <f>IF('Données projet'!$A$270&gt;35,GU17+GT18-HC17,IF(A18&lt;'Données projet'!$A$270,$GR$205^A18,IF(A18='Données projet'!$A$270,'Données projet'!$B$270,GU17+GT18-HC17)))</f>
        <v>30.429351993705815</v>
      </c>
      <c r="GV18" s="17">
        <f>GU18*VLOOKUP('Données projet'!$B$18,Paramètres!$A$1:$I$89,3,0)*VLOOKUP('Données projet'!$B$18,Paramètres!$A$1:$I$89,5,0)</f>
        <v>26.583081901701402</v>
      </c>
      <c r="GW18" s="13">
        <f t="shared" si="51"/>
        <v>8.3624461445900025</v>
      </c>
      <c r="GX18" s="20">
        <f t="shared" si="28"/>
        <v>60.863461347290858</v>
      </c>
      <c r="GY18" s="59">
        <f t="shared" si="29"/>
        <v>354.19679468062418</v>
      </c>
      <c r="GZ18" s="59">
        <f ca="1">AVERAGE(OFFSET($GY$3,0,0,'Données projet'!$E$18+1,1))-AVERAGE(OFFSET($H$3,0,0,'Données projet'!$E$18+1,1))</f>
        <v>226.35975611953359</v>
      </c>
      <c r="HA18" s="59">
        <f t="shared" si="52"/>
        <v>271.65876694892461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3.6141025641025637</v>
      </c>
      <c r="N19" s="13">
        <f>IF('Données projet'!$A$36&gt;35,N18+M19-V18,IF(A19&lt;'Données projet'!$A$36,$K$205^A19,IF(A19='Données projet'!$A$36,'Données projet'!$B$36,N18+M19-V18)))</f>
        <v>12.173017738775622</v>
      </c>
      <c r="O19" s="13">
        <f>N19*VLOOKUP('Données projet'!$B$9,Paramètres!$A$1:$I$89,3,0)*VLOOKUP('Données projet'!$B$9,Paramètres!$A$1:$I$89,5,0)</f>
        <v>11.014146450044182</v>
      </c>
      <c r="P19" s="13">
        <f t="shared" si="33"/>
        <v>3.8390152128703852</v>
      </c>
      <c r="Q19" s="20">
        <f t="shared" si="2"/>
        <v>25.869256562909538</v>
      </c>
      <c r="R19" s="59">
        <f t="shared" si="0"/>
        <v>319.20258989624284</v>
      </c>
      <c r="S19" s="59">
        <f ca="1">AVERAGE(OFFSET($R$3,0,0,'Données projet'!$E$9+1,1))-AVERAGE(OFFSET($H$3,0,0,'Données projet'!$E$9+1,1))</f>
        <v>309.07357540707869</v>
      </c>
      <c r="T19" s="59">
        <f t="shared" si="34"/>
        <v>155.9593924683299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9.6</v>
      </c>
      <c r="AI19" s="13">
        <f>IF('Données projet'!$A$62&gt;35,AI18+AH19-AQ18,IF(A19&lt;'Données projet'!$A$62,$AF$205^A19,IF(A19='Données projet'!$A$62,'Données projet'!$B$62,AI18+AH19-AQ18)))</f>
        <v>69.599999999999994</v>
      </c>
      <c r="AJ19" s="13">
        <f>AI19*VLOOKUP('Données projet'!$B$10,Paramètres!$A$1:$I$89,3,0)*VLOOKUP('Données projet'!$B$10,Paramètres!$A$1:$I$89,5,0)</f>
        <v>60.80256</v>
      </c>
      <c r="AK19" s="13">
        <f t="shared" si="35"/>
        <v>17.371024177726472</v>
      </c>
      <c r="AL19" s="20">
        <f t="shared" si="4"/>
        <v>136.15232577620694</v>
      </c>
      <c r="AM19" s="59">
        <f t="shared" si="5"/>
        <v>429.48565910954028</v>
      </c>
      <c r="AN19" s="59">
        <f ca="1">AVERAGE(OFFSET($AM$3,0,0,'Données projet'!$E$10+1,1))-AVERAGE(OFFSET($H$3,0,0,'Données projet'!$E$10+1,1))</f>
        <v>210.07838338464626</v>
      </c>
      <c r="AO19" s="59">
        <f t="shared" si="36"/>
        <v>241.76003724236273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11.4</v>
      </c>
      <c r="BD19" s="12">
        <f>IF('Données projet'!$A$88&gt;35,BD18+BC19-BL18,IF(A19&lt;'Données projet'!$A$88,$BA$205^A19,IF(A19='Données projet'!$A$88,'Données projet'!$B$88,BD18+BC19-BL18)))</f>
        <v>91.4</v>
      </c>
      <c r="BE19" s="13">
        <f>BD19*VLOOKUP('Données projet'!$B$11,Paramètres!$A$1:$I$89,3,0)*VLOOKUP('Données projet'!$B$11,Paramètres!$A$1:$I$89,5,0)</f>
        <v>49.904400000000003</v>
      </c>
      <c r="BF19" s="13">
        <f t="shared" si="37"/>
        <v>14.589067797241727</v>
      </c>
      <c r="BG19" s="20">
        <f t="shared" si="7"/>
        <v>112.32612308019601</v>
      </c>
      <c r="BH19" s="59">
        <f t="shared" si="8"/>
        <v>405.65945641352931</v>
      </c>
      <c r="BI19" s="59">
        <f ca="1">AVERAGE(OFFSET($BH$3,0,0,'Données projet'!$E$11+1,1))-AVERAGE(OFFSET($H$3,0,0,'Données projet'!$E$11+1,1))</f>
        <v>168.72306536277267</v>
      </c>
      <c r="BJ19" s="59">
        <f t="shared" si="38"/>
        <v>203.35476578922339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7.2264102564102561</v>
      </c>
      <c r="BY19" s="12">
        <f>IF('Données projet'!$A$114&gt;35,BY18+BX19-CG18,IF(A19&lt;'Données projet'!$A$114,$BV$205^A19,IF(A19='Données projet'!$A$114,'Données projet'!$B$114,BY18+BX19-CG18)))</f>
        <v>17.61530077939495</v>
      </c>
      <c r="BZ19" s="13">
        <f>BY19*VLOOKUP('Données projet'!$B$12,Paramètres!$A$1:$I$89,3,0)*VLOOKUP('Données projet'!$B$12,Paramètres!$A$1:$I$89,5,0)</f>
        <v>8.2439607647568369</v>
      </c>
      <c r="CA19" s="13">
        <f t="shared" si="39"/>
        <v>2.972006537558364</v>
      </c>
      <c r="CB19" s="20">
        <f t="shared" si="10"/>
        <v>19.534476384865641</v>
      </c>
      <c r="CC19" s="59">
        <f t="shared" si="11"/>
        <v>312.86780971819894</v>
      </c>
      <c r="CD19" s="59">
        <f ca="1">AVERAGE(OFFSET($CC$3,0,0,'Données projet'!$E$12+1,1))-AVERAGE(OFFSET($H$3,0,0,'Données projet'!$E$12+1,1))</f>
        <v>158.58786357608489</v>
      </c>
      <c r="CE19" s="59">
        <f t="shared" si="40"/>
        <v>163.20074068819849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4.75</v>
      </c>
      <c r="CT19" s="12">
        <f>IF('Données projet'!$A$140&gt;35,CT18+CS19-DB18,IF(A19&lt;'Données projet'!$A$140,$CQ$205^A19,IF(A19='Données projet'!$A$140,'Données projet'!$B$140,CT18+CS19-DB18)))</f>
        <v>38.21016246244956</v>
      </c>
      <c r="CU19" s="17">
        <f>CT19*VLOOKUP('Données projet'!$B$13,Paramètres!$A$1:$I$89,3,0)*VLOOKUP('Données projet'!$B$13,Paramètres!$A$1:$I$89,5,0)</f>
        <v>28.01569111746802</v>
      </c>
      <c r="CV19" s="13">
        <f t="shared" si="41"/>
        <v>8.7594308671400682</v>
      </c>
      <c r="CW19" s="20">
        <f t="shared" si="13"/>
        <v>64.050004123192423</v>
      </c>
      <c r="CX19" s="59">
        <f t="shared" si="14"/>
        <v>357.38333745652574</v>
      </c>
      <c r="CY19" s="59">
        <f ca="1">AVERAGE(OFFSET($CX$3,0,0,'Données projet'!$E$13+1,1))-AVERAGE(OFFSET($H$3,0,0,'Données projet'!$E$13+1,1))</f>
        <v>178.12968684094687</v>
      </c>
      <c r="CZ19" s="59">
        <f t="shared" si="42"/>
        <v>219.36004077210373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11.2</v>
      </c>
      <c r="DO19" s="12">
        <f>IF('Données projet'!$A$166&gt;35,DO18+DN19-DW18,IF(A19&lt;'Données projet'!$A$166,$DL$205^A19,IF(A19='Données projet'!$A$166,'Données projet'!$B$166,DO18+DN19-DW18)))</f>
        <v>125.19999999999999</v>
      </c>
      <c r="DP19" s="17">
        <f>DO19*VLOOKUP('Données projet'!$B$14,Paramètres!$A$1:$I$89,3,0)*VLOOKUP('Données projet'!$B$14,Paramètres!$A$1:$I$89,5,0)</f>
        <v>113.28095999999998</v>
      </c>
      <c r="DQ19" s="13">
        <f t="shared" si="43"/>
        <v>30.102677097724456</v>
      </c>
      <c r="DR19" s="20">
        <f t="shared" si="16"/>
        <v>249.72650127853672</v>
      </c>
      <c r="DS19" s="59">
        <f t="shared" si="17"/>
        <v>543.05983461186997</v>
      </c>
      <c r="DT19" s="59">
        <f ca="1">AVERAGE(OFFSET($DS$3,0,0,'Données projet'!$E$14+1,1))-AVERAGE(OFFSET($H$3,0,0,'Données projet'!$E$14+1,1))</f>
        <v>225.28075317732998</v>
      </c>
      <c r="DU19" s="59">
        <f t="shared" si="44"/>
        <v>358.43407531256207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5.3451262829669171</v>
      </c>
      <c r="EC19" s="21">
        <f>EXP(-LN(2)/2)*EC18+(1-EXP(-LN(2)/2))/(LN(2)/2)*DW19*DZ19*VLOOKUP('Données projet'!$B$14,Paramètres!$A$1:$I$89,3,0)*0.475*44/12</f>
        <v>5.3807313273351669</v>
      </c>
      <c r="ED19" s="22">
        <f t="shared" si="18"/>
        <v>10.725857610302084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3.6141025641025637</v>
      </c>
      <c r="EJ19" s="12">
        <f>IF('Données projet'!$A$192&gt;35,EJ18+EI19-ER18,IF(A19&lt;'Données projet'!$A$192,$EG$205^A19,IF(A19='Données projet'!$A$192,'Données projet'!$B$192,EJ18+EI19-ER18)))</f>
        <v>12.173017738775622</v>
      </c>
      <c r="EK19" s="17">
        <f>EJ19*VLOOKUP('Données projet'!$B$15,Paramètres!$A$1:$I$89,3,0)*VLOOKUP('Données projet'!$B$15,Paramètres!$A$1:$I$89,5,0)</f>
        <v>12.343439987118481</v>
      </c>
      <c r="EL19" s="13">
        <f t="shared" si="45"/>
        <v>4.2456589028321003</v>
      </c>
      <c r="EM19" s="20">
        <f t="shared" si="19"/>
        <v>28.892680566663927</v>
      </c>
      <c r="EN19" s="59">
        <f t="shared" si="20"/>
        <v>322.22601389999727</v>
      </c>
      <c r="EO19" s="59">
        <f ca="1">AVERAGE(OFFSET($EN$3,0,0,'Données projet'!$E$15+1,1))-AVERAGE(OFFSET($H$3,0,0,'Données projet'!$E$15+1,1))</f>
        <v>363.98308691765931</v>
      </c>
      <c r="EP19" s="59">
        <f t="shared" si="46"/>
        <v>181.47089407988187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3.6141025641025637</v>
      </c>
      <c r="FE19" s="12">
        <f>IF('Données projet'!$A$218&gt;35,FE18+FD19-FM18,IF(A19&lt;'Données projet'!$A$218,$FB$205^A19,IF(A19='Données projet'!$A$218,'Données projet'!$B$218,FE18+FD19-FM18)))</f>
        <v>12.173017738775622</v>
      </c>
      <c r="FF19" s="17">
        <f>FE19*VLOOKUP('Données projet'!$B$16,Paramètres!$A$1:$I$89,3,0)*VLOOKUP('Données projet'!$B$16,Paramètres!$A$1:$I$89,5,0)</f>
        <v>13.103036294018079</v>
      </c>
      <c r="FG19" s="13">
        <f t="shared" si="47"/>
        <v>4.4757097480687005</v>
      </c>
      <c r="FH19" s="20">
        <f t="shared" si="22"/>
        <v>30.616316023301135</v>
      </c>
      <c r="FI19" s="59">
        <f t="shared" si="23"/>
        <v>323.94964935663444</v>
      </c>
      <c r="FJ19" s="59">
        <f ca="1">AVERAGE(OFFSET($FI$3,0,0,'Données projet'!$E$16+1,1))-AVERAGE(OFFSET($H$3,0,0,'Données projet'!$E$16+1,1))</f>
        <v>395.30533160963489</v>
      </c>
      <c r="FK19" s="59">
        <f t="shared" si="48"/>
        <v>196.02102977695085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9.6</v>
      </c>
      <c r="FZ19" s="12">
        <f>IF('Données projet'!$A$244&gt;35,FZ18+FY19-GH18,IF(A19&lt;'Données projet'!$A$244,$FW$205^A19,IF(A19='Données projet'!$A$244,'Données projet'!$B$244,FZ18+FY19-GH18)))</f>
        <v>69.599999999999994</v>
      </c>
      <c r="GA19" s="17">
        <f>FZ19*VLOOKUP('Données projet'!$B$17,Paramètres!$A$1:$I$89,3,0)*VLOOKUP('Données projet'!$B$17,Paramètres!$A$1:$I$89,5,0)</f>
        <v>72.745919999999998</v>
      </c>
      <c r="GB19" s="13">
        <f t="shared" si="49"/>
        <v>20.353831729162501</v>
      </c>
      <c r="GC19" s="20">
        <f t="shared" si="25"/>
        <v>162.1487342616247</v>
      </c>
      <c r="GD19" s="59">
        <f t="shared" si="26"/>
        <v>455.48206759495804</v>
      </c>
      <c r="GE19" s="59">
        <f ca="1">AVERAGE(OFFSET($GD$3,0,0,'Données projet'!$E$17+1,1))-AVERAGE(OFFSET($H$3,0,0,'Données projet'!$E$17+1,1))</f>
        <v>269.41185214595805</v>
      </c>
      <c r="GF19" s="59">
        <f t="shared" si="50"/>
        <v>299.70148160580993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4.75</v>
      </c>
      <c r="GU19" s="12">
        <f>IF('Données projet'!$A$270&gt;35,GU18+GT19-HC18,IF(A19&lt;'Données projet'!$A$270,$GR$205^A19,IF(A19='Données projet'!$A$270,'Données projet'!$B$270,GU18+GT19-HC18)))</f>
        <v>38.21016246244956</v>
      </c>
      <c r="GV19" s="17">
        <f>GU19*VLOOKUP('Données projet'!$B$18,Paramètres!$A$1:$I$89,3,0)*VLOOKUP('Données projet'!$B$18,Paramètres!$A$1:$I$89,5,0)</f>
        <v>33.380397927195943</v>
      </c>
      <c r="GW19" s="13">
        <f t="shared" si="51"/>
        <v>10.22607945364838</v>
      </c>
      <c r="GX19" s="20">
        <f t="shared" si="28"/>
        <v>75.947948104970536</v>
      </c>
      <c r="GY19" s="59">
        <f t="shared" si="29"/>
        <v>369.28128143830384</v>
      </c>
      <c r="GZ19" s="59">
        <f ca="1">AVERAGE(OFFSET($GY$3,0,0,'Données projet'!$E$18+1,1))-AVERAGE(OFFSET($H$3,0,0,'Données projet'!$E$18+1,1))</f>
        <v>226.35975611953359</v>
      </c>
      <c r="HA19" s="59">
        <f t="shared" si="52"/>
        <v>271.65876694892461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3.6141025641025637</v>
      </c>
      <c r="N20" s="13">
        <f>IF('Données projet'!$A$36&gt;35,N19+M20-V19,IF(A20&lt;'Données projet'!$A$36,$K$205^A20,IF(A20='Données projet'!$A$36,'Données projet'!$B$36,N19+M20-V19)))</f>
        <v>14.231007443540239</v>
      </c>
      <c r="O20" s="13">
        <f>N20*VLOOKUP('Données projet'!$B$9,Paramètres!$A$1:$I$89,3,0)*VLOOKUP('Données projet'!$B$9,Paramètres!$A$1:$I$89,5,0)</f>
        <v>12.876215534915207</v>
      </c>
      <c r="P20" s="13">
        <f t="shared" si="33"/>
        <v>4.4071816561985404</v>
      </c>
      <c r="Q20" s="20">
        <f t="shared" si="2"/>
        <v>30.101916774523115</v>
      </c>
      <c r="R20" s="59">
        <f t="shared" si="0"/>
        <v>323.4352501078564</v>
      </c>
      <c r="S20" s="59">
        <f ca="1">AVERAGE(OFFSET($R$3,0,0,'Données projet'!$E$9+1,1))-AVERAGE(OFFSET($H$3,0,0,'Données projet'!$E$9+1,1))</f>
        <v>309.07357540707869</v>
      </c>
      <c r="T20" s="59">
        <f t="shared" si="34"/>
        <v>155.9593924683299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9.6</v>
      </c>
      <c r="AI20" s="13">
        <f>IF('Données projet'!$A$62&gt;35,AI19+AH20-AQ19,IF(A20&lt;'Données projet'!$A$62,$AF$205^A20,IF(A20='Données projet'!$A$62,'Données projet'!$B$62,AI19+AH20-AQ19)))</f>
        <v>79.199999999999989</v>
      </c>
      <c r="AJ20" s="13">
        <f>AI20*VLOOKUP('Données projet'!$B$10,Paramètres!$A$1:$I$89,3,0)*VLOOKUP('Données projet'!$B$10,Paramètres!$A$1:$I$89,5,0)</f>
        <v>69.189120000000003</v>
      </c>
      <c r="AK20" s="13">
        <f t="shared" si="35"/>
        <v>19.471951138068807</v>
      </c>
      <c r="AL20" s="20">
        <f t="shared" si="4"/>
        <v>154.41803223213648</v>
      </c>
      <c r="AM20" s="59">
        <f t="shared" si="5"/>
        <v>447.75136556546977</v>
      </c>
      <c r="AN20" s="59">
        <f ca="1">AVERAGE(OFFSET($AM$3,0,0,'Données projet'!$E$10+1,1))-AVERAGE(OFFSET($H$3,0,0,'Données projet'!$E$10+1,1))</f>
        <v>210.07838338464626</v>
      </c>
      <c r="AO20" s="59">
        <f t="shared" si="36"/>
        <v>241.76003724236273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11.4</v>
      </c>
      <c r="BD20" s="12">
        <f>IF('Données projet'!$A$88&gt;35,BD19+BC20-BL19,IF(A20&lt;'Données projet'!$A$88,$BA$205^A20,IF(A20='Données projet'!$A$88,'Données projet'!$B$88,BD19+BC20-BL19)))</f>
        <v>102.80000000000001</v>
      </c>
      <c r="BE20" s="13">
        <f>BD20*VLOOKUP('Données projet'!$B$11,Paramètres!$A$1:$I$89,3,0)*VLOOKUP('Données projet'!$B$11,Paramètres!$A$1:$I$89,5,0)</f>
        <v>56.128800000000005</v>
      </c>
      <c r="BF20" s="13">
        <f t="shared" si="37"/>
        <v>16.185741500564642</v>
      </c>
      <c r="BG20" s="20">
        <f t="shared" si="7"/>
        <v>125.94782644681675</v>
      </c>
      <c r="BH20" s="59">
        <f t="shared" si="8"/>
        <v>419.28115978015006</v>
      </c>
      <c r="BI20" s="59">
        <f ca="1">AVERAGE(OFFSET($BH$3,0,0,'Données projet'!$E$11+1,1))-AVERAGE(OFFSET($H$3,0,0,'Données projet'!$E$11+1,1))</f>
        <v>168.72306536277267</v>
      </c>
      <c r="BJ20" s="59">
        <f t="shared" si="38"/>
        <v>203.35476578922339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7.2264102564102561</v>
      </c>
      <c r="BY20" s="12">
        <f>IF('Données projet'!$A$114&gt;35,BY19+BX20-CG19,IF(A20&lt;'Données projet'!$A$114,$BV$205^A20,IF(A20='Données projet'!$A$114,'Données projet'!$B$114,BY19+BX20-CG19)))</f>
        <v>21.074544276434004</v>
      </c>
      <c r="BZ20" s="13">
        <f>BY20*VLOOKUP('Données projet'!$B$12,Paramètres!$A$1:$I$89,3,0)*VLOOKUP('Données projet'!$B$12,Paramètres!$A$1:$I$89,5,0)</f>
        <v>9.8628867213711136</v>
      </c>
      <c r="CA20" s="13">
        <f t="shared" si="39"/>
        <v>3.4822026296536168</v>
      </c>
      <c r="CB20" s="20">
        <f t="shared" si="10"/>
        <v>23.24269728636807</v>
      </c>
      <c r="CC20" s="59">
        <f t="shared" si="11"/>
        <v>316.57603061970138</v>
      </c>
      <c r="CD20" s="59">
        <f ca="1">AVERAGE(OFFSET($CC$3,0,0,'Données projet'!$E$12+1,1))-AVERAGE(OFFSET($H$3,0,0,'Données projet'!$E$12+1,1))</f>
        <v>158.58786357608489</v>
      </c>
      <c r="CE20" s="59">
        <f t="shared" si="40"/>
        <v>163.20074068819849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4.75</v>
      </c>
      <c r="CT20" s="12">
        <f>IF('Données projet'!$A$140&gt;35,CT19+CS20-DB19,IF(A20&lt;'Données projet'!$A$140,$CQ$205^A20,IF(A20='Données projet'!$A$140,'Données projet'!$B$140,CT19+CS20-DB19)))</f>
        <v>47.980532602494719</v>
      </c>
      <c r="CU20" s="17">
        <f>CT20*VLOOKUP('Données projet'!$B$13,Paramètres!$A$1:$I$89,3,0)*VLOOKUP('Données projet'!$B$13,Paramètres!$A$1:$I$89,5,0)</f>
        <v>35.179326504149124</v>
      </c>
      <c r="CV20" s="13">
        <f t="shared" si="41"/>
        <v>10.711535173719932</v>
      </c>
      <c r="CW20" s="20">
        <f t="shared" si="13"/>
        <v>79.926584088955266</v>
      </c>
      <c r="CX20" s="59">
        <f t="shared" si="14"/>
        <v>373.25991742228859</v>
      </c>
      <c r="CY20" s="59">
        <f ca="1">AVERAGE(OFFSET($CX$3,0,0,'Données projet'!$E$13+1,1))-AVERAGE(OFFSET($H$3,0,0,'Données projet'!$E$13+1,1))</f>
        <v>178.12968684094687</v>
      </c>
      <c r="CZ20" s="59">
        <f t="shared" si="42"/>
        <v>219.36004077210373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11.2</v>
      </c>
      <c r="DO20" s="12">
        <f>IF('Données projet'!$A$166&gt;35,DO19+DN20-DW19,IF(A20&lt;'Données projet'!$A$166,$DL$205^A20,IF(A20='Données projet'!$A$166,'Données projet'!$B$166,DO19+DN20-DW19)))</f>
        <v>136.39999999999998</v>
      </c>
      <c r="DP20" s="17">
        <f>DO20*VLOOKUP('Données projet'!$B$14,Paramètres!$A$1:$I$89,3,0)*VLOOKUP('Données projet'!$B$14,Paramètres!$A$1:$I$89,5,0)</f>
        <v>123.41471999999997</v>
      </c>
      <c r="DQ20" s="13">
        <f t="shared" si="43"/>
        <v>32.470121424237341</v>
      </c>
      <c r="DR20" s="20">
        <f t="shared" si="16"/>
        <v>271.49943214721333</v>
      </c>
      <c r="DS20" s="59">
        <f t="shared" si="17"/>
        <v>564.83276548054664</v>
      </c>
      <c r="DT20" s="59">
        <f ca="1">AVERAGE(OFFSET($DS$3,0,0,'Données projet'!$E$14+1,1))-AVERAGE(OFFSET($H$3,0,0,'Données projet'!$E$14+1,1))</f>
        <v>225.28075317732998</v>
      </c>
      <c r="DU20" s="59">
        <f t="shared" si="44"/>
        <v>358.43407531256207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5.1989635236712122</v>
      </c>
      <c r="EC20" s="21">
        <f>EXP(-LN(2)/2)*EC19+(1-EXP(-LN(2)/2))/(LN(2)/2)*DW20*DZ20*VLOOKUP('Données projet'!$B$14,Paramètres!$A$1:$I$89,3,0)*0.475*44/12</f>
        <v>3.8047516093015896</v>
      </c>
      <c r="ED20" s="22">
        <f t="shared" si="18"/>
        <v>9.0037151329728022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3.6141025641025637</v>
      </c>
      <c r="EJ20" s="12">
        <f>IF('Données projet'!$A$192&gt;35,EJ19+EI20-ER19,IF(A20&lt;'Données projet'!$A$192,$EG$205^A20,IF(A20='Données projet'!$A$192,'Données projet'!$B$192,EJ19+EI20-ER19)))</f>
        <v>14.231007443540239</v>
      </c>
      <c r="EK20" s="17">
        <f>EJ20*VLOOKUP('Données projet'!$B$15,Paramètres!$A$1:$I$89,3,0)*VLOOKUP('Données projet'!$B$15,Paramètres!$A$1:$I$89,5,0)</f>
        <v>14.430241547749802</v>
      </c>
      <c r="EL20" s="13">
        <f t="shared" si="45"/>
        <v>4.8740077852016022</v>
      </c>
      <c r="EM20" s="20">
        <f t="shared" si="19"/>
        <v>33.621567588223691</v>
      </c>
      <c r="EN20" s="59">
        <f t="shared" si="20"/>
        <v>326.954900921557</v>
      </c>
      <c r="EO20" s="59">
        <f ca="1">AVERAGE(OFFSET($EN$3,0,0,'Données projet'!$E$15+1,1))-AVERAGE(OFFSET($H$3,0,0,'Données projet'!$E$15+1,1))</f>
        <v>363.98308691765931</v>
      </c>
      <c r="EP20" s="59">
        <f t="shared" si="46"/>
        <v>181.47089407988187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3.6141025641025637</v>
      </c>
      <c r="FE20" s="12">
        <f>IF('Données projet'!$A$218&gt;35,FE19+FD20-FM19,IF(A20&lt;'Données projet'!$A$218,$FB$205^A20,IF(A20='Données projet'!$A$218,'Données projet'!$B$218,FE19+FD20-FM19)))</f>
        <v>14.231007443540239</v>
      </c>
      <c r="FF20" s="17">
        <f>FE20*VLOOKUP('Données projet'!$B$16,Paramètres!$A$1:$I$89,3,0)*VLOOKUP('Données projet'!$B$16,Paramètres!$A$1:$I$89,5,0)</f>
        <v>15.318256412226713</v>
      </c>
      <c r="FG20" s="13">
        <f t="shared" si="47"/>
        <v>5.1381056876325903</v>
      </c>
      <c r="FH20" s="20">
        <f t="shared" si="22"/>
        <v>35.628163990588291</v>
      </c>
      <c r="FI20" s="59">
        <f t="shared" si="23"/>
        <v>328.96149732392161</v>
      </c>
      <c r="FJ20" s="59">
        <f ca="1">AVERAGE(OFFSET($FI$3,0,0,'Données projet'!$E$16+1,1))-AVERAGE(OFFSET($H$3,0,0,'Données projet'!$E$16+1,1))</f>
        <v>395.30533160963489</v>
      </c>
      <c r="FK20" s="59">
        <f t="shared" si="48"/>
        <v>196.02102977695085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9.6</v>
      </c>
      <c r="FZ20" s="12">
        <f>IF('Données projet'!$A$244&gt;35,FZ19+FY20-GH19,IF(A20&lt;'Données projet'!$A$244,$FW$205^A20,IF(A20='Données projet'!$A$244,'Données projet'!$B$244,FZ19+FY20-GH19)))</f>
        <v>79.199999999999989</v>
      </c>
      <c r="GA20" s="17">
        <f>FZ20*VLOOKUP('Données projet'!$B$17,Paramètres!$A$1:$I$89,3,0)*VLOOKUP('Données projet'!$B$17,Paramètres!$A$1:$I$89,5,0)</f>
        <v>82.779839999999993</v>
      </c>
      <c r="GB20" s="13">
        <f t="shared" si="49"/>
        <v>22.815512364026784</v>
      </c>
      <c r="GC20" s="20">
        <f t="shared" si="25"/>
        <v>183.91190536734663</v>
      </c>
      <c r="GD20" s="59">
        <f t="shared" si="26"/>
        <v>477.24523870067992</v>
      </c>
      <c r="GE20" s="59">
        <f ca="1">AVERAGE(OFFSET($GD$3,0,0,'Données projet'!$E$17+1,1))-AVERAGE(OFFSET($H$3,0,0,'Données projet'!$E$17+1,1))</f>
        <v>269.41185214595805</v>
      </c>
      <c r="GF20" s="59">
        <f t="shared" si="50"/>
        <v>299.70148160580993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4.75</v>
      </c>
      <c r="GU20" s="12">
        <f>IF('Données projet'!$A$270&gt;35,GU19+GT20-HC19,IF(A20&lt;'Données projet'!$A$270,$GR$205^A20,IF(A20='Données projet'!$A$270,'Données projet'!$B$270,GU19+GT20-HC19)))</f>
        <v>47.980532602494719</v>
      </c>
      <c r="GV20" s="17">
        <f>GU20*VLOOKUP('Données projet'!$B$18,Paramètres!$A$1:$I$89,3,0)*VLOOKUP('Données projet'!$B$18,Paramètres!$A$1:$I$89,5,0)</f>
        <v>41.915793281539393</v>
      </c>
      <c r="GW20" s="13">
        <f t="shared" si="51"/>
        <v>12.50503730418423</v>
      </c>
      <c r="GX20" s="20">
        <f t="shared" si="28"/>
        <v>94.782946603468645</v>
      </c>
      <c r="GY20" s="59">
        <f t="shared" si="29"/>
        <v>388.11627993680196</v>
      </c>
      <c r="GZ20" s="59">
        <f ca="1">AVERAGE(OFFSET($GY$3,0,0,'Données projet'!$E$18+1,1))-AVERAGE(OFFSET($H$3,0,0,'Données projet'!$E$18+1,1))</f>
        <v>226.35975611953359</v>
      </c>
      <c r="HA20" s="59">
        <f t="shared" si="52"/>
        <v>271.65876694892461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3.6141025641025637</v>
      </c>
      <c r="N21" s="13">
        <f>IF('Données projet'!$A$36&gt;35,N20+M21-V20,IF(A21&lt;'Données projet'!$A$36,$K$205^A21,IF(A21='Données projet'!$A$36,'Données projet'!$B$36,N20+M21-V20)))</f>
        <v>16.636924155050774</v>
      </c>
      <c r="O21" s="13">
        <f>N21*VLOOKUP('Données projet'!$B$9,Paramètres!$A$1:$I$89,3,0)*VLOOKUP('Données projet'!$B$9,Paramètres!$A$1:$I$89,5,0)</f>
        <v>15.053088975489938</v>
      </c>
      <c r="P21" s="13">
        <f t="shared" si="33"/>
        <v>5.0594355775449955</v>
      </c>
      <c r="Q21" s="20">
        <f t="shared" si="2"/>
        <v>35.029313596535836</v>
      </c>
      <c r="R21" s="59">
        <f t="shared" si="0"/>
        <v>328.36264692986913</v>
      </c>
      <c r="S21" s="59">
        <f ca="1">AVERAGE(OFFSET($R$3,0,0,'Données projet'!$E$9+1,1))-AVERAGE(OFFSET($H$3,0,0,'Données projet'!$E$9+1,1))</f>
        <v>309.07357540707869</v>
      </c>
      <c r="T21" s="59">
        <f t="shared" si="34"/>
        <v>155.9593924683299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9.6</v>
      </c>
      <c r="AI21" s="13">
        <f>IF('Données projet'!$A$62&gt;35,AI20+AH21-AQ20,IF(A21&lt;'Données projet'!$A$62,$AF$205^A21,IF(A21='Données projet'!$A$62,'Données projet'!$B$62,AI20+AH21-AQ20)))</f>
        <v>88.799999999999983</v>
      </c>
      <c r="AJ21" s="13">
        <f>AI21*VLOOKUP('Données projet'!$B$10,Paramètres!$A$1:$I$89,3,0)*VLOOKUP('Données projet'!$B$10,Paramètres!$A$1:$I$89,5,0)</f>
        <v>77.575679999999991</v>
      </c>
      <c r="AK21" s="13">
        <f t="shared" si="35"/>
        <v>21.543367858551072</v>
      </c>
      <c r="AL21" s="20">
        <f t="shared" si="4"/>
        <v>172.63234168697639</v>
      </c>
      <c r="AM21" s="59">
        <f t="shared" si="5"/>
        <v>465.96567502030973</v>
      </c>
      <c r="AN21" s="59">
        <f ca="1">AVERAGE(OFFSET($AM$3,0,0,'Données projet'!$E$10+1,1))-AVERAGE(OFFSET($H$3,0,0,'Données projet'!$E$10+1,1))</f>
        <v>210.07838338464626</v>
      </c>
      <c r="AO21" s="59">
        <f t="shared" si="36"/>
        <v>241.76003724236273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11.4</v>
      </c>
      <c r="BD21" s="12">
        <f>IF('Données projet'!$A$88&gt;35,BD20+BC21-BL20,IF(A21&lt;'Données projet'!$A$88,$BA$205^A21,IF(A21='Données projet'!$A$88,'Données projet'!$B$88,BD20+BC21-BL20)))</f>
        <v>114.20000000000002</v>
      </c>
      <c r="BE21" s="13">
        <f>BD21*VLOOKUP('Données projet'!$B$11,Paramètres!$A$1:$I$89,3,0)*VLOOKUP('Données projet'!$B$11,Paramètres!$A$1:$I$89,5,0)</f>
        <v>62.353200000000008</v>
      </c>
      <c r="BF21" s="13">
        <f t="shared" si="37"/>
        <v>17.761893159201268</v>
      </c>
      <c r="BG21" s="20">
        <f t="shared" si="7"/>
        <v>139.53378725227557</v>
      </c>
      <c r="BH21" s="59">
        <f t="shared" si="8"/>
        <v>432.86712058560886</v>
      </c>
      <c r="BI21" s="59">
        <f ca="1">AVERAGE(OFFSET($BH$3,0,0,'Données projet'!$E$11+1,1))-AVERAGE(OFFSET($H$3,0,0,'Données projet'!$E$11+1,1))</f>
        <v>168.72306536277267</v>
      </c>
      <c r="BJ21" s="59">
        <f t="shared" si="38"/>
        <v>203.35476578922339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7.2264102564102561</v>
      </c>
      <c r="BY21" s="12">
        <f>IF('Données projet'!$A$114&gt;35,BY20+BX21-CG20,IF(A21&lt;'Données projet'!$A$114,$BV$205^A21,IF(A21='Données projet'!$A$114,'Données projet'!$B$114,BY20+BX21-CG20)))</f>
        <v>25.213104335913162</v>
      </c>
      <c r="BZ21" s="13">
        <f>BY21*VLOOKUP('Données projet'!$B$12,Paramètres!$A$1:$I$89,3,0)*VLOOKUP('Données projet'!$B$12,Paramètres!$A$1:$I$89,5,0)</f>
        <v>11.799732829207361</v>
      </c>
      <c r="CA21" s="13">
        <f t="shared" si="39"/>
        <v>4.079982665155371</v>
      </c>
      <c r="CB21" s="20">
        <f t="shared" si="10"/>
        <v>27.657171152681755</v>
      </c>
      <c r="CC21" s="59">
        <f t="shared" si="11"/>
        <v>320.99050448601508</v>
      </c>
      <c r="CD21" s="59">
        <f ca="1">AVERAGE(OFFSET($CC$3,0,0,'Données projet'!$E$12+1,1))-AVERAGE(OFFSET($H$3,0,0,'Données projet'!$E$12+1,1))</f>
        <v>158.58786357608489</v>
      </c>
      <c r="CE21" s="59">
        <f t="shared" si="40"/>
        <v>163.20074068819849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4.75</v>
      </c>
      <c r="CT21" s="12">
        <f>IF('Données projet'!$A$140&gt;35,CT20+CS21-DB20,IF(A21&lt;'Données projet'!$A$140,$CQ$205^A21,IF(A21='Données projet'!$A$140,'Données projet'!$B$140,CT20+CS21-DB20)))</f>
        <v>60.249194467085609</v>
      </c>
      <c r="CU21" s="17">
        <f>CT21*VLOOKUP('Données projet'!$B$13,Paramètres!$A$1:$I$89,3,0)*VLOOKUP('Données projet'!$B$13,Paramètres!$A$1:$I$89,5,0)</f>
        <v>44.174709383267164</v>
      </c>
      <c r="CV21" s="13">
        <f t="shared" si="41"/>
        <v>13.098680441472636</v>
      </c>
      <c r="CW21" s="20">
        <f t="shared" si="13"/>
        <v>99.75115394475516</v>
      </c>
      <c r="CX21" s="59">
        <f t="shared" si="14"/>
        <v>393.08448727808849</v>
      </c>
      <c r="CY21" s="59">
        <f ca="1">AVERAGE(OFFSET($CX$3,0,0,'Données projet'!$E$13+1,1))-AVERAGE(OFFSET($H$3,0,0,'Données projet'!$E$13+1,1))</f>
        <v>178.12968684094687</v>
      </c>
      <c r="CZ21" s="59">
        <f t="shared" si="42"/>
        <v>219.36004077210373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11.2</v>
      </c>
      <c r="DO21" s="12">
        <f>IF('Données projet'!$A$166&gt;35,DO20+DN21-DW20,IF(A21&lt;'Données projet'!$A$166,$DL$205^A21,IF(A21='Données projet'!$A$166,'Données projet'!$B$166,DO20+DN21-DW20)))</f>
        <v>147.59999999999997</v>
      </c>
      <c r="DP21" s="17">
        <f>DO21*VLOOKUP('Données projet'!$B$14,Paramètres!$A$1:$I$89,3,0)*VLOOKUP('Données projet'!$B$14,Paramètres!$A$1:$I$89,5,0)</f>
        <v>133.54847999999996</v>
      </c>
      <c r="DQ21" s="13">
        <f t="shared" si="43"/>
        <v>34.81501932379426</v>
      </c>
      <c r="DR21" s="20">
        <f t="shared" si="16"/>
        <v>293.23309465560823</v>
      </c>
      <c r="DS21" s="59">
        <f t="shared" si="17"/>
        <v>586.56642798894154</v>
      </c>
      <c r="DT21" s="59">
        <f ca="1">AVERAGE(OFFSET($DS$3,0,0,'Données projet'!$E$14+1,1))-AVERAGE(OFFSET($H$3,0,0,'Données projet'!$E$14+1,1))</f>
        <v>225.28075317732998</v>
      </c>
      <c r="DU21" s="59">
        <f t="shared" si="44"/>
        <v>358.43407531256207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5.0567975927148137</v>
      </c>
      <c r="EC21" s="21">
        <f>EXP(-LN(2)/2)*EC20+(1-EXP(-LN(2)/2))/(LN(2)/2)*DW21*DZ21*VLOOKUP('Données projet'!$B$14,Paramètres!$A$1:$I$89,3,0)*0.475*44/12</f>
        <v>2.6903656636675839</v>
      </c>
      <c r="ED21" s="22">
        <f t="shared" si="18"/>
        <v>7.7471632563823976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3.6141025641025637</v>
      </c>
      <c r="EJ21" s="12">
        <f>IF('Données projet'!$A$192&gt;35,EJ20+EI21-ER20,IF(A21&lt;'Données projet'!$A$192,$EG$205^A21,IF(A21='Données projet'!$A$192,'Données projet'!$B$192,EJ20+EI21-ER20)))</f>
        <v>16.636924155050774</v>
      </c>
      <c r="EK21" s="17">
        <f>EJ21*VLOOKUP('Données projet'!$B$15,Paramètres!$A$1:$I$89,3,0)*VLOOKUP('Données projet'!$B$15,Paramètres!$A$1:$I$89,5,0)</f>
        <v>16.869841093221485</v>
      </c>
      <c r="EL21" s="13">
        <f t="shared" si="45"/>
        <v>5.5953510241624089</v>
      </c>
      <c r="EM21" s="20">
        <f t="shared" si="19"/>
        <v>39.126876271110284</v>
      </c>
      <c r="EN21" s="59">
        <f t="shared" si="20"/>
        <v>332.46020960444361</v>
      </c>
      <c r="EO21" s="59">
        <f ca="1">AVERAGE(OFFSET($EN$3,0,0,'Données projet'!$E$15+1,1))-AVERAGE(OFFSET($H$3,0,0,'Données projet'!$E$15+1,1))</f>
        <v>363.98308691765931</v>
      </c>
      <c r="EP21" s="59">
        <f t="shared" si="46"/>
        <v>181.47089407988187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3.6141025641025637</v>
      </c>
      <c r="FE21" s="12">
        <f>IF('Données projet'!$A$218&gt;35,FE20+FD21-FM20,IF(A21&lt;'Données projet'!$A$218,$FB$205^A21,IF(A21='Données projet'!$A$218,'Données projet'!$B$218,FE20+FD21-FM20)))</f>
        <v>16.636924155050774</v>
      </c>
      <c r="FF21" s="17">
        <f>FE21*VLOOKUP('Données projet'!$B$16,Paramètres!$A$1:$I$89,3,0)*VLOOKUP('Données projet'!$B$16,Paramètres!$A$1:$I$89,5,0)</f>
        <v>17.907985160496654</v>
      </c>
      <c r="FG21" s="13">
        <f t="shared" si="47"/>
        <v>5.8985348790042096</v>
      </c>
      <c r="FH21" s="20">
        <f t="shared" si="22"/>
        <v>41.463022402130669</v>
      </c>
      <c r="FI21" s="59">
        <f t="shared" si="23"/>
        <v>334.79635573546398</v>
      </c>
      <c r="FJ21" s="59">
        <f ca="1">AVERAGE(OFFSET($FI$3,0,0,'Données projet'!$E$16+1,1))-AVERAGE(OFFSET($H$3,0,0,'Données projet'!$E$16+1,1))</f>
        <v>395.30533160963489</v>
      </c>
      <c r="FK21" s="59">
        <f t="shared" si="48"/>
        <v>196.02102977695085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9.6</v>
      </c>
      <c r="FZ21" s="12">
        <f>IF('Données projet'!$A$244&gt;35,FZ20+FY21-GH20,IF(A21&lt;'Données projet'!$A$244,$FW$205^A21,IF(A21='Données projet'!$A$244,'Données projet'!$B$244,FZ20+FY21-GH20)))</f>
        <v>88.799999999999983</v>
      </c>
      <c r="GA21" s="17">
        <f>FZ21*VLOOKUP('Données projet'!$B$17,Paramètres!$A$1:$I$89,3,0)*VLOOKUP('Données projet'!$B$17,Paramètres!$A$1:$I$89,5,0)</f>
        <v>92.813760000000002</v>
      </c>
      <c r="GB21" s="13">
        <f t="shared" si="49"/>
        <v>25.242615506496094</v>
      </c>
      <c r="GC21" s="20">
        <f t="shared" si="25"/>
        <v>205.61485400714739</v>
      </c>
      <c r="GD21" s="59">
        <f t="shared" si="26"/>
        <v>498.94818734048067</v>
      </c>
      <c r="GE21" s="59">
        <f ca="1">AVERAGE(OFFSET($GD$3,0,0,'Données projet'!$E$17+1,1))-AVERAGE(OFFSET($H$3,0,0,'Données projet'!$E$17+1,1))</f>
        <v>269.41185214595805</v>
      </c>
      <c r="GF21" s="59">
        <f t="shared" si="50"/>
        <v>299.70148160580993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4.75</v>
      </c>
      <c r="GU21" s="12">
        <f>IF('Données projet'!$A$270&gt;35,GU20+GT21-HC20,IF(A21&lt;'Données projet'!$A$270,$GR$205^A21,IF(A21='Données projet'!$A$270,'Données projet'!$B$270,GU20+GT21-HC20)))</f>
        <v>60.249194467085609</v>
      </c>
      <c r="GV21" s="17">
        <f>GU21*VLOOKUP('Données projet'!$B$18,Paramètres!$A$1:$I$89,3,0)*VLOOKUP('Données projet'!$B$18,Paramètres!$A$1:$I$89,5,0)</f>
        <v>52.633696286445996</v>
      </c>
      <c r="GW21" s="13">
        <f t="shared" si="51"/>
        <v>15.291877858747567</v>
      </c>
      <c r="GX21" s="20">
        <f t="shared" si="28"/>
        <v>118.30370830287877</v>
      </c>
      <c r="GY21" s="59">
        <f t="shared" si="29"/>
        <v>411.63704163621207</v>
      </c>
      <c r="GZ21" s="59">
        <f ca="1">AVERAGE(OFFSET($GY$3,0,0,'Données projet'!$E$18+1,1))-AVERAGE(OFFSET($H$3,0,0,'Données projet'!$E$18+1,1))</f>
        <v>226.35975611953359</v>
      </c>
      <c r="HA21" s="59">
        <f t="shared" si="52"/>
        <v>271.65876694892461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3.6141025641025637</v>
      </c>
      <c r="N22" s="13">
        <f>IF('Données projet'!$A$36&gt;35,N21+M22-V21,IF(A22&lt;'Données projet'!$A$36,$K$205^A22,IF(A22='Données projet'!$A$36,'Données projet'!$B$36,N21+M22-V21)))</f>
        <v>19.449588965435588</v>
      </c>
      <c r="O22" s="13">
        <f>N22*VLOOKUP('Données projet'!$B$9,Paramètres!$A$1:$I$89,3,0)*VLOOKUP('Données projet'!$B$9,Paramètres!$A$1:$I$89,5,0)</f>
        <v>17.597988095926119</v>
      </c>
      <c r="P22" s="13">
        <f t="shared" si="33"/>
        <v>5.8082217526308648</v>
      </c>
      <c r="Q22" s="20">
        <f t="shared" si="2"/>
        <v>40.765815486236747</v>
      </c>
      <c r="R22" s="59">
        <f t="shared" si="0"/>
        <v>334.09914881957008</v>
      </c>
      <c r="S22" s="59">
        <f ca="1">AVERAGE(OFFSET($R$3,0,0,'Données projet'!$E$9+1,1))-AVERAGE(OFFSET($H$3,0,0,'Données projet'!$E$9+1,1))</f>
        <v>309.07357540707869</v>
      </c>
      <c r="T22" s="59">
        <f t="shared" si="34"/>
        <v>155.9593924683299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9.6</v>
      </c>
      <c r="AI22" s="13">
        <f>IF('Données projet'!$A$62&gt;35,AI21+AH22-AQ21,IF(A22&lt;'Données projet'!$A$62,$AF$205^A22,IF(A22='Données projet'!$A$62,'Données projet'!$B$62,AI21+AH22-AQ21)))</f>
        <v>98.399999999999977</v>
      </c>
      <c r="AJ22" s="13">
        <f>AI22*VLOOKUP('Données projet'!$B$10,Paramètres!$A$1:$I$89,3,0)*VLOOKUP('Données projet'!$B$10,Paramètres!$A$1:$I$89,5,0)</f>
        <v>85.962239999999994</v>
      </c>
      <c r="AK22" s="13">
        <f t="shared" si="35"/>
        <v>23.588828321049387</v>
      </c>
      <c r="AL22" s="20">
        <f t="shared" si="4"/>
        <v>190.80144399249434</v>
      </c>
      <c r="AM22" s="59">
        <f t="shared" si="5"/>
        <v>484.13477732582766</v>
      </c>
      <c r="AN22" s="59">
        <f ca="1">AVERAGE(OFFSET($AM$3,0,0,'Données projet'!$E$10+1,1))-AVERAGE(OFFSET($H$3,0,0,'Données projet'!$E$10+1,1))</f>
        <v>210.07838338464626</v>
      </c>
      <c r="AO22" s="59">
        <f t="shared" si="36"/>
        <v>241.76003724236273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11.4</v>
      </c>
      <c r="BD22" s="12">
        <f>IF('Données projet'!$A$88&gt;35,BD21+BC22-BL21,IF(A22&lt;'Données projet'!$A$88,$BA$205^A22,IF(A22='Données projet'!$A$88,'Données projet'!$B$88,BD21+BC22-BL21)))</f>
        <v>125.60000000000002</v>
      </c>
      <c r="BE22" s="13">
        <f>BD22*VLOOKUP('Données projet'!$B$11,Paramètres!$A$1:$I$89,3,0)*VLOOKUP('Données projet'!$B$11,Paramètres!$A$1:$I$89,5,0)</f>
        <v>68.577600000000018</v>
      </c>
      <c r="BF22" s="13">
        <f t="shared" si="37"/>
        <v>19.319804585752038</v>
      </c>
      <c r="BG22" s="20">
        <f t="shared" si="7"/>
        <v>153.08797965351815</v>
      </c>
      <c r="BH22" s="59">
        <f t="shared" si="8"/>
        <v>446.42131298685149</v>
      </c>
      <c r="BI22" s="59">
        <f ca="1">AVERAGE(OFFSET($BH$3,0,0,'Données projet'!$E$11+1,1))-AVERAGE(OFFSET($H$3,0,0,'Données projet'!$E$11+1,1))</f>
        <v>168.72306536277267</v>
      </c>
      <c r="BJ22" s="59">
        <f t="shared" si="38"/>
        <v>203.35476578922339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7.2264102564102561</v>
      </c>
      <c r="BY22" s="12">
        <f>IF('Données projet'!$A$114&gt;35,BY21+BX22-CG21,IF(A22&lt;'Données projet'!$A$114,$BV$205^A22,IF(A22='Données projet'!$A$114,'Données projet'!$B$114,BY21+BX22-CG21)))</f>
        <v>30.164383244315122</v>
      </c>
      <c r="BZ22" s="13">
        <f>BY22*VLOOKUP('Données projet'!$B$12,Paramètres!$A$1:$I$89,3,0)*VLOOKUP('Données projet'!$B$12,Paramètres!$A$1:$I$89,5,0)</f>
        <v>14.116931358339476</v>
      </c>
      <c r="CA22" s="13">
        <f t="shared" si="39"/>
        <v>4.7803819359082427</v>
      </c>
      <c r="CB22" s="20">
        <f t="shared" si="10"/>
        <v>32.912820654148106</v>
      </c>
      <c r="CC22" s="59">
        <f t="shared" si="11"/>
        <v>326.24615398748142</v>
      </c>
      <c r="CD22" s="59">
        <f ca="1">AVERAGE(OFFSET($CC$3,0,0,'Données projet'!$E$12+1,1))-AVERAGE(OFFSET($H$3,0,0,'Données projet'!$E$12+1,1))</f>
        <v>158.58786357608489</v>
      </c>
      <c r="CE22" s="59">
        <f t="shared" si="40"/>
        <v>163.20074068819849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4.75</v>
      </c>
      <c r="CT22" s="12">
        <f>IF('Données projet'!$A$140&gt;35,CT21+CS22-DB21,IF(A22&lt;'Données projet'!$A$140,$CQ$205^A22,IF(A22='Données projet'!$A$140,'Données projet'!$B$140,CT21+CS22-DB21)))</f>
        <v>75.65496331618381</v>
      </c>
      <c r="CU22" s="17">
        <f>CT22*VLOOKUP('Données projet'!$B$13,Paramètres!$A$1:$I$89,3,0)*VLOOKUP('Données projet'!$B$13,Paramètres!$A$1:$I$89,5,0)</f>
        <v>55.470219103425968</v>
      </c>
      <c r="CV22" s="13">
        <f t="shared" si="41"/>
        <v>16.017818783694715</v>
      </c>
      <c r="CW22" s="20">
        <f t="shared" si="13"/>
        <v>124.50833265340184</v>
      </c>
      <c r="CX22" s="59">
        <f t="shared" si="14"/>
        <v>417.84166598673517</v>
      </c>
      <c r="CY22" s="59">
        <f ca="1">AVERAGE(OFFSET($CX$3,0,0,'Données projet'!$E$13+1,1))-AVERAGE(OFFSET($H$3,0,0,'Données projet'!$E$13+1,1))</f>
        <v>178.12968684094687</v>
      </c>
      <c r="CZ22" s="59">
        <f t="shared" si="42"/>
        <v>219.36004077210373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11.2</v>
      </c>
      <c r="DO22" s="12">
        <f>IF('Données projet'!$A$166&gt;35,DO21+DN22-DW21,IF(A22&lt;'Données projet'!$A$166,$DL$205^A22,IF(A22='Données projet'!$A$166,'Données projet'!$B$166,DO21+DN22-DW21)))</f>
        <v>158.79999999999995</v>
      </c>
      <c r="DP22" s="17">
        <f>DO22*VLOOKUP('Données projet'!$B$14,Paramètres!$A$1:$I$89,3,0)*VLOOKUP('Données projet'!$B$14,Paramètres!$A$1:$I$89,5,0)</f>
        <v>143.68223999999995</v>
      </c>
      <c r="DQ22" s="13">
        <f t="shared" si="43"/>
        <v>37.139276165277678</v>
      </c>
      <c r="DR22" s="20">
        <f t="shared" si="16"/>
        <v>314.93080732119182</v>
      </c>
      <c r="DS22" s="59">
        <f t="shared" si="17"/>
        <v>608.26414065452514</v>
      </c>
      <c r="DT22" s="59">
        <f ca="1">AVERAGE(OFFSET($DS$3,0,0,'Données projet'!$E$14+1,1))-AVERAGE(OFFSET($H$3,0,0,'Données projet'!$E$14+1,1))</f>
        <v>225.28075317732998</v>
      </c>
      <c r="DU22" s="59">
        <f t="shared" si="44"/>
        <v>358.43407531256207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4.9185191966165993</v>
      </c>
      <c r="EC22" s="21">
        <f>EXP(-LN(2)/2)*EC21+(1-EXP(-LN(2)/2))/(LN(2)/2)*DW22*DZ22*VLOOKUP('Données projet'!$B$14,Paramètres!$A$1:$I$89,3,0)*0.475*44/12</f>
        <v>1.902375804650795</v>
      </c>
      <c r="ED22" s="22">
        <f t="shared" si="18"/>
        <v>6.8208950012673943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3.6141025641025637</v>
      </c>
      <c r="EJ22" s="12">
        <f>IF('Données projet'!$A$192&gt;35,EJ21+EI22-ER21,IF(A22&lt;'Données projet'!$A$192,$EG$205^A22,IF(A22='Données projet'!$A$192,'Données projet'!$B$192,EJ21+EI22-ER21)))</f>
        <v>19.449588965435588</v>
      </c>
      <c r="EK22" s="17">
        <f>EJ22*VLOOKUP('Données projet'!$B$15,Paramètres!$A$1:$I$89,3,0)*VLOOKUP('Données projet'!$B$15,Paramètres!$A$1:$I$89,5,0)</f>
        <v>19.721883210951685</v>
      </c>
      <c r="EL22" s="13">
        <f t="shared" si="45"/>
        <v>6.4234515953487206</v>
      </c>
      <c r="EM22" s="20">
        <f t="shared" si="19"/>
        <v>45.536458120973201</v>
      </c>
      <c r="EN22" s="59">
        <f t="shared" si="20"/>
        <v>338.86979145430649</v>
      </c>
      <c r="EO22" s="59">
        <f ca="1">AVERAGE(OFFSET($EN$3,0,0,'Données projet'!$E$15+1,1))-AVERAGE(OFFSET($H$3,0,0,'Données projet'!$E$15+1,1))</f>
        <v>363.98308691765931</v>
      </c>
      <c r="EP22" s="59">
        <f t="shared" si="46"/>
        <v>181.47089407988187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3.6141025641025637</v>
      </c>
      <c r="FE22" s="12">
        <f>IF('Données projet'!$A$218&gt;35,FE21+FD22-FM21,IF(A22&lt;'Données projet'!$A$218,$FB$205^A22,IF(A22='Données projet'!$A$218,'Données projet'!$B$218,FE21+FD22-FM21)))</f>
        <v>19.449588965435588</v>
      </c>
      <c r="FF22" s="17">
        <f>FE22*VLOOKUP('Données projet'!$B$16,Paramètres!$A$1:$I$89,3,0)*VLOOKUP('Données projet'!$B$16,Paramètres!$A$1:$I$89,5,0)</f>
        <v>20.935537562394867</v>
      </c>
      <c r="FG22" s="13">
        <f t="shared" si="47"/>
        <v>6.7715060440611801</v>
      </c>
      <c r="FH22" s="20">
        <f t="shared" si="22"/>
        <v>48.256434281244275</v>
      </c>
      <c r="FI22" s="59">
        <f t="shared" si="23"/>
        <v>341.58976761457757</v>
      </c>
      <c r="FJ22" s="59">
        <f ca="1">AVERAGE(OFFSET($FI$3,0,0,'Données projet'!$E$16+1,1))-AVERAGE(OFFSET($H$3,0,0,'Données projet'!$E$16+1,1))</f>
        <v>395.30533160963489</v>
      </c>
      <c r="FK22" s="59">
        <f t="shared" si="48"/>
        <v>196.02102977695085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9.6</v>
      </c>
      <c r="FZ22" s="12">
        <f>IF('Données projet'!$A$244&gt;35,FZ21+FY22-GH21,IF(A22&lt;'Données projet'!$A$244,$FW$205^A22,IF(A22='Données projet'!$A$244,'Données projet'!$B$244,FZ21+FY22-GH21)))</f>
        <v>98.399999999999977</v>
      </c>
      <c r="GA22" s="17">
        <f>FZ22*VLOOKUP('Données projet'!$B$17,Paramètres!$A$1:$I$89,3,0)*VLOOKUP('Données projet'!$B$17,Paramètres!$A$1:$I$89,5,0)</f>
        <v>102.84767999999998</v>
      </c>
      <c r="GB22" s="13">
        <f t="shared" si="49"/>
        <v>27.639305398605529</v>
      </c>
      <c r="GC22" s="20">
        <f t="shared" si="25"/>
        <v>227.26483290257124</v>
      </c>
      <c r="GD22" s="59">
        <f t="shared" si="26"/>
        <v>520.5981662359045</v>
      </c>
      <c r="GE22" s="59">
        <f ca="1">AVERAGE(OFFSET($GD$3,0,0,'Données projet'!$E$17+1,1))-AVERAGE(OFFSET($H$3,0,0,'Données projet'!$E$17+1,1))</f>
        <v>269.41185214595805</v>
      </c>
      <c r="GF22" s="59">
        <f t="shared" si="50"/>
        <v>299.70148160580993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4.75</v>
      </c>
      <c r="GU22" s="12">
        <f>IF('Données projet'!$A$270&gt;35,GU21+GT22-HC21,IF(A22&lt;'Données projet'!$A$270,$GR$205^A22,IF(A22='Données projet'!$A$270,'Données projet'!$B$270,GU21+GT22-HC21)))</f>
        <v>75.65496331618381</v>
      </c>
      <c r="GV22" s="17">
        <f>GU22*VLOOKUP('Données projet'!$B$18,Paramètres!$A$1:$I$89,3,0)*VLOOKUP('Données projet'!$B$18,Paramètres!$A$1:$I$89,5,0)</f>
        <v>66.092175953018184</v>
      </c>
      <c r="GW22" s="13">
        <f t="shared" si="51"/>
        <v>18.699786554703834</v>
      </c>
      <c r="GX22" s="20">
        <f t="shared" si="28"/>
        <v>147.67933470094917</v>
      </c>
      <c r="GY22" s="59">
        <f t="shared" si="29"/>
        <v>441.01266803428246</v>
      </c>
      <c r="GZ22" s="59">
        <f ca="1">AVERAGE(OFFSET($GY$3,0,0,'Données projet'!$E$18+1,1))-AVERAGE(OFFSET($H$3,0,0,'Données projet'!$E$18+1,1))</f>
        <v>226.35975611953359</v>
      </c>
      <c r="HA22" s="59">
        <f t="shared" si="52"/>
        <v>271.65876694892461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3.6141025641025637</v>
      </c>
      <c r="N23" s="13">
        <f>IF('Données projet'!$A$36&gt;35,N22+M23-V22,IF(A23&lt;'Données projet'!$A$36,$K$205^A23,IF(A23='Données projet'!$A$36,'Données projet'!$B$36,N22+M23-V22)))</f>
        <v>22.73776735404245</v>
      </c>
      <c r="O23" s="13">
        <f>N23*VLOOKUP('Données projet'!$B$9,Paramètres!$A$1:$I$89,3,0)*VLOOKUP('Données projet'!$B$9,Paramètres!$A$1:$I$89,5,0)</f>
        <v>20.573131901937611</v>
      </c>
      <c r="P23" s="13">
        <f t="shared" si="33"/>
        <v>6.6678267586725299</v>
      </c>
      <c r="Q23" s="20">
        <f t="shared" si="2"/>
        <v>47.444669667229327</v>
      </c>
      <c r="R23" s="59">
        <f t="shared" si="0"/>
        <v>340.77800300056265</v>
      </c>
      <c r="S23" s="59">
        <f ca="1">AVERAGE(OFFSET($R$3,0,0,'Données projet'!$E$9+1,1))-AVERAGE(OFFSET($H$3,0,0,'Données projet'!$E$9+1,1))</f>
        <v>309.07357540707869</v>
      </c>
      <c r="T23" s="59">
        <f t="shared" si="34"/>
        <v>155.9593924683299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108</v>
      </c>
      <c r="AG23" s="12">
        <f>VLOOKUP(A23,'Données projet'!$A$61:$I$81,9,0)</f>
        <v>9.6</v>
      </c>
      <c r="AH23" s="12">
        <f t="array" ref="AH23">INDEX(AG:AG,MIN(IF(ISNUMBER(AG23:AG219),ROW(AG23:AG219),"")))</f>
        <v>9.6</v>
      </c>
      <c r="AI23" s="13">
        <f>IF('Données projet'!$A$62&gt;35,AI22+AH23-AQ22,IF(A23&lt;'Données projet'!$A$62,$AF$205^A23,IF(A23='Données projet'!$A$62,'Données projet'!$B$62,AI22+AH23-AQ22)))</f>
        <v>107.99999999999997</v>
      </c>
      <c r="AJ23" s="13">
        <f>AI23*VLOOKUP('Données projet'!$B$10,Paramètres!$A$1:$I$89,3,0)*VLOOKUP('Données projet'!$B$10,Paramètres!$A$1:$I$89,5,0)</f>
        <v>94.348799999999983</v>
      </c>
      <c r="AK23" s="13">
        <f t="shared" si="35"/>
        <v>25.611153022386461</v>
      </c>
      <c r="AL23" s="20">
        <f t="shared" si="4"/>
        <v>208.9302515139897</v>
      </c>
      <c r="AM23" s="59">
        <f t="shared" si="5"/>
        <v>502.26358484732305</v>
      </c>
      <c r="AN23" s="59">
        <f ca="1">AVERAGE(OFFSET($AM$3,0,0,'Données projet'!$E$10+1,1))-AVERAGE(OFFSET($H$3,0,0,'Données projet'!$E$10+1,1))</f>
        <v>210.07838338464626</v>
      </c>
      <c r="AO23" s="59">
        <f t="shared" si="36"/>
        <v>241.76003724236273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41</v>
      </c>
      <c r="AR23" s="16">
        <f>IF(ISNA(VLOOKUP(A23,'Données projet'!$A$61:$I$81,5,0)),0%,VLOOKUP(A23,'Données projet'!$A$61:$I$81,5,0)*VLOOKUP('Données projet'!$B$10,Paramètres!$A$1:$I$89,7,0))</f>
        <v>4.3000000000000003E-2</v>
      </c>
      <c r="AS23" s="16">
        <f>IF(ISNA(VLOOKUP(A23,'Données projet'!$A$61:$I$81,6,0)),0%,VLOOKUP(A23,'Données projet'!$A$61:$I$81,6,0)*VLOOKUP('Données projet'!$B$10,Paramètres!$A$1:$I$89,7,0))</f>
        <v>0.19350000000000001</v>
      </c>
      <c r="AT23" s="16">
        <f>IF(ISNA(VLOOKUP(A23,'Données projet'!$A$61:$I$81,7,0)),0%,VLOOKUP(A23,'Données projet'!$A$61:$I$81,7,0))</f>
        <v>0.45</v>
      </c>
      <c r="AU23" s="21">
        <f>EXP(-LN(2)/35)*AU22+(1-EXP(-LN(2)/35))/(LN(2)/35)*AQ23*AR23*VLOOKUP('Données projet'!$B$10,Paramètres!$A$1:$I$89,3,0)*0.475*44/12</f>
        <v>1.7025977222362545</v>
      </c>
      <c r="AV23" s="21">
        <f>EXP(-LN(2)/25)*AV22+(1-EXP(-LN(2)/25))/(LN(2)/25)*Calculateur!AQ23*Calculateur!AS23*VLOOKUP('Données projet'!$B$10,Paramètres!$A$1:$I$89,3,0)*0.475*44/12</f>
        <v>7.63152275818448</v>
      </c>
      <c r="AW23" s="21">
        <f>EXP(-LN(2)/2)*AW22+(1-EXP(-LN(2)/2))/(LN(2)/2)*AQ23*AT23*VLOOKUP('Données projet'!$B$10,Paramètres!$A$1:$I$89,3,0)*0.475*44/12</f>
        <v>15.20769132745648</v>
      </c>
      <c r="AX23" s="21">
        <f t="shared" si="6"/>
        <v>24.541811807877217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137</v>
      </c>
      <c r="BB23" s="12">
        <f>VLOOKUP(A23,'Données projet'!$A$87:$I$107,9,0)</f>
        <v>11.4</v>
      </c>
      <c r="BC23" s="12">
        <f t="array" ref="BC23">INDEX(BB:BB,MIN(IF(ISNUMBER(BB23:BB219),ROW(BB23:BB219),"")))</f>
        <v>11.4</v>
      </c>
      <c r="BD23" s="12">
        <f>IF('Données projet'!$A$88&gt;35,BD22+BC23-BL22,IF(A23&lt;'Données projet'!$A$88,$BA$205^A23,IF(A23='Données projet'!$A$88,'Données projet'!$B$88,BD22+BC23-BL22)))</f>
        <v>137.00000000000003</v>
      </c>
      <c r="BE23" s="13">
        <f>BD23*VLOOKUP('Données projet'!$B$11,Paramètres!$A$1:$I$89,3,0)*VLOOKUP('Données projet'!$B$11,Paramètres!$A$1:$I$89,5,0)</f>
        <v>74.802000000000021</v>
      </c>
      <c r="BF23" s="13">
        <f t="shared" si="37"/>
        <v>20.861319623408168</v>
      </c>
      <c r="BG23" s="20">
        <f t="shared" si="7"/>
        <v>166.61361501076925</v>
      </c>
      <c r="BH23" s="59">
        <f t="shared" si="8"/>
        <v>459.94694834410257</v>
      </c>
      <c r="BI23" s="59">
        <f ca="1">AVERAGE(OFFSET($BH$3,0,0,'Données projet'!$E$11+1,1))-AVERAGE(OFFSET($H$3,0,0,'Données projet'!$E$11+1,1))</f>
        <v>168.72306536277267</v>
      </c>
      <c r="BJ23" s="59">
        <f t="shared" si="38"/>
        <v>203.35476578922339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12.336834861500714</v>
      </c>
      <c r="BR23" s="21">
        <f>EXP(-LN(2)/2)*BR22+(1-EXP(-LN(2)/2))/(LN(2)/2)*BL23*BO23*VLOOKUP('Données projet'!$B$11,Paramètres!$A$1:$I$89,3,0)*0.475*44/12</f>
        <v>17.618666781809335</v>
      </c>
      <c r="BS23" s="22">
        <f t="shared" si="9"/>
        <v>29.95550164331005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7.2264102564102561</v>
      </c>
      <c r="BY23" s="12">
        <f>IF('Données projet'!$A$114&gt;35,BY22+BX23-CG22,IF(A23&lt;'Données projet'!$A$114,$BV$205^A23,IF(A23='Données projet'!$A$114,'Données projet'!$B$114,BY22+BX23-CG22)))</f>
        <v>36.0879804560157</v>
      </c>
      <c r="BZ23" s="13">
        <f>BY23*VLOOKUP('Données projet'!$B$12,Paramètres!$A$1:$I$89,3,0)*VLOOKUP('Données projet'!$B$12,Paramètres!$A$1:$I$89,5,0)</f>
        <v>16.889174853415348</v>
      </c>
      <c r="CA23" s="13">
        <f t="shared" si="39"/>
        <v>5.6010168004690764</v>
      </c>
      <c r="CB23" s="20">
        <f t="shared" si="10"/>
        <v>39.170417130515368</v>
      </c>
      <c r="CC23" s="59">
        <f t="shared" si="11"/>
        <v>332.50375046384869</v>
      </c>
      <c r="CD23" s="59">
        <f ca="1">AVERAGE(OFFSET($CC$3,0,0,'Données projet'!$E$12+1,1))-AVERAGE(OFFSET($H$3,0,0,'Données projet'!$E$12+1,1))</f>
        <v>158.58786357608489</v>
      </c>
      <c r="CE23" s="59">
        <f t="shared" si="40"/>
        <v>163.20074068819849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95</v>
      </c>
      <c r="CR23" s="12">
        <f>VLOOKUP(A23,'Données projet'!$A$139:$I$159,9,0)</f>
        <v>4.75</v>
      </c>
      <c r="CS23" s="12">
        <f t="array" ref="CS23">INDEX(CR:CR,MIN(IF(ISNUMBER(CR23:CR219),ROW(CR23:CR219),"")))</f>
        <v>4.75</v>
      </c>
      <c r="CT23" s="12">
        <f>IF('Données projet'!$A$140&gt;35,CT22+CS23-DB22,IF(A23&lt;'Données projet'!$A$140,$CQ$205^A23,IF(A23='Données projet'!$A$140,'Données projet'!$B$140,CT22+CS23-DB22)))</f>
        <v>95</v>
      </c>
      <c r="CU23" s="17">
        <f>CT23*VLOOKUP('Données projet'!$B$13,Paramètres!$A$1:$I$89,3,0)*VLOOKUP('Données projet'!$B$13,Paramètres!$A$1:$I$89,5,0)</f>
        <v>69.653999999999996</v>
      </c>
      <c r="CV23" s="13">
        <f t="shared" si="41"/>
        <v>19.587508813096782</v>
      </c>
      <c r="CW23" s="20">
        <f t="shared" si="13"/>
        <v>155.42896118281021</v>
      </c>
      <c r="CX23" s="59">
        <f t="shared" si="14"/>
        <v>448.76229451614353</v>
      </c>
      <c r="CY23" s="59">
        <f ca="1">AVERAGE(OFFSET($CX$3,0,0,'Données projet'!$E$13+1,1))-AVERAGE(OFFSET($H$3,0,0,'Données projet'!$E$13+1,1))</f>
        <v>178.12968684094687</v>
      </c>
      <c r="CZ23" s="59">
        <f t="shared" si="42"/>
        <v>219.36004077210373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3.7319269004768749</v>
      </c>
      <c r="DH23" s="21">
        <f>EXP(-LN(2)/2)*DH22+(1-EXP(-LN(2)/2))/(LN(2)/2)*DB23*DE23*VLOOKUP('Données projet'!$B$13,Paramètres!$A$1:$I$89,3,0)*0.475*44/12</f>
        <v>7.4367847882282083</v>
      </c>
      <c r="DI23" s="22">
        <f t="shared" si="15"/>
        <v>11.168711688705084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170</v>
      </c>
      <c r="DM23" s="12">
        <f>VLOOKUP(A23,'Données projet'!$A$165:$I$185,9,0)</f>
        <v>11.2</v>
      </c>
      <c r="DN23" s="12">
        <f t="array" ref="DN23">INDEX(DM:DM,MIN(IF(ISNUMBER(DM23:DM219),ROW(DM23:DM219),"")))</f>
        <v>11.2</v>
      </c>
      <c r="DO23" s="12">
        <f>IF('Données projet'!$A$166&gt;35,DO22+DN23-DW22,IF(A23&lt;'Données projet'!$A$166,$DL$205^A23,IF(A23='Données projet'!$A$166,'Données projet'!$B$166,DO22+DN23-DW22)))</f>
        <v>169.99999999999994</v>
      </c>
      <c r="DP23" s="17">
        <f>DO23*VLOOKUP('Données projet'!$B$14,Paramètres!$A$1:$I$89,3,0)*VLOOKUP('Données projet'!$B$14,Paramètres!$A$1:$I$89,5,0)</f>
        <v>153.81599999999995</v>
      </c>
      <c r="DQ23" s="13">
        <f t="shared" si="43"/>
        <v>39.444513325737027</v>
      </c>
      <c r="DR23" s="20">
        <f t="shared" si="16"/>
        <v>336.59539404232521</v>
      </c>
      <c r="DS23" s="59">
        <f t="shared" si="17"/>
        <v>629.92872737565858</v>
      </c>
      <c r="DT23" s="59">
        <f ca="1">AVERAGE(OFFSET($DS$3,0,0,'Données projet'!$E$14+1,1))-AVERAGE(OFFSET($H$3,0,0,'Données projet'!$E$14+1,1))</f>
        <v>225.28075317732998</v>
      </c>
      <c r="DU23" s="59">
        <f t="shared" si="44"/>
        <v>358.43407531256207</v>
      </c>
      <c r="DV23" s="15">
        <f>IF(ISNA(VLOOKUP(A23,'Données projet'!$A$165:$I$185,3,0)),0,VLOOKUP(A23,'Données projet'!$A$165:$I$185,3,0))</f>
        <v>4</v>
      </c>
      <c r="DW23" s="15">
        <f>IF(ISNA(VLOOKUP(A23,'Données projet'!$A$165:$I$185,4,0)),0,VLOOKUP(A23,'Données projet'!$A$165:$I$185,4,0))</f>
        <v>20</v>
      </c>
      <c r="DX23" s="16">
        <f>IF(ISNA(VLOOKUP(A23,'Données projet'!$A$165:$I$185,5,0)),0%,VLOOKUP(A23,'Données projet'!$A$165:$I$185,5,0)*VLOOKUP('Données projet'!$B$14,Paramètres!$A$1:$I$89,7,0))</f>
        <v>0.03</v>
      </c>
      <c r="DY23" s="16">
        <f>IF(ISNA(VLOOKUP(A23,'Données projet'!$A$165:$I$185,6,0)),0%,VLOOKUP(A23,'Données projet'!$A$165:$I$185,6,0)*VLOOKUP('Données projet'!$B$14,Paramètres!$A$1:$I$89,7,0))</f>
        <v>0.13500000000000001</v>
      </c>
      <c r="DZ23" s="16">
        <f>IF(ISNA(VLOOKUP(A23,'Données projet'!$A$165:$I$185,7,0)),0%,VLOOKUP(A23,'Données projet'!$A$165:$I$185,7,0))</f>
        <v>0.45</v>
      </c>
      <c r="EA23" s="21">
        <f>EXP(-LN(2)/35)*EA22+(1-EXP(-LN(2)/35))/(LN(2)/35)*DW23*DX23*VLOOKUP('Données projet'!$B$14,Paramètres!$A$1:$I$89,3,0)*0.475*44/12</f>
        <v>0.60013775964084792</v>
      </c>
      <c r="EB23" s="21">
        <f>EXP(-LN(2)/25)*EB22+(1-EXP(-LN(2)/25))/(LN(2)/25)*Calculateur!DW23*Calculateur!DY23*VLOOKUP('Données projet'!$B$14,Paramètres!$A$1:$I$89,3,0)*0.475*44/12</f>
        <v>7.4740085792797117</v>
      </c>
      <c r="EC23" s="21">
        <f>EXP(-LN(2)/2)*EC22+(1-EXP(-LN(2)/2))/(LN(2)/2)*DW23*DZ23*VLOOKUP('Données projet'!$B$14,Paramètres!$A$1:$I$89,3,0)*0.475*44/12</f>
        <v>9.0285112028483887</v>
      </c>
      <c r="ED23" s="22">
        <f t="shared" si="18"/>
        <v>17.102657541768949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3.6141025641025637</v>
      </c>
      <c r="EJ23" s="12">
        <f>IF('Données projet'!$A$192&gt;35,EJ22+EI23-ER22,IF(A23&lt;'Données projet'!$A$192,$EG$205^A23,IF(A23='Données projet'!$A$192,'Données projet'!$B$192,EJ22+EI23-ER22)))</f>
        <v>22.73776735404245</v>
      </c>
      <c r="EK23" s="17">
        <f>EJ23*VLOOKUP('Données projet'!$B$15,Paramètres!$A$1:$I$89,3,0)*VLOOKUP('Données projet'!$B$15,Paramètres!$A$1:$I$89,5,0)</f>
        <v>23.056096096999045</v>
      </c>
      <c r="EL23" s="13">
        <f t="shared" si="45"/>
        <v>7.3741093667960733</v>
      </c>
      <c r="EM23" s="20">
        <f t="shared" si="19"/>
        <v>52.999274516109828</v>
      </c>
      <c r="EN23" s="59">
        <f t="shared" si="20"/>
        <v>346.33260784944315</v>
      </c>
      <c r="EO23" s="59">
        <f ca="1">AVERAGE(OFFSET($EN$3,0,0,'Données projet'!$E$15+1,1))-AVERAGE(OFFSET($H$3,0,0,'Données projet'!$E$15+1,1))</f>
        <v>363.98308691765931</v>
      </c>
      <c r="EP23" s="59">
        <f t="shared" si="46"/>
        <v>181.47089407988187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3.6141025641025637</v>
      </c>
      <c r="FE23" s="12">
        <f>IF('Données projet'!$A$218&gt;35,FE22+FD23-FM22,IF(A23&lt;'Données projet'!$A$218,$FB$205^A23,IF(A23='Données projet'!$A$218,'Données projet'!$B$218,FE22+FD23-FM22)))</f>
        <v>22.73776735404245</v>
      </c>
      <c r="FF23" s="17">
        <f>FE23*VLOOKUP('Données projet'!$B$16,Paramètres!$A$1:$I$89,3,0)*VLOOKUP('Données projet'!$B$16,Paramètres!$A$1:$I$89,5,0)</f>
        <v>24.47493277989129</v>
      </c>
      <c r="FG23" s="13">
        <f t="shared" si="47"/>
        <v>7.773675166009701</v>
      </c>
      <c r="FH23" s="20">
        <f t="shared" si="22"/>
        <v>56.166325505777564</v>
      </c>
      <c r="FI23" s="59">
        <f t="shared" si="23"/>
        <v>349.49965883911091</v>
      </c>
      <c r="FJ23" s="59">
        <f ca="1">AVERAGE(OFFSET($FI$3,0,0,'Données projet'!$E$16+1,1))-AVERAGE(OFFSET($H$3,0,0,'Données projet'!$E$16+1,1))</f>
        <v>395.30533160963489</v>
      </c>
      <c r="FK23" s="59">
        <f t="shared" si="48"/>
        <v>196.02102977695085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108</v>
      </c>
      <c r="FX23" s="12">
        <f>VLOOKUP(A23,'Données projet'!$A$243:$I$263,9,0)</f>
        <v>9.6</v>
      </c>
      <c r="FY23" s="12">
        <f t="array" ref="FY23">INDEX(FX:FX,MIN(IF(ISNUMBER(FX23:FX219),ROW(FX23:FX219),"")))</f>
        <v>9.6</v>
      </c>
      <c r="FZ23" s="12">
        <f>IF('Données projet'!$A$244&gt;35,FZ22+FY23-GH22,IF(A23&lt;'Données projet'!$A$244,$FW$205^A23,IF(A23='Données projet'!$A$244,'Données projet'!$B$244,FZ22+FY23-GH22)))</f>
        <v>107.99999999999997</v>
      </c>
      <c r="GA23" s="17">
        <f>FZ23*VLOOKUP('Données projet'!$B$17,Paramètres!$A$1:$I$89,3,0)*VLOOKUP('Données projet'!$B$17,Paramètres!$A$1:$I$89,5,0)</f>
        <v>112.88159999999998</v>
      </c>
      <c r="GB23" s="13">
        <f t="shared" si="49"/>
        <v>30.008886849394283</v>
      </c>
      <c r="GC23" s="20">
        <f t="shared" si="25"/>
        <v>248.86759792936166</v>
      </c>
      <c r="GD23" s="59">
        <f t="shared" si="26"/>
        <v>542.20093126269501</v>
      </c>
      <c r="GE23" s="59">
        <f ca="1">AVERAGE(OFFSET($GD$3,0,0,'Données projet'!$E$17+1,1))-AVERAGE(OFFSET($H$3,0,0,'Données projet'!$E$17+1,1))</f>
        <v>269.41185214595805</v>
      </c>
      <c r="GF23" s="59">
        <f t="shared" si="50"/>
        <v>299.70148160580993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41</v>
      </c>
      <c r="GI23" s="16">
        <f>IF(ISNA(VLOOKUP(A23,'Données projet'!$A$243:$I$263,5,0)),0%,VLOOKUP(A23,'Données projet'!$A$243:$I$263,5,0)*VLOOKUP('Données projet'!$B$17,Paramètres!$A$1:$I$89,7,0))</f>
        <v>4.3000000000000003E-2</v>
      </c>
      <c r="GJ23" s="16">
        <f>IF(ISNA(VLOOKUP(A23,'Données projet'!$A$243:$I$263,6,0)),0%,VLOOKUP(A23,'Données projet'!$A$243:$I$263,6,0)*VLOOKUP('Données projet'!$B$17,Paramètres!$A$1:$I$89,7,0))</f>
        <v>0.19350000000000001</v>
      </c>
      <c r="GK23" s="16">
        <f>IF(ISNA(VLOOKUP(A23,'Données projet'!$A$243:$I$263,7,0)),0%,VLOOKUP(A23,'Données projet'!$A$243:$I$263,7,0))</f>
        <v>0.45</v>
      </c>
      <c r="GL23" s="21">
        <f>EXP(-LN(2)/35)*GL22+(1-EXP(-LN(2)/35))/(LN(2)/35)*GH23*GI23*VLOOKUP('Données projet'!$B$17,Paramètres!$A$1:$I$89,3,0)*0.475*44/12</f>
        <v>2.0370365605326612</v>
      </c>
      <c r="GM23" s="21">
        <f>EXP(-LN(2)/25)*GM22+(1-EXP(-LN(2)/25))/(LN(2)/25)*Calculateur!GH23*Calculateur!GJ23*VLOOKUP('Données projet'!$B$17,Paramètres!$A$1:$I$89,3,0)*0.475*44/12</f>
        <v>9.1305718713992885</v>
      </c>
      <c r="GN23" s="21">
        <f>EXP(-LN(2)/2)*GN22+(1-EXP(-LN(2)/2))/(LN(2)/2)*GH23*GK23*VLOOKUP('Données projet'!$B$17,Paramètres!$A$1:$I$89,3,0)*0.475*44/12</f>
        <v>18.194916409635429</v>
      </c>
      <c r="GO23" s="21">
        <f t="shared" si="27"/>
        <v>29.362524841567378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95</v>
      </c>
      <c r="GS23" s="12">
        <f>VLOOKUP(A23,'Données projet'!$A$269:$I$289,9,0)</f>
        <v>4.75</v>
      </c>
      <c r="GT23" s="12">
        <f t="array" ref="GT23">INDEX(GS:GS,MIN(IF(ISNUMBER(GS23:GS219),ROW(GS23:GS219),"")))</f>
        <v>4.75</v>
      </c>
      <c r="GU23" s="12">
        <f>IF('Données projet'!$A$270&gt;35,GU22+GT23-HC22,IF(A23&lt;'Données projet'!$A$270,$GR$205^A23,IF(A23='Données projet'!$A$270,'Données projet'!$B$270,GU22+GT23-HC22)))</f>
        <v>95</v>
      </c>
      <c r="GV23" s="17">
        <f>GU23*VLOOKUP('Données projet'!$B$18,Paramètres!$A$1:$I$89,3,0)*VLOOKUP('Données projet'!$B$18,Paramètres!$A$1:$I$89,5,0)</f>
        <v>82.992000000000004</v>
      </c>
      <c r="GW23" s="13">
        <f t="shared" si="51"/>
        <v>22.867173045817324</v>
      </c>
      <c r="GX23" s="20">
        <f t="shared" si="28"/>
        <v>184.37139305479852</v>
      </c>
      <c r="GY23" s="59">
        <f t="shared" si="29"/>
        <v>477.7047263881318</v>
      </c>
      <c r="GZ23" s="59">
        <f ca="1">AVERAGE(OFFSET($GY$3,0,0,'Données projet'!$E$18+1,1))-AVERAGE(OFFSET($H$3,0,0,'Données projet'!$E$18+1,1))</f>
        <v>226.35975611953359</v>
      </c>
      <c r="HA23" s="59">
        <f t="shared" si="52"/>
        <v>271.65876694892461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43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0.13250000000000001</v>
      </c>
      <c r="HF23" s="16">
        <f>IF(ISNA(VLOOKUP(A23,'Données projet'!$A$269:$I$289,7,0)),0%,VLOOKUP(A23,'Données projet'!$A$269:$I$289,7,0))</f>
        <v>0.25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5.4806328751189346</v>
      </c>
      <c r="HI23" s="21">
        <f>EXP(-LN(2)/2)*HI22+(1-EXP(-LN(2)/2))/(LN(2)/2)*HC23*HF23*VLOOKUP('Données projet'!$B$18,Paramètres!$A$1:$I$89,3,0)*0.475*44/12</f>
        <v>8.8608499604421223</v>
      </c>
      <c r="HJ23" s="22">
        <f t="shared" si="30"/>
        <v>14.341482835561056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3.6141025641025637</v>
      </c>
      <c r="N24" s="13">
        <f>IF('Données projet'!$A$36&gt;35,N23+M24-V23,IF(A24&lt;'Données projet'!$A$36,$K$205^A24,IF(A24='Données projet'!$A$36,'Données projet'!$B$36,N23+M24-V23)))</f>
        <v>26.581850401329536</v>
      </c>
      <c r="O24" s="13">
        <f>N24*VLOOKUP('Données projet'!$B$9,Paramètres!$A$1:$I$89,3,0)*VLOOKUP('Données projet'!$B$9,Paramètres!$A$1:$I$89,5,0)</f>
        <v>24.051258243122962</v>
      </c>
      <c r="P24" s="13">
        <f t="shared" si="33"/>
        <v>7.6546515572569298</v>
      </c>
      <c r="Q24" s="20">
        <f t="shared" si="2"/>
        <v>55.221126235661643</v>
      </c>
      <c r="R24" s="59">
        <f t="shared" si="0"/>
        <v>348.55445956899496</v>
      </c>
      <c r="S24" s="59">
        <f ca="1">AVERAGE(OFFSET($R$3,0,0,'Données projet'!$E$9+1,1))-AVERAGE(OFFSET($H$3,0,0,'Données projet'!$E$9+1,1))</f>
        <v>309.07357540707869</v>
      </c>
      <c r="T24" s="59">
        <f t="shared" si="34"/>
        <v>155.9593924683299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</v>
      </c>
      <c r="AI24" s="13">
        <f>IF('Données projet'!$A$62&gt;35,AI23+AH24-AQ23,IF(A24&lt;'Données projet'!$A$62,$AF$205^A24,IF(A24='Données projet'!$A$62,'Données projet'!$B$62,AI23+AH24-AQ23)))</f>
        <v>76.099999999999966</v>
      </c>
      <c r="AJ24" s="13">
        <f>AI24*VLOOKUP('Données projet'!$B$10,Paramètres!$A$1:$I$89,3,0)*VLOOKUP('Données projet'!$B$10,Paramètres!$A$1:$I$89,5,0)</f>
        <v>66.480959999999982</v>
      </c>
      <c r="AK24" s="13">
        <f t="shared" si="35"/>
        <v>18.79694987718403</v>
      </c>
      <c r="AL24" s="20">
        <f t="shared" si="4"/>
        <v>148.52569303609548</v>
      </c>
      <c r="AM24" s="59">
        <f t="shared" si="5"/>
        <v>441.85902636942876</v>
      </c>
      <c r="AN24" s="59">
        <f ca="1">AVERAGE(OFFSET($AM$3,0,0,'Données projet'!$E$10+1,1))-AVERAGE(OFFSET($H$3,0,0,'Données projet'!$E$10+1,1))</f>
        <v>210.07838338464626</v>
      </c>
      <c r="AO24" s="59">
        <f t="shared" si="36"/>
        <v>241.76003724236273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1.6692108193852706</v>
      </c>
      <c r="AV24" s="21">
        <f>EXP(-LN(2)/25)*AV23+(1-EXP(-LN(2)/25))/(LN(2)/25)*Calculateur!AQ24*Calculateur!AS24*VLOOKUP('Données projet'!$B$10,Paramètres!$A$1:$I$89,3,0)*0.475*44/12</f>
        <v>7.4228383670375857</v>
      </c>
      <c r="AW24" s="21">
        <f>EXP(-LN(2)/2)*AW23+(1-EXP(-LN(2)/2))/(LN(2)/2)*AQ24*AT24*VLOOKUP('Données projet'!$B$10,Paramètres!$A$1:$I$89,3,0)*0.475*44/12</f>
        <v>10.753461663836326</v>
      </c>
      <c r="AX24" s="21">
        <f t="shared" si="6"/>
        <v>19.845510850259181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</v>
      </c>
      <c r="BD24" s="12">
        <f>IF('Données projet'!$A$88&gt;35,BD23+BC24-BL23,IF(A24&lt;'Données projet'!$A$88,$BA$205^A24,IF(A24='Données projet'!$A$88,'Données projet'!$B$88,BD23+BC24-BL23)))</f>
        <v>94.000000000000028</v>
      </c>
      <c r="BE24" s="13">
        <f>BD24*VLOOKUP('Données projet'!$B$11,Paramètres!$A$1:$I$89,3,0)*VLOOKUP('Données projet'!$B$11,Paramètres!$A$1:$I$89,5,0)</f>
        <v>51.324000000000019</v>
      </c>
      <c r="BF24" s="13">
        <f t="shared" si="37"/>
        <v>14.955166599500037</v>
      </c>
      <c r="BG24" s="20">
        <f t="shared" si="7"/>
        <v>115.43621516079592</v>
      </c>
      <c r="BH24" s="59">
        <f t="shared" si="8"/>
        <v>408.76954849412925</v>
      </c>
      <c r="BI24" s="59">
        <f ca="1">AVERAGE(OFFSET($BH$3,0,0,'Données projet'!$E$11+1,1))-AVERAGE(OFFSET($H$3,0,0,'Données projet'!$E$11+1,1))</f>
        <v>168.72306536277267</v>
      </c>
      <c r="BJ24" s="59">
        <f t="shared" si="38"/>
        <v>203.35476578922339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11.999483463447028</v>
      </c>
      <c r="BR24" s="21">
        <f>EXP(-LN(2)/2)*BR23+(1-EXP(-LN(2)/2))/(LN(2)/2)*BL24*BO24*VLOOKUP('Données projet'!$B$11,Paramètres!$A$1:$I$89,3,0)*0.475*44/12</f>
        <v>12.458278756883548</v>
      </c>
      <c r="BS24" s="22">
        <f t="shared" si="9"/>
        <v>24.457762220330576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7.2264102564102561</v>
      </c>
      <c r="BY24" s="12">
        <f>IF('Données projet'!$A$114&gt;35,BY23+BX24-CG23,IF(A24&lt;'Données projet'!$A$114,$BV$205^A24,IF(A24='Données projet'!$A$114,'Données projet'!$B$114,BY23+BX24-CG23)))</f>
        <v>43.17483711984115</v>
      </c>
      <c r="BZ24" s="13">
        <f>BY24*VLOOKUP('Données projet'!$B$12,Paramètres!$A$1:$I$89,3,0)*VLOOKUP('Données projet'!$B$12,Paramètres!$A$1:$I$89,5,0)</f>
        <v>20.205823772085658</v>
      </c>
      <c r="CA24" s="13">
        <f t="shared" si="39"/>
        <v>6.5625277686471071</v>
      </c>
      <c r="CB24" s="20">
        <f t="shared" si="10"/>
        <v>46.621545600109563</v>
      </c>
      <c r="CC24" s="59">
        <f t="shared" si="11"/>
        <v>339.9548789334429</v>
      </c>
      <c r="CD24" s="59">
        <f ca="1">AVERAGE(OFFSET($CC$3,0,0,'Données projet'!$E$12+1,1))-AVERAGE(OFFSET($H$3,0,0,'Données projet'!$E$12+1,1))</f>
        <v>158.58786357608489</v>
      </c>
      <c r="CE24" s="59">
        <f t="shared" si="40"/>
        <v>163.20074068819849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12.2</v>
      </c>
      <c r="CT24" s="12">
        <f>IF('Données projet'!$A$140&gt;35,CT23+CS24-DB23,IF(A24&lt;'Données projet'!$A$140,$CQ$205^A24,IF(A24='Données projet'!$A$140,'Données projet'!$B$140,CT23+CS24-DB23)))</f>
        <v>64.2</v>
      </c>
      <c r="CU24" s="17">
        <f>CT24*VLOOKUP('Données projet'!$B$13,Paramètres!$A$1:$I$89,3,0)*VLOOKUP('Données projet'!$B$13,Paramètres!$A$1:$I$89,5,0)</f>
        <v>47.071440000000003</v>
      </c>
      <c r="CV24" s="13">
        <f t="shared" si="41"/>
        <v>13.854810116510471</v>
      </c>
      <c r="CW24" s="20">
        <f t="shared" si="13"/>
        <v>106.11321895292241</v>
      </c>
      <c r="CX24" s="59">
        <f t="shared" si="14"/>
        <v>399.44655228625572</v>
      </c>
      <c r="CY24" s="59">
        <f ca="1">AVERAGE(OFFSET($CX$3,0,0,'Données projet'!$E$13+1,1))-AVERAGE(OFFSET($H$3,0,0,'Données projet'!$E$13+1,1))</f>
        <v>178.12968684094687</v>
      </c>
      <c r="CZ24" s="59">
        <f t="shared" si="42"/>
        <v>219.36004077210373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3.6298771631298283</v>
      </c>
      <c r="DH24" s="21">
        <f>EXP(-LN(2)/2)*DH23+(1-EXP(-LN(2)/2))/(LN(2)/2)*DB24*DE24*VLOOKUP('Données projet'!$B$13,Paramètres!$A$1:$I$89,3,0)*0.475*44/12</f>
        <v>5.2586009539811291</v>
      </c>
      <c r="DI24" s="22">
        <f t="shared" si="15"/>
        <v>8.8884781171109566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8.6</v>
      </c>
      <c r="DO24" s="12">
        <f>IF('Données projet'!$A$166&gt;35,DO23+DN24-DW23,IF(A24&lt;'Données projet'!$A$166,$DL$205^A24,IF(A24='Données projet'!$A$166,'Données projet'!$B$166,DO23+DN24-DW23)))</f>
        <v>158.59999999999994</v>
      </c>
      <c r="DP24" s="17">
        <f>DO24*VLOOKUP('Données projet'!$B$14,Paramètres!$A$1:$I$89,3,0)*VLOOKUP('Données projet'!$B$14,Paramètres!$A$1:$I$89,5,0)</f>
        <v>143.50127999999995</v>
      </c>
      <c r="DQ24" s="13">
        <f t="shared" si="43"/>
        <v>37.097942826522399</v>
      </c>
      <c r="DR24" s="20">
        <f t="shared" si="16"/>
        <v>314.54364642285981</v>
      </c>
      <c r="DS24" s="59">
        <f t="shared" si="17"/>
        <v>607.87697975619312</v>
      </c>
      <c r="DT24" s="59">
        <f ca="1">AVERAGE(OFFSET($DS$3,0,0,'Données projet'!$E$14+1,1))-AVERAGE(OFFSET($H$3,0,0,'Données projet'!$E$14+1,1))</f>
        <v>225.28075317732998</v>
      </c>
      <c r="DU24" s="59">
        <f t="shared" si="44"/>
        <v>358.43407531256207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0.58836942422218008</v>
      </c>
      <c r="EB24" s="21">
        <f>EXP(-LN(2)/25)*EB23+(1-EXP(-LN(2)/25))/(LN(2)/25)*Calculateur!DW24*Calculateur!DY24*VLOOKUP('Données projet'!$B$14,Paramètres!$A$1:$I$89,3,0)*0.475*44/12</f>
        <v>7.2696314216382794</v>
      </c>
      <c r="EC24" s="21">
        <f>EXP(-LN(2)/2)*EC23+(1-EXP(-LN(2)/2))/(LN(2)/2)*DW24*DZ24*VLOOKUP('Données projet'!$B$14,Paramètres!$A$1:$I$89,3,0)*0.475*44/12</f>
        <v>6.3841214955528089</v>
      </c>
      <c r="ED24" s="22">
        <f t="shared" si="18"/>
        <v>14.242122341413268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3.6141025641025637</v>
      </c>
      <c r="EJ24" s="12">
        <f>IF('Données projet'!$A$192&gt;35,EJ23+EI24-ER23,IF(A24&lt;'Données projet'!$A$192,$EG$205^A24,IF(A24='Données projet'!$A$192,'Données projet'!$B$192,EJ23+EI24-ER23)))</f>
        <v>26.581850401329536</v>
      </c>
      <c r="EK24" s="17">
        <f>EJ24*VLOOKUP('Données projet'!$B$15,Paramètres!$A$1:$I$89,3,0)*VLOOKUP('Données projet'!$B$15,Paramètres!$A$1:$I$89,5,0)</f>
        <v>26.953996306948152</v>
      </c>
      <c r="EL24" s="13">
        <f t="shared" si="45"/>
        <v>8.4654625548738949</v>
      </c>
      <c r="EM24" s="20">
        <f t="shared" si="19"/>
        <v>61.68889085100674</v>
      </c>
      <c r="EN24" s="59">
        <f t="shared" si="20"/>
        <v>355.02222418434008</v>
      </c>
      <c r="EO24" s="59">
        <f ca="1">AVERAGE(OFFSET($EN$3,0,0,'Données projet'!$E$15+1,1))-AVERAGE(OFFSET($H$3,0,0,'Données projet'!$E$15+1,1))</f>
        <v>363.98308691765931</v>
      </c>
      <c r="EP24" s="59">
        <f t="shared" si="46"/>
        <v>181.47089407988187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3.6141025641025637</v>
      </c>
      <c r="FE24" s="12">
        <f>IF('Données projet'!$A$218&gt;35,FE23+FD24-FM23,IF(A24&lt;'Données projet'!$A$218,$FB$205^A24,IF(A24='Données projet'!$A$218,'Données projet'!$B$218,FE23+FD24-FM23)))</f>
        <v>26.581850401329536</v>
      </c>
      <c r="FF24" s="17">
        <f>FE24*VLOOKUP('Données projet'!$B$16,Paramètres!$A$1:$I$89,3,0)*VLOOKUP('Données projet'!$B$16,Paramètres!$A$1:$I$89,5,0)</f>
        <v>28.612703771991111</v>
      </c>
      <c r="FG24" s="13">
        <f t="shared" si="47"/>
        <v>8.9241632796938806</v>
      </c>
      <c r="FH24" s="20">
        <f t="shared" si="22"/>
        <v>65.376710115018028</v>
      </c>
      <c r="FI24" s="59">
        <f t="shared" si="23"/>
        <v>358.71004344835137</v>
      </c>
      <c r="FJ24" s="59">
        <f ca="1">AVERAGE(OFFSET($FI$3,0,0,'Données projet'!$E$16+1,1))-AVERAGE(OFFSET($H$3,0,0,'Données projet'!$E$16+1,1))</f>
        <v>395.30533160963489</v>
      </c>
      <c r="FK24" s="59">
        <f t="shared" si="48"/>
        <v>196.02102977695085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9.1</v>
      </c>
      <c r="FZ24" s="12">
        <f>IF('Données projet'!$A$244&gt;35,FZ23+FY24-GH23,IF(A24&lt;'Données projet'!$A$244,$FW$205^A24,IF(A24='Données projet'!$A$244,'Données projet'!$B$244,FZ23+FY24-GH23)))</f>
        <v>76.099999999999966</v>
      </c>
      <c r="GA24" s="17">
        <f>FZ24*VLOOKUP('Données projet'!$B$17,Paramètres!$A$1:$I$89,3,0)*VLOOKUP('Données projet'!$B$17,Paramètres!$A$1:$I$89,5,0)</f>
        <v>79.539719999999974</v>
      </c>
      <c r="GB24" s="13">
        <f t="shared" si="49"/>
        <v>22.024605510150131</v>
      </c>
      <c r="GC24" s="20">
        <f t="shared" si="25"/>
        <v>176.89120026351142</v>
      </c>
      <c r="GD24" s="59">
        <f t="shared" si="26"/>
        <v>470.22453359684471</v>
      </c>
      <c r="GE24" s="59">
        <f ca="1">AVERAGE(OFFSET($GD$3,0,0,'Données projet'!$E$17+1,1))-AVERAGE(OFFSET($H$3,0,0,'Données projet'!$E$17+1,1))</f>
        <v>269.41185214595805</v>
      </c>
      <c r="GF24" s="59">
        <f t="shared" si="50"/>
        <v>299.70148160580993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1.9970915160502341</v>
      </c>
      <c r="GM24" s="21">
        <f>EXP(-LN(2)/25)*GM23+(1-EXP(-LN(2)/25))/(LN(2)/25)*Calculateur!GH24*Calculateur!GJ24*VLOOKUP('Données projet'!$B$17,Paramètres!$A$1:$I$89,3,0)*0.475*44/12</f>
        <v>8.8808959034199688</v>
      </c>
      <c r="GN24" s="21">
        <f>EXP(-LN(2)/2)*GN23+(1-EXP(-LN(2)/2))/(LN(2)/2)*GH24*GK24*VLOOKUP('Données projet'!$B$17,Paramètres!$A$1:$I$89,3,0)*0.475*44/12</f>
        <v>12.865748776375604</v>
      </c>
      <c r="GO24" s="21">
        <f t="shared" si="27"/>
        <v>23.743736195845806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12.2</v>
      </c>
      <c r="GU24" s="12">
        <f>IF('Données projet'!$A$270&gt;35,GU23+GT24-HC23,IF(A24&lt;'Données projet'!$A$270,$GR$205^A24,IF(A24='Données projet'!$A$270,'Données projet'!$B$270,GU23+GT24-HC23)))</f>
        <v>64.2</v>
      </c>
      <c r="GV24" s="17">
        <f>GU24*VLOOKUP('Données projet'!$B$18,Paramètres!$A$1:$I$89,3,0)*VLOOKUP('Données projet'!$B$18,Paramètres!$A$1:$I$89,5,0)</f>
        <v>56.085120000000011</v>
      </c>
      <c r="GW24" s="13">
        <f t="shared" si="51"/>
        <v>16.174611252215492</v>
      </c>
      <c r="GX24" s="20">
        <f t="shared" si="28"/>
        <v>125.85236526427535</v>
      </c>
      <c r="GY24" s="59">
        <f t="shared" si="29"/>
        <v>419.18569859760868</v>
      </c>
      <c r="GZ24" s="59">
        <f ca="1">AVERAGE(OFFSET($GY$3,0,0,'Données projet'!$E$18+1,1))-AVERAGE(OFFSET($H$3,0,0,'Données projet'!$E$18+1,1))</f>
        <v>226.35975611953359</v>
      </c>
      <c r="HA24" s="59">
        <f t="shared" si="52"/>
        <v>271.65876694892461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5.330764680934851</v>
      </c>
      <c r="HI24" s="21">
        <f>EXP(-LN(2)/2)*HI23+(1-EXP(-LN(2)/2))/(LN(2)/2)*HC24*HF24*VLOOKUP('Données projet'!$B$18,Paramètres!$A$1:$I$89,3,0)*0.475*44/12</f>
        <v>6.2655670941051769</v>
      </c>
      <c r="HJ24" s="22">
        <f t="shared" si="30"/>
        <v>11.596331775040028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3.6141025641025637</v>
      </c>
      <c r="N25" s="13">
        <f>IF('Données projet'!$A$36&gt;35,N24+M25-V24,IF(A25&lt;'Données projet'!$A$36,$K$205^A25,IF(A25='Données projet'!$A$36,'Données projet'!$B$36,N24+M25-V24)))</f>
        <v>31.075820231445945</v>
      </c>
      <c r="O25" s="13">
        <f>N25*VLOOKUP('Données projet'!$B$9,Paramètres!$A$1:$I$89,3,0)*VLOOKUP('Données projet'!$B$9,Paramètres!$A$1:$I$89,5,0)</f>
        <v>28.117402145412289</v>
      </c>
      <c r="P25" s="13">
        <f t="shared" si="33"/>
        <v>8.7875244189279336</v>
      </c>
      <c r="Q25" s="20">
        <f t="shared" si="2"/>
        <v>64.276080432892542</v>
      </c>
      <c r="R25" s="59">
        <f t="shared" si="0"/>
        <v>357.60941376622588</v>
      </c>
      <c r="S25" s="59">
        <f ca="1">AVERAGE(OFFSET($R$3,0,0,'Données projet'!$E$9+1,1))-AVERAGE(OFFSET($H$3,0,0,'Données projet'!$E$9+1,1))</f>
        <v>309.07357540707869</v>
      </c>
      <c r="T25" s="59">
        <f t="shared" si="34"/>
        <v>155.9593924683299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</v>
      </c>
      <c r="AI25" s="13">
        <f>IF('Données projet'!$A$62&gt;35,AI24+AH25-AQ24,IF(A25&lt;'Données projet'!$A$62,$AF$205^A25,IF(A25='Données projet'!$A$62,'Données projet'!$B$62,AI24+AH25-AQ24)))</f>
        <v>85.19999999999996</v>
      </c>
      <c r="AJ25" s="13">
        <f>AI25*VLOOKUP('Données projet'!$B$10,Paramètres!$A$1:$I$89,3,0)*VLOOKUP('Données projet'!$B$10,Paramètres!$A$1:$I$89,5,0)</f>
        <v>74.43071999999998</v>
      </c>
      <c r="AK25" s="13">
        <f t="shared" si="35"/>
        <v>20.76980057385482</v>
      </c>
      <c r="AL25" s="20">
        <f t="shared" si="4"/>
        <v>165.80757333279709</v>
      </c>
      <c r="AM25" s="59">
        <f t="shared" si="5"/>
        <v>459.14090666613038</v>
      </c>
      <c r="AN25" s="59">
        <f ca="1">AVERAGE(OFFSET($AM$3,0,0,'Données projet'!$E$10+1,1))-AVERAGE(OFFSET($H$3,0,0,'Données projet'!$E$10+1,1))</f>
        <v>210.07838338464626</v>
      </c>
      <c r="AO25" s="59">
        <f t="shared" si="36"/>
        <v>241.76003724236273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1.6364786133351945</v>
      </c>
      <c r="AV25" s="21">
        <f>EXP(-LN(2)/25)*AV24+(1-EXP(-LN(2)/25))/(LN(2)/25)*Calculateur!AQ25*Calculateur!AS25*VLOOKUP('Données projet'!$B$10,Paramètres!$A$1:$I$89,3,0)*0.475*44/12</f>
        <v>7.2198604615408382</v>
      </c>
      <c r="AW25" s="21">
        <f>EXP(-LN(2)/2)*AW24+(1-EXP(-LN(2)/2))/(LN(2)/2)*AQ25*AT25*VLOOKUP('Données projet'!$B$10,Paramètres!$A$1:$I$89,3,0)*0.475*44/12</f>
        <v>7.603845663728241</v>
      </c>
      <c r="AX25" s="21">
        <f t="shared" si="6"/>
        <v>16.460184738604273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</v>
      </c>
      <c r="BD25" s="12">
        <f>IF('Données projet'!$A$88&gt;35,BD24+BC25-BL24,IF(A25&lt;'Données projet'!$A$88,$BA$205^A25,IF(A25='Données projet'!$A$88,'Données projet'!$B$88,BD24+BC25-BL24)))</f>
        <v>108.00000000000003</v>
      </c>
      <c r="BE25" s="13">
        <f>BD25*VLOOKUP('Données projet'!$B$11,Paramètres!$A$1:$I$89,3,0)*VLOOKUP('Données projet'!$B$11,Paramètres!$A$1:$I$89,5,0)</f>
        <v>58.968000000000018</v>
      </c>
      <c r="BF25" s="13">
        <f t="shared" si="37"/>
        <v>16.907084152971134</v>
      </c>
      <c r="BG25" s="20">
        <f t="shared" si="7"/>
        <v>132.1491048997581</v>
      </c>
      <c r="BH25" s="59">
        <f t="shared" si="8"/>
        <v>425.48243823309144</v>
      </c>
      <c r="BI25" s="59">
        <f ca="1">AVERAGE(OFFSET($BH$3,0,0,'Données projet'!$E$11+1,1))-AVERAGE(OFFSET($H$3,0,0,'Données projet'!$E$11+1,1))</f>
        <v>168.72306536277267</v>
      </c>
      <c r="BJ25" s="59">
        <f t="shared" si="38"/>
        <v>203.35476578922339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11.671356957113659</v>
      </c>
      <c r="BR25" s="21">
        <f>EXP(-LN(2)/2)*BR24+(1-EXP(-LN(2)/2))/(LN(2)/2)*BL25*BO25*VLOOKUP('Données projet'!$B$11,Paramètres!$A$1:$I$89,3,0)*0.475*44/12</f>
        <v>8.8093333909046692</v>
      </c>
      <c r="BS25" s="22">
        <f t="shared" si="9"/>
        <v>20.480690348018328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7.2264102564102561</v>
      </c>
      <c r="BY25" s="12">
        <f>IF('Données projet'!$A$114&gt;35,BY24+BX25-CG24,IF(A25&lt;'Données projet'!$A$114,$BV$205^A25,IF(A25='Données projet'!$A$114,'Données projet'!$B$114,BY24+BX25-CG24)))</f>
        <v>51.653390873361616</v>
      </c>
      <c r="BZ25" s="13">
        <f>BY25*VLOOKUP('Données projet'!$B$12,Paramètres!$A$1:$I$89,3,0)*VLOOKUP('Données projet'!$B$12,Paramètres!$A$1:$I$89,5,0)</f>
        <v>24.173786928733236</v>
      </c>
      <c r="CA25" s="13">
        <f t="shared" si="39"/>
        <v>7.6890986491341353</v>
      </c>
      <c r="CB25" s="20">
        <f t="shared" si="10"/>
        <v>55.494525714785674</v>
      </c>
      <c r="CC25" s="59">
        <f t="shared" si="11"/>
        <v>348.82785904811897</v>
      </c>
      <c r="CD25" s="59">
        <f ca="1">AVERAGE(OFFSET($CC$3,0,0,'Données projet'!$E$12+1,1))-AVERAGE(OFFSET($H$3,0,0,'Données projet'!$E$12+1,1))</f>
        <v>158.58786357608489</v>
      </c>
      <c r="CE25" s="59">
        <f t="shared" si="40"/>
        <v>163.20074068819849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12.2</v>
      </c>
      <c r="CT25" s="12">
        <f>IF('Données projet'!$A$140&gt;35,CT24+CS25-DB24,IF(A25&lt;'Données projet'!$A$140,$CQ$205^A25,IF(A25='Données projet'!$A$140,'Données projet'!$B$140,CT24+CS25-DB24)))</f>
        <v>76.400000000000006</v>
      </c>
      <c r="CU25" s="17">
        <f>CT25*VLOOKUP('Données projet'!$B$13,Paramètres!$A$1:$I$89,3,0)*VLOOKUP('Données projet'!$B$13,Paramètres!$A$1:$I$89,5,0)</f>
        <v>56.016480000000001</v>
      </c>
      <c r="CV25" s="13">
        <f t="shared" si="41"/>
        <v>16.157118822922481</v>
      </c>
      <c r="CW25" s="20">
        <f t="shared" si="13"/>
        <v>125.70235128325668</v>
      </c>
      <c r="CX25" s="59">
        <f t="shared" si="14"/>
        <v>419.03568461659</v>
      </c>
      <c r="CY25" s="59">
        <f ca="1">AVERAGE(OFFSET($CX$3,0,0,'Données projet'!$E$13+1,1))-AVERAGE(OFFSET($H$3,0,0,'Données projet'!$E$13+1,1))</f>
        <v>178.12968684094687</v>
      </c>
      <c r="CZ25" s="59">
        <f t="shared" si="42"/>
        <v>219.36004077210373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3.5306179812170995</v>
      </c>
      <c r="DH25" s="21">
        <f>EXP(-LN(2)/2)*DH24+(1-EXP(-LN(2)/2))/(LN(2)/2)*DB25*DE25*VLOOKUP('Données projet'!$B$13,Paramètres!$A$1:$I$89,3,0)*0.475*44/12</f>
        <v>3.7183923941141046</v>
      </c>
      <c r="DI25" s="22">
        <f t="shared" si="15"/>
        <v>7.2490103753312045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8.6</v>
      </c>
      <c r="DO25" s="12">
        <f>IF('Données projet'!$A$166&gt;35,DO24+DN25-DW24,IF(A25&lt;'Données projet'!$A$166,$DL$205^A25,IF(A25='Données projet'!$A$166,'Données projet'!$B$166,DO24+DN25-DW24)))</f>
        <v>167.19999999999993</v>
      </c>
      <c r="DP25" s="17">
        <f>DO25*VLOOKUP('Données projet'!$B$14,Paramètres!$A$1:$I$89,3,0)*VLOOKUP('Données projet'!$B$14,Paramètres!$A$1:$I$89,5,0)</f>
        <v>151.28255999999993</v>
      </c>
      <c r="DQ25" s="13">
        <f t="shared" si="43"/>
        <v>38.86990739921886</v>
      </c>
      <c r="DR25" s="20">
        <f t="shared" si="16"/>
        <v>331.18221405363937</v>
      </c>
      <c r="DS25" s="59">
        <f t="shared" si="17"/>
        <v>624.51554738697268</v>
      </c>
      <c r="DT25" s="59">
        <f ca="1">AVERAGE(OFFSET($DS$3,0,0,'Données projet'!$E$14+1,1))-AVERAGE(OFFSET($H$3,0,0,'Données projet'!$E$14+1,1))</f>
        <v>225.28075317732998</v>
      </c>
      <c r="DU25" s="59">
        <f t="shared" si="44"/>
        <v>358.43407531256207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0.5768318586830965</v>
      </c>
      <c r="EB25" s="21">
        <f>EXP(-LN(2)/25)*EB24+(1-EXP(-LN(2)/25))/(LN(2)/25)*Calculateur!DW25*Calculateur!DY25*VLOOKUP('Données projet'!$B$14,Paramètres!$A$1:$I$89,3,0)*0.475*44/12</f>
        <v>7.0708429681202789</v>
      </c>
      <c r="EC25" s="21">
        <f>EXP(-LN(2)/2)*EC24+(1-EXP(-LN(2)/2))/(LN(2)/2)*DW25*DZ25*VLOOKUP('Données projet'!$B$14,Paramètres!$A$1:$I$89,3,0)*0.475*44/12</f>
        <v>4.5142556014241952</v>
      </c>
      <c r="ED25" s="22">
        <f t="shared" si="18"/>
        <v>12.161930428227571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3.6141025641025637</v>
      </c>
      <c r="EJ25" s="12">
        <f>IF('Données projet'!$A$192&gt;35,EJ24+EI25-ER24,IF(A25&lt;'Données projet'!$A$192,$EG$205^A25,IF(A25='Données projet'!$A$192,'Données projet'!$B$192,EJ24+EI25-ER24)))</f>
        <v>31.075820231445945</v>
      </c>
      <c r="EK25" s="17">
        <f>EJ25*VLOOKUP('Données projet'!$B$15,Paramètres!$A$1:$I$89,3,0)*VLOOKUP('Données projet'!$B$15,Paramètres!$A$1:$I$89,5,0)</f>
        <v>31.510881714686189</v>
      </c>
      <c r="EL25" s="13">
        <f t="shared" si="45"/>
        <v>9.7183337950829536</v>
      </c>
      <c r="EM25" s="20">
        <f t="shared" si="19"/>
        <v>71.807550346181259</v>
      </c>
      <c r="EN25" s="59">
        <f t="shared" si="20"/>
        <v>365.14088367951456</v>
      </c>
      <c r="EO25" s="59">
        <f ca="1">AVERAGE(OFFSET($EN$3,0,0,'Données projet'!$E$15+1,1))-AVERAGE(OFFSET($H$3,0,0,'Données projet'!$E$15+1,1))</f>
        <v>363.98308691765931</v>
      </c>
      <c r="EP25" s="59">
        <f t="shared" si="46"/>
        <v>181.47089407988187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3.6141025641025637</v>
      </c>
      <c r="FE25" s="12">
        <f>IF('Données projet'!$A$218&gt;35,FE24+FD25-FM24,IF(A25&lt;'Données projet'!$A$218,$FB$205^A25,IF(A25='Données projet'!$A$218,'Données projet'!$B$218,FE24+FD25-FM24)))</f>
        <v>31.075820231445945</v>
      </c>
      <c r="FF25" s="17">
        <f>FE25*VLOOKUP('Données projet'!$B$16,Paramètres!$A$1:$I$89,3,0)*VLOOKUP('Données projet'!$B$16,Paramètres!$A$1:$I$89,5,0)</f>
        <v>33.450012897128417</v>
      </c>
      <c r="FG25" s="13">
        <f t="shared" si="47"/>
        <v>10.24492129422447</v>
      </c>
      <c r="FH25" s="20">
        <f t="shared" si="22"/>
        <v>76.10201038327294</v>
      </c>
      <c r="FI25" s="59">
        <f t="shared" si="23"/>
        <v>369.43534371660627</v>
      </c>
      <c r="FJ25" s="59">
        <f ca="1">AVERAGE(OFFSET($FI$3,0,0,'Données projet'!$E$16+1,1))-AVERAGE(OFFSET($H$3,0,0,'Données projet'!$E$16+1,1))</f>
        <v>395.30533160963489</v>
      </c>
      <c r="FK25" s="59">
        <f t="shared" si="48"/>
        <v>196.02102977695085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9.1</v>
      </c>
      <c r="FZ25" s="12">
        <f>IF('Données projet'!$A$244&gt;35,FZ24+FY25-GH24,IF(A25&lt;'Données projet'!$A$244,$FW$205^A25,IF(A25='Données projet'!$A$244,'Données projet'!$B$244,FZ24+FY25-GH24)))</f>
        <v>85.19999999999996</v>
      </c>
      <c r="GA25" s="17">
        <f>FZ25*VLOOKUP('Données projet'!$B$17,Paramètres!$A$1:$I$89,3,0)*VLOOKUP('Données projet'!$B$17,Paramètres!$A$1:$I$89,5,0)</f>
        <v>89.051039999999958</v>
      </c>
      <c r="GB25" s="13">
        <f t="shared" si="49"/>
        <v>24.336217692365942</v>
      </c>
      <c r="GC25" s="20">
        <f t="shared" si="25"/>
        <v>197.48280714753727</v>
      </c>
      <c r="GD25" s="59">
        <f t="shared" si="26"/>
        <v>490.81614048087056</v>
      </c>
      <c r="GE25" s="59">
        <f ca="1">AVERAGE(OFFSET($GD$3,0,0,'Données projet'!$E$17+1,1))-AVERAGE(OFFSET($H$3,0,0,'Données projet'!$E$17+1,1))</f>
        <v>269.41185214595805</v>
      </c>
      <c r="GF25" s="59">
        <f t="shared" si="50"/>
        <v>299.70148160580993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1.9579297695260358</v>
      </c>
      <c r="GM25" s="21">
        <f>EXP(-LN(2)/25)*GM24+(1-EXP(-LN(2)/25))/(LN(2)/25)*Calculateur!GH25*Calculateur!GJ25*VLOOKUP('Données projet'!$B$17,Paramètres!$A$1:$I$89,3,0)*0.475*44/12</f>
        <v>8.6380473379149318</v>
      </c>
      <c r="GN25" s="21">
        <f>EXP(-LN(2)/2)*GN24+(1-EXP(-LN(2)/2))/(LN(2)/2)*GH25*GK25*VLOOKUP('Données projet'!$B$17,Paramètres!$A$1:$I$89,3,0)*0.475*44/12</f>
        <v>9.0974582048177162</v>
      </c>
      <c r="GO25" s="21">
        <f t="shared" si="27"/>
        <v>19.693435312258686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12.2</v>
      </c>
      <c r="GU25" s="12">
        <f>IF('Données projet'!$A$270&gt;35,GU24+GT25-HC24,IF(A25&lt;'Données projet'!$A$270,$GR$205^A25,IF(A25='Données projet'!$A$270,'Données projet'!$B$270,GU24+GT25-HC24)))</f>
        <v>76.400000000000006</v>
      </c>
      <c r="GV25" s="17">
        <f>GU25*VLOOKUP('Données projet'!$B$18,Paramètres!$A$1:$I$89,3,0)*VLOOKUP('Données projet'!$B$18,Paramètres!$A$1:$I$89,5,0)</f>
        <v>66.743040000000008</v>
      </c>
      <c r="GW25" s="13">
        <f t="shared" si="51"/>
        <v>18.862410507178108</v>
      </c>
      <c r="GX25" s="20">
        <f t="shared" si="28"/>
        <v>149.09615963333522</v>
      </c>
      <c r="GY25" s="59">
        <f t="shared" si="29"/>
        <v>442.42949296666853</v>
      </c>
      <c r="GZ25" s="59">
        <f ca="1">AVERAGE(OFFSET($GY$3,0,0,'Données projet'!$E$18+1,1))-AVERAGE(OFFSET($H$3,0,0,'Données projet'!$E$18+1,1))</f>
        <v>226.35975611953359</v>
      </c>
      <c r="HA25" s="59">
        <f t="shared" si="52"/>
        <v>271.65876694892461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5.1849946404019569</v>
      </c>
      <c r="HI25" s="21">
        <f>EXP(-LN(2)/2)*HI24+(1-EXP(-LN(2)/2))/(LN(2)/2)*HC25*HF25*VLOOKUP('Données projet'!$B$18,Paramètres!$A$1:$I$89,3,0)*0.475*44/12</f>
        <v>4.430424980221062</v>
      </c>
      <c r="HJ25" s="22">
        <f t="shared" si="30"/>
        <v>9.6154196206230189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3.6141025641025637</v>
      </c>
      <c r="N26" s="13">
        <f>IF('Données projet'!$A$36&gt;35,N25+M26-V25,IF(A26&lt;'Données projet'!$A$36,$K$205^A26,IF(A26='Données projet'!$A$36,'Données projet'!$B$36,N25+M26-V25)))</f>
        <v>36.329547735655126</v>
      </c>
      <c r="O26" s="13">
        <f>N26*VLOOKUP('Données projet'!$B$9,Paramètres!$A$1:$I$89,3,0)*VLOOKUP('Données projet'!$B$9,Paramètres!$A$1:$I$89,5,0)</f>
        <v>32.87097479122076</v>
      </c>
      <c r="P26" s="13">
        <f t="shared" si="33"/>
        <v>10.088060159975067</v>
      </c>
      <c r="Q26" s="20">
        <f t="shared" si="2"/>
        <v>74.820319206666056</v>
      </c>
      <c r="R26" s="59">
        <f t="shared" si="0"/>
        <v>368.15365253999937</v>
      </c>
      <c r="S26" s="59">
        <f ca="1">AVERAGE(OFFSET($R$3,0,0,'Données projet'!$E$9+1,1))-AVERAGE(OFFSET($H$3,0,0,'Données projet'!$E$9+1,1))</f>
        <v>309.07357540707869</v>
      </c>
      <c r="T26" s="59">
        <f t="shared" si="34"/>
        <v>155.9593924683299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</v>
      </c>
      <c r="AI26" s="13">
        <f>IF('Données projet'!$A$62&gt;35,AI25+AH26-AQ25,IF(A26&lt;'Données projet'!$A$62,$AF$205^A26,IF(A26='Données projet'!$A$62,'Données projet'!$B$62,AI25+AH26-AQ25)))</f>
        <v>94.299999999999955</v>
      </c>
      <c r="AJ26" s="13">
        <f>AI26*VLOOKUP('Données projet'!$B$10,Paramètres!$A$1:$I$89,3,0)*VLOOKUP('Données projet'!$B$10,Paramètres!$A$1:$I$89,5,0)</f>
        <v>82.380479999999963</v>
      </c>
      <c r="AK26" s="13">
        <f t="shared" si="35"/>
        <v>22.718226877103955</v>
      </c>
      <c r="AL26" s="20">
        <f t="shared" si="4"/>
        <v>183.04691447762266</v>
      </c>
      <c r="AM26" s="59">
        <f t="shared" si="5"/>
        <v>476.38024781095601</v>
      </c>
      <c r="AN26" s="59">
        <f ca="1">AVERAGE(OFFSET($AM$3,0,0,'Données projet'!$E$10+1,1))-AVERAGE(OFFSET($H$3,0,0,'Données projet'!$E$10+1,1))</f>
        <v>210.07838338464626</v>
      </c>
      <c r="AO26" s="59">
        <f t="shared" si="36"/>
        <v>241.76003724236273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1.604388265881086</v>
      </c>
      <c r="AV26" s="21">
        <f>EXP(-LN(2)/25)*AV25+(1-EXP(-LN(2)/25))/(LN(2)/25)*Calculateur!AQ26*Calculateur!AS26*VLOOKUP('Données projet'!$B$10,Paramètres!$A$1:$I$89,3,0)*0.475*44/12</f>
        <v>7.0224329975440432</v>
      </c>
      <c r="AW26" s="21">
        <f>EXP(-LN(2)/2)*AW25+(1-EXP(-LN(2)/2))/(LN(2)/2)*AQ26*AT26*VLOOKUP('Données projet'!$B$10,Paramètres!$A$1:$I$89,3,0)*0.475*44/12</f>
        <v>5.3767308319181639</v>
      </c>
      <c r="AX26" s="21">
        <f t="shared" si="6"/>
        <v>14.003552095343291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</v>
      </c>
      <c r="BD26" s="12">
        <f>IF('Données projet'!$A$88&gt;35,BD25+BC26-BL25,IF(A26&lt;'Données projet'!$A$88,$BA$205^A26,IF(A26='Données projet'!$A$88,'Données projet'!$B$88,BD25+BC26-BL25)))</f>
        <v>122.00000000000003</v>
      </c>
      <c r="BE26" s="13">
        <f>BD26*VLOOKUP('Données projet'!$B$11,Paramètres!$A$1:$I$89,3,0)*VLOOKUP('Données projet'!$B$11,Paramètres!$A$1:$I$89,5,0)</f>
        <v>66.612000000000009</v>
      </c>
      <c r="BF26" s="13">
        <f t="shared" si="37"/>
        <v>18.829683939536409</v>
      </c>
      <c r="BG26" s="20">
        <f t="shared" si="7"/>
        <v>148.81093286135925</v>
      </c>
      <c r="BH26" s="59">
        <f t="shared" si="8"/>
        <v>442.14426619469259</v>
      </c>
      <c r="BI26" s="59">
        <f ca="1">AVERAGE(OFFSET($BH$3,0,0,'Données projet'!$E$11+1,1))-AVERAGE(OFFSET($H$3,0,0,'Données projet'!$E$11+1,1))</f>
        <v>168.72306536277267</v>
      </c>
      <c r="BJ26" s="59">
        <f t="shared" si="38"/>
        <v>203.35476578922339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11.352203087351398</v>
      </c>
      <c r="BR26" s="21">
        <f>EXP(-LN(2)/2)*BR25+(1-EXP(-LN(2)/2))/(LN(2)/2)*BL26*BO26*VLOOKUP('Données projet'!$B$11,Paramètres!$A$1:$I$89,3,0)*0.475*44/12</f>
        <v>6.2291393784417748</v>
      </c>
      <c r="BS26" s="22">
        <f t="shared" si="9"/>
        <v>17.581342465793174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7.2264102564102561</v>
      </c>
      <c r="BY26" s="12">
        <f>IF('Données projet'!$A$114&gt;35,BY25+BX26-CG25,IF(A26&lt;'Données projet'!$A$114,$BV$205^A26,IF(A26='Données projet'!$A$114,'Données projet'!$B$114,BY25+BX26-CG25)))</f>
        <v>61.796939298472864</v>
      </c>
      <c r="BZ26" s="13">
        <f>BY26*VLOOKUP('Données projet'!$B$12,Paramètres!$A$1:$I$89,3,0)*VLOOKUP('Données projet'!$B$12,Paramètres!$A$1:$I$89,5,0)</f>
        <v>28.920967591685301</v>
      </c>
      <c r="CA26" s="13">
        <f t="shared" si="39"/>
        <v>9.0090648177637647</v>
      </c>
      <c r="CB26" s="20">
        <f t="shared" si="10"/>
        <v>66.061473113123796</v>
      </c>
      <c r="CC26" s="59">
        <f t="shared" si="11"/>
        <v>359.3948064464571</v>
      </c>
      <c r="CD26" s="59">
        <f ca="1">AVERAGE(OFFSET($CC$3,0,0,'Données projet'!$E$12+1,1))-AVERAGE(OFFSET($H$3,0,0,'Données projet'!$E$12+1,1))</f>
        <v>158.58786357608489</v>
      </c>
      <c r="CE26" s="59">
        <f t="shared" si="40"/>
        <v>163.20074068819849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12.2</v>
      </c>
      <c r="CT26" s="12">
        <f>IF('Données projet'!$A$140&gt;35,CT25+CS26-DB25,IF(A26&lt;'Données projet'!$A$140,$CQ$205^A26,IF(A26='Données projet'!$A$140,'Données projet'!$B$140,CT25+CS26-DB25)))</f>
        <v>88.600000000000009</v>
      </c>
      <c r="CU26" s="17">
        <f>CT26*VLOOKUP('Données projet'!$B$13,Paramètres!$A$1:$I$89,3,0)*VLOOKUP('Données projet'!$B$13,Paramètres!$A$1:$I$89,5,0)</f>
        <v>64.961520000000007</v>
      </c>
      <c r="CV26" s="13">
        <f t="shared" si="41"/>
        <v>18.416837829271401</v>
      </c>
      <c r="CW26" s="20">
        <f t="shared" si="13"/>
        <v>145.21730655264767</v>
      </c>
      <c r="CX26" s="59">
        <f t="shared" si="14"/>
        <v>438.55063988598101</v>
      </c>
      <c r="CY26" s="59">
        <f ca="1">AVERAGE(OFFSET($CX$3,0,0,'Données projet'!$E$13+1,1))-AVERAGE(OFFSET($H$3,0,0,'Données projet'!$E$13+1,1))</f>
        <v>178.12968684094687</v>
      </c>
      <c r="CZ26" s="59">
        <f t="shared" si="42"/>
        <v>219.36004077210373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3.4340730468535874</v>
      </c>
      <c r="DH26" s="21">
        <f>EXP(-LN(2)/2)*DH25+(1-EXP(-LN(2)/2))/(LN(2)/2)*DB26*DE26*VLOOKUP('Données projet'!$B$13,Paramètres!$A$1:$I$89,3,0)*0.475*44/12</f>
        <v>2.629300476990565</v>
      </c>
      <c r="DI26" s="22">
        <f t="shared" si="15"/>
        <v>6.0633735238441524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8.6</v>
      </c>
      <c r="DO26" s="12">
        <f>IF('Données projet'!$A$166&gt;35,DO25+DN26-DW25,IF(A26&lt;'Données projet'!$A$166,$DL$205^A26,IF(A26='Données projet'!$A$166,'Données projet'!$B$166,DO25+DN26-DW25)))</f>
        <v>175.79999999999993</v>
      </c>
      <c r="DP26" s="17">
        <f>DO26*VLOOKUP('Données projet'!$B$14,Paramètres!$A$1:$I$89,3,0)*VLOOKUP('Données projet'!$B$14,Paramètres!$A$1:$I$89,5,0)</f>
        <v>159.06383999999994</v>
      </c>
      <c r="DQ26" s="13">
        <f t="shared" si="43"/>
        <v>40.631289844793223</v>
      </c>
      <c r="DR26" s="20">
        <f t="shared" si="16"/>
        <v>347.80235114634814</v>
      </c>
      <c r="DS26" s="59">
        <f t="shared" si="17"/>
        <v>641.13568447968146</v>
      </c>
      <c r="DT26" s="59">
        <f ca="1">AVERAGE(OFFSET($DS$3,0,0,'Données projet'!$E$14+1,1))-AVERAGE(OFFSET($H$3,0,0,'Données projet'!$E$14+1,1))</f>
        <v>225.28075317732998</v>
      </c>
      <c r="DU26" s="59">
        <f t="shared" si="44"/>
        <v>358.43407531256207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0.56552053776701416</v>
      </c>
      <c r="EB26" s="21">
        <f>EXP(-LN(2)/25)*EB25+(1-EXP(-LN(2)/25))/(LN(2)/25)*Calculateur!DW26*Calculateur!DY26*VLOOKUP('Données projet'!$B$14,Paramètres!$A$1:$I$89,3,0)*0.475*44/12</f>
        <v>6.877490395317559</v>
      </c>
      <c r="EC26" s="21">
        <f>EXP(-LN(2)/2)*EC25+(1-EXP(-LN(2)/2))/(LN(2)/2)*DW26*DZ26*VLOOKUP('Données projet'!$B$14,Paramètres!$A$1:$I$89,3,0)*0.475*44/12</f>
        <v>3.1920607477764049</v>
      </c>
      <c r="ED26" s="22">
        <f t="shared" si="18"/>
        <v>10.635071680860978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3.6141025641025637</v>
      </c>
      <c r="EJ26" s="12">
        <f>IF('Données projet'!$A$192&gt;35,EJ25+EI26-ER25,IF(A26&lt;'Données projet'!$A$192,$EG$205^A26,IF(A26='Données projet'!$A$192,'Données projet'!$B$192,EJ25+EI26-ER25)))</f>
        <v>36.329547735655126</v>
      </c>
      <c r="EK26" s="17">
        <f>EJ26*VLOOKUP('Données projet'!$B$15,Paramètres!$A$1:$I$89,3,0)*VLOOKUP('Données projet'!$B$15,Paramètres!$A$1:$I$89,5,0)</f>
        <v>36.838161403954302</v>
      </c>
      <c r="EL26" s="13">
        <f t="shared" si="45"/>
        <v>11.15662743062696</v>
      </c>
      <c r="EM26" s="20">
        <f t="shared" si="19"/>
        <v>83.590923886895695</v>
      </c>
      <c r="EN26" s="59">
        <f t="shared" si="20"/>
        <v>376.92425722022904</v>
      </c>
      <c r="EO26" s="59">
        <f ca="1">AVERAGE(OFFSET($EN$3,0,0,'Données projet'!$E$15+1,1))-AVERAGE(OFFSET($H$3,0,0,'Données projet'!$E$15+1,1))</f>
        <v>363.98308691765931</v>
      </c>
      <c r="EP26" s="59">
        <f t="shared" si="46"/>
        <v>181.47089407988187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3.6141025641025637</v>
      </c>
      <c r="FE26" s="12">
        <f>IF('Données projet'!$A$218&gt;35,FE25+FD26-FM25,IF(A26&lt;'Données projet'!$A$218,$FB$205^A26,IF(A26='Données projet'!$A$218,'Données projet'!$B$218,FE25+FD26-FM25)))</f>
        <v>36.329547735655126</v>
      </c>
      <c r="FF26" s="17">
        <f>FE26*VLOOKUP('Données projet'!$B$16,Paramètres!$A$1:$I$89,3,0)*VLOOKUP('Données projet'!$B$16,Paramètres!$A$1:$I$89,5,0)</f>
        <v>39.105125182659179</v>
      </c>
      <c r="FG26" s="13">
        <f t="shared" si="47"/>
        <v>11.761148808614609</v>
      </c>
      <c r="FH26" s="20">
        <f t="shared" si="22"/>
        <v>88.59209386813518</v>
      </c>
      <c r="FI26" s="59">
        <f t="shared" si="23"/>
        <v>381.92542720146849</v>
      </c>
      <c r="FJ26" s="59">
        <f ca="1">AVERAGE(OFFSET($FI$3,0,0,'Données projet'!$E$16+1,1))-AVERAGE(OFFSET($H$3,0,0,'Données projet'!$E$16+1,1))</f>
        <v>395.30533160963489</v>
      </c>
      <c r="FK26" s="59">
        <f t="shared" si="48"/>
        <v>196.02102977695085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9.1</v>
      </c>
      <c r="FZ26" s="12">
        <f>IF('Données projet'!$A$244&gt;35,FZ25+FY26-GH25,IF(A26&lt;'Données projet'!$A$244,$FW$205^A26,IF(A26='Données projet'!$A$244,'Données projet'!$B$244,FZ25+FY26-GH25)))</f>
        <v>94.299999999999955</v>
      </c>
      <c r="GA26" s="17">
        <f>FZ26*VLOOKUP('Données projet'!$B$17,Paramètres!$A$1:$I$89,3,0)*VLOOKUP('Données projet'!$B$17,Paramètres!$A$1:$I$89,5,0)</f>
        <v>98.56235999999997</v>
      </c>
      <c r="GB26" s="13">
        <f t="shared" si="49"/>
        <v>26.619211527804726</v>
      </c>
      <c r="GC26" s="20">
        <f t="shared" si="25"/>
        <v>218.02457041092649</v>
      </c>
      <c r="GD26" s="59">
        <f t="shared" si="26"/>
        <v>511.35790374425983</v>
      </c>
      <c r="GE26" s="59">
        <f ca="1">AVERAGE(OFFSET($GD$3,0,0,'Données projet'!$E$17+1,1))-AVERAGE(OFFSET($H$3,0,0,'Données projet'!$E$17+1,1))</f>
        <v>269.41185214595805</v>
      </c>
      <c r="GF26" s="59">
        <f t="shared" si="50"/>
        <v>299.70148160580993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1.9195359609648703</v>
      </c>
      <c r="GM26" s="21">
        <f>EXP(-LN(2)/25)*GM25+(1-EXP(-LN(2)/25))/(LN(2)/25)*Calculateur!GH26*Calculateur!GJ26*VLOOKUP('Données projet'!$B$17,Paramètres!$A$1:$I$89,3,0)*0.475*44/12</f>
        <v>8.4018394792044813</v>
      </c>
      <c r="GN26" s="21">
        <f>EXP(-LN(2)/2)*GN25+(1-EXP(-LN(2)/2))/(LN(2)/2)*GH26*GK26*VLOOKUP('Données projet'!$B$17,Paramètres!$A$1:$I$89,3,0)*0.475*44/12</f>
        <v>6.4328743881878028</v>
      </c>
      <c r="GO26" s="21">
        <f t="shared" si="27"/>
        <v>16.754249828357153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12.2</v>
      </c>
      <c r="GU26" s="12">
        <f>IF('Données projet'!$A$270&gt;35,GU25+GT26-HC25,IF(A26&lt;'Données projet'!$A$270,$GR$205^A26,IF(A26='Données projet'!$A$270,'Données projet'!$B$270,GU25+GT26-HC25)))</f>
        <v>88.600000000000009</v>
      </c>
      <c r="GV26" s="17">
        <f>GU26*VLOOKUP('Données projet'!$B$18,Paramètres!$A$1:$I$89,3,0)*VLOOKUP('Données projet'!$B$18,Paramètres!$A$1:$I$89,5,0)</f>
        <v>77.400960000000012</v>
      </c>
      <c r="GW26" s="13">
        <f t="shared" si="51"/>
        <v>21.500488991081735</v>
      </c>
      <c r="GX26" s="20">
        <f t="shared" si="28"/>
        <v>172.25335699280072</v>
      </c>
      <c r="GY26" s="59">
        <f t="shared" si="29"/>
        <v>465.58669032613403</v>
      </c>
      <c r="GZ26" s="59">
        <f ca="1">AVERAGE(OFFSET($GY$3,0,0,'Données projet'!$E$18+1,1))-AVERAGE(OFFSET($H$3,0,0,'Données projet'!$E$18+1,1))</f>
        <v>226.35975611953359</v>
      </c>
      <c r="HA26" s="59">
        <f t="shared" si="52"/>
        <v>271.65876694892461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5.0432106892931481</v>
      </c>
      <c r="HI26" s="21">
        <f>EXP(-LN(2)/2)*HI25+(1-EXP(-LN(2)/2))/(LN(2)/2)*HC26*HF26*VLOOKUP('Données projet'!$B$18,Paramètres!$A$1:$I$89,3,0)*0.475*44/12</f>
        <v>3.1327835470525889</v>
      </c>
      <c r="HJ26" s="22">
        <f t="shared" si="30"/>
        <v>8.175994236345737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3.6141025641025637</v>
      </c>
      <c r="N27" s="13">
        <f>IF('Données projet'!$A$36&gt;35,N26+M27-V26,IF(A27&lt;'Données projet'!$A$36,$K$205^A27,IF(A27='Données projet'!$A$36,'Données projet'!$B$36,N26+M27-V26)))</f>
        <v>42.47147875252827</v>
      </c>
      <c r="O27" s="13">
        <f>N27*VLOOKUP('Données projet'!$B$9,Paramètres!$A$1:$I$89,3,0)*VLOOKUP('Données projet'!$B$9,Paramètres!$A$1:$I$89,5,0)</f>
        <v>38.428193975287577</v>
      </c>
      <c r="P27" s="13">
        <f t="shared" si="33"/>
        <v>11.581072545536303</v>
      </c>
      <c r="Q27" s="20">
        <f t="shared" si="2"/>
        <v>87.099472523768256</v>
      </c>
      <c r="R27" s="59">
        <f t="shared" si="0"/>
        <v>380.43280585710158</v>
      </c>
      <c r="S27" s="59">
        <f ca="1">AVERAGE(OFFSET($R$3,0,0,'Données projet'!$E$9+1,1))-AVERAGE(OFFSET($H$3,0,0,'Données projet'!$E$9+1,1))</f>
        <v>309.07357540707869</v>
      </c>
      <c r="T27" s="59">
        <f t="shared" si="34"/>
        <v>155.9593924683299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</v>
      </c>
      <c r="AI27" s="13">
        <f>IF('Données projet'!$A$62&gt;35,AI26+AH27-AQ26,IF(A27&lt;'Données projet'!$A$62,$AF$205^A27,IF(A27='Données projet'!$A$62,'Données projet'!$B$62,AI26+AH27-AQ26)))</f>
        <v>103.39999999999995</v>
      </c>
      <c r="AJ27" s="13">
        <f>AI27*VLOOKUP('Données projet'!$B$10,Paramètres!$A$1:$I$89,3,0)*VLOOKUP('Données projet'!$B$10,Paramètres!$A$1:$I$89,5,0)</f>
        <v>90.330239999999961</v>
      </c>
      <c r="AK27" s="13">
        <f t="shared" si="35"/>
        <v>24.644853944123636</v>
      </c>
      <c r="AL27" s="20">
        <f t="shared" si="4"/>
        <v>200.24828861934861</v>
      </c>
      <c r="AM27" s="59">
        <f t="shared" si="5"/>
        <v>493.58162195268193</v>
      </c>
      <c r="AN27" s="59">
        <f ca="1">AVERAGE(OFFSET($AM$3,0,0,'Données projet'!$E$10+1,1))-AVERAGE(OFFSET($H$3,0,0,'Données projet'!$E$10+1,1))</f>
        <v>210.07838338464626</v>
      </c>
      <c r="AO27" s="59">
        <f t="shared" si="36"/>
        <v>241.76003724236273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1.5729271905673732</v>
      </c>
      <c r="AV27" s="21">
        <f>EXP(-LN(2)/25)*AV26+(1-EXP(-LN(2)/25))/(LN(2)/25)*Calculateur!AQ27*Calculateur!AS27*VLOOKUP('Données projet'!$B$10,Paramètres!$A$1:$I$89,3,0)*0.475*44/12</f>
        <v>6.8304041979325003</v>
      </c>
      <c r="AW27" s="21">
        <f>EXP(-LN(2)/2)*AW26+(1-EXP(-LN(2)/2))/(LN(2)/2)*AQ27*AT27*VLOOKUP('Données projet'!$B$10,Paramètres!$A$1:$I$89,3,0)*0.475*44/12</f>
        <v>3.8019228318641209</v>
      </c>
      <c r="AX27" s="21">
        <f t="shared" si="6"/>
        <v>12.205254220363994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</v>
      </c>
      <c r="BD27" s="12">
        <f>IF('Données projet'!$A$88&gt;35,BD26+BC27-BL26,IF(A27&lt;'Données projet'!$A$88,$BA$205^A27,IF(A27='Données projet'!$A$88,'Données projet'!$B$88,BD26+BC27-BL26)))</f>
        <v>136.00000000000003</v>
      </c>
      <c r="BE27" s="13">
        <f>BD27*VLOOKUP('Données projet'!$B$11,Paramètres!$A$1:$I$89,3,0)*VLOOKUP('Données projet'!$B$11,Paramètres!$A$1:$I$89,5,0)</f>
        <v>74.256000000000014</v>
      </c>
      <c r="BF27" s="13">
        <f t="shared" si="37"/>
        <v>20.726714411291823</v>
      </c>
      <c r="BG27" s="20">
        <f t="shared" si="7"/>
        <v>165.4282275996666</v>
      </c>
      <c r="BH27" s="59">
        <f t="shared" si="8"/>
        <v>458.76156093299994</v>
      </c>
      <c r="BI27" s="59">
        <f ca="1">AVERAGE(OFFSET($BH$3,0,0,'Données projet'!$E$11+1,1))-AVERAGE(OFFSET($H$3,0,0,'Données projet'!$E$11+1,1))</f>
        <v>168.72306536277267</v>
      </c>
      <c r="BJ27" s="59">
        <f t="shared" si="38"/>
        <v>203.35476578922339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11.04177649694136</v>
      </c>
      <c r="BR27" s="21">
        <f>EXP(-LN(2)/2)*BR26+(1-EXP(-LN(2)/2))/(LN(2)/2)*BL27*BO27*VLOOKUP('Données projet'!$B$11,Paramètres!$A$1:$I$89,3,0)*0.475*44/12</f>
        <v>4.4046666954523346</v>
      </c>
      <c r="BS27" s="22">
        <f t="shared" si="9"/>
        <v>15.446443192393694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7.2264102564102561</v>
      </c>
      <c r="BY27" s="12">
        <f>IF('Données projet'!$A$114&gt;35,BY26+BX27-CG26,IF(A27&lt;'Données projet'!$A$114,$BV$205^A27,IF(A27='Données projet'!$A$114,'Données projet'!$B$114,BY26+BX27-CG26)))</f>
        <v>73.932449391789717</v>
      </c>
      <c r="BZ27" s="13">
        <f>BY27*VLOOKUP('Données projet'!$B$12,Paramètres!$A$1:$I$89,3,0)*VLOOKUP('Données projet'!$B$12,Paramètres!$A$1:$I$89,5,0)</f>
        <v>34.600386315357589</v>
      </c>
      <c r="CA27" s="13">
        <f t="shared" si="39"/>
        <v>10.555625905490055</v>
      </c>
      <c r="CB27" s="20">
        <f t="shared" si="10"/>
        <v>78.646721284642979</v>
      </c>
      <c r="CC27" s="59">
        <f t="shared" si="11"/>
        <v>371.98005461797629</v>
      </c>
      <c r="CD27" s="59">
        <f ca="1">AVERAGE(OFFSET($CC$3,0,0,'Données projet'!$E$12+1,1))-AVERAGE(OFFSET($H$3,0,0,'Données projet'!$E$12+1,1))</f>
        <v>158.58786357608489</v>
      </c>
      <c r="CE27" s="59">
        <f t="shared" si="40"/>
        <v>163.20074068819849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12.2</v>
      </c>
      <c r="CT27" s="12">
        <f>IF('Données projet'!$A$140&gt;35,CT26+CS27-DB26,IF(A27&lt;'Données projet'!$A$140,$CQ$205^A27,IF(A27='Données projet'!$A$140,'Données projet'!$B$140,CT26+CS27-DB26)))</f>
        <v>100.80000000000001</v>
      </c>
      <c r="CU27" s="17">
        <f>CT27*VLOOKUP('Données projet'!$B$13,Paramètres!$A$1:$I$89,3,0)*VLOOKUP('Données projet'!$B$13,Paramètres!$A$1:$I$89,5,0)</f>
        <v>73.906560000000013</v>
      </c>
      <c r="CV27" s="13">
        <f t="shared" si="41"/>
        <v>20.640506648584481</v>
      </c>
      <c r="CW27" s="20">
        <f t="shared" si="13"/>
        <v>164.6694744129513</v>
      </c>
      <c r="CX27" s="59">
        <f t="shared" si="14"/>
        <v>458.00280774628459</v>
      </c>
      <c r="CY27" s="59">
        <f ca="1">AVERAGE(OFFSET($CX$3,0,0,'Données projet'!$E$13+1,1))-AVERAGE(OFFSET($H$3,0,0,'Données projet'!$E$13+1,1))</f>
        <v>178.12968684094687</v>
      </c>
      <c r="CZ27" s="59">
        <f t="shared" si="42"/>
        <v>219.36004077210373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3.3401681387973232</v>
      </c>
      <c r="DH27" s="21">
        <f>EXP(-LN(2)/2)*DH26+(1-EXP(-LN(2)/2))/(LN(2)/2)*DB27*DE27*VLOOKUP('Données projet'!$B$13,Paramètres!$A$1:$I$89,3,0)*0.475*44/12</f>
        <v>1.8591961970570525</v>
      </c>
      <c r="DI27" s="22">
        <f t="shared" si="15"/>
        <v>5.1993643358543755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8.6</v>
      </c>
      <c r="DO27" s="12">
        <f>IF('Données projet'!$A$166&gt;35,DO26+DN27-DW26,IF(A27&lt;'Données projet'!$A$166,$DL$205^A27,IF(A27='Données projet'!$A$166,'Données projet'!$B$166,DO26+DN27-DW26)))</f>
        <v>184.39999999999992</v>
      </c>
      <c r="DP27" s="17">
        <f>DO27*VLOOKUP('Données projet'!$B$14,Paramètres!$A$1:$I$89,3,0)*VLOOKUP('Données projet'!$B$14,Paramètres!$A$1:$I$89,5,0)</f>
        <v>166.84511999999992</v>
      </c>
      <c r="DQ27" s="13">
        <f t="shared" si="43"/>
        <v>42.382666918050084</v>
      </c>
      <c r="DR27" s="20">
        <f t="shared" si="16"/>
        <v>364.40506221560372</v>
      </c>
      <c r="DS27" s="59">
        <f t="shared" si="17"/>
        <v>657.73839554893698</v>
      </c>
      <c r="DT27" s="59">
        <f ca="1">AVERAGE(OFFSET($DS$3,0,0,'Données projet'!$E$14+1,1))-AVERAGE(OFFSET($H$3,0,0,'Données projet'!$E$14+1,1))</f>
        <v>225.28075317732998</v>
      </c>
      <c r="DU27" s="59">
        <f t="shared" si="44"/>
        <v>358.43407531256207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0.55443102495487173</v>
      </c>
      <c r="EB27" s="21">
        <f>EXP(-LN(2)/25)*EB26+(1-EXP(-LN(2)/25))/(LN(2)/25)*Calculateur!DW27*Calculateur!DY27*VLOOKUP('Données projet'!$B$14,Paramètres!$A$1:$I$89,3,0)*0.475*44/12</f>
        <v>6.6894250587860995</v>
      </c>
      <c r="EC27" s="21">
        <f>EXP(-LN(2)/2)*EC26+(1-EXP(-LN(2)/2))/(LN(2)/2)*DW27*DZ27*VLOOKUP('Données projet'!$B$14,Paramètres!$A$1:$I$89,3,0)*0.475*44/12</f>
        <v>2.2571278007120976</v>
      </c>
      <c r="ED27" s="22">
        <f t="shared" si="18"/>
        <v>9.5009838844530687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3.6141025641025637</v>
      </c>
      <c r="EJ27" s="12">
        <f>IF('Données projet'!$A$192&gt;35,EJ26+EI27-ER26,IF(A27&lt;'Données projet'!$A$192,$EG$205^A27,IF(A27='Données projet'!$A$192,'Données projet'!$B$192,EJ26+EI27-ER26)))</f>
        <v>42.47147875252827</v>
      </c>
      <c r="EK27" s="17">
        <f>EJ27*VLOOKUP('Données projet'!$B$15,Paramètres!$A$1:$I$89,3,0)*VLOOKUP('Données projet'!$B$15,Paramètres!$A$1:$I$89,5,0)</f>
        <v>43.066079455063672</v>
      </c>
      <c r="EL27" s="13">
        <f t="shared" si="45"/>
        <v>12.807785598884697</v>
      </c>
      <c r="EM27" s="20">
        <f t="shared" si="19"/>
        <v>97.313648302293402</v>
      </c>
      <c r="EN27" s="59">
        <f t="shared" si="20"/>
        <v>390.64698163562673</v>
      </c>
      <c r="EO27" s="59">
        <f ca="1">AVERAGE(OFFSET($EN$3,0,0,'Données projet'!$E$15+1,1))-AVERAGE(OFFSET($H$3,0,0,'Données projet'!$E$15+1,1))</f>
        <v>363.98308691765931</v>
      </c>
      <c r="EP27" s="59">
        <f t="shared" si="46"/>
        <v>181.47089407988187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3.6141025641025637</v>
      </c>
      <c r="FE27" s="12">
        <f>IF('Données projet'!$A$218&gt;35,FE26+FD27-FM26,IF(A27&lt;'Données projet'!$A$218,$FB$205^A27,IF(A27='Données projet'!$A$218,'Données projet'!$B$218,FE26+FD27-FM26)))</f>
        <v>42.47147875252827</v>
      </c>
      <c r="FF27" s="17">
        <f>FE27*VLOOKUP('Données projet'!$B$16,Paramètres!$A$1:$I$89,3,0)*VLOOKUP('Données projet'!$B$16,Paramètres!$A$1:$I$89,5,0)</f>
        <v>45.716299729221426</v>
      </c>
      <c r="FG27" s="13">
        <f t="shared" si="47"/>
        <v>13.501774911277913</v>
      </c>
      <c r="FH27" s="20">
        <f t="shared" si="22"/>
        <v>103.13814666553634</v>
      </c>
      <c r="FI27" s="59">
        <f t="shared" si="23"/>
        <v>396.47147999886965</v>
      </c>
      <c r="FJ27" s="59">
        <f ca="1">AVERAGE(OFFSET($FI$3,0,0,'Données projet'!$E$16+1,1))-AVERAGE(OFFSET($H$3,0,0,'Données projet'!$E$16+1,1))</f>
        <v>395.30533160963489</v>
      </c>
      <c r="FK27" s="59">
        <f t="shared" si="48"/>
        <v>196.02102977695085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9.1</v>
      </c>
      <c r="FZ27" s="12">
        <f>IF('Données projet'!$A$244&gt;35,FZ26+FY27-GH26,IF(A27&lt;'Données projet'!$A$244,$FW$205^A27,IF(A27='Données projet'!$A$244,'Données projet'!$B$244,FZ26+FY27-GH26)))</f>
        <v>103.39999999999995</v>
      </c>
      <c r="GA27" s="17">
        <f>FZ27*VLOOKUP('Données projet'!$B$17,Paramètres!$A$1:$I$89,3,0)*VLOOKUP('Données projet'!$B$17,Paramètres!$A$1:$I$89,5,0)</f>
        <v>108.07367999999994</v>
      </c>
      <c r="GB27" s="13">
        <f t="shared" si="49"/>
        <v>28.876662943781092</v>
      </c>
      <c r="GC27" s="20">
        <f t="shared" si="25"/>
        <v>238.52184729375199</v>
      </c>
      <c r="GD27" s="59">
        <f t="shared" si="26"/>
        <v>531.85518062708525</v>
      </c>
      <c r="GE27" s="59">
        <f ca="1">AVERAGE(OFFSET($GD$3,0,0,'Données projet'!$E$17+1,1))-AVERAGE(OFFSET($H$3,0,0,'Données projet'!$E$17+1,1))</f>
        <v>269.41185214595805</v>
      </c>
      <c r="GF27" s="59">
        <f t="shared" si="50"/>
        <v>299.70148160580993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1.8818950315716785</v>
      </c>
      <c r="GM27" s="21">
        <f>EXP(-LN(2)/25)*GM26+(1-EXP(-LN(2)/25))/(LN(2)/25)*Calculateur!GH27*Calculateur!GJ27*VLOOKUP('Données projet'!$B$17,Paramètres!$A$1:$I$89,3,0)*0.475*44/12</f>
        <v>8.1720907368120983</v>
      </c>
      <c r="GN27" s="21">
        <f>EXP(-LN(2)/2)*GN26+(1-EXP(-LN(2)/2))/(LN(2)/2)*GH27*GK27*VLOOKUP('Données projet'!$B$17,Paramètres!$A$1:$I$89,3,0)*0.475*44/12</f>
        <v>4.548729102408859</v>
      </c>
      <c r="GO27" s="21">
        <f t="shared" si="27"/>
        <v>14.602714870792635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12.2</v>
      </c>
      <c r="GU27" s="12">
        <f>IF('Données projet'!$A$270&gt;35,GU26+GT27-HC26,IF(A27&lt;'Données projet'!$A$270,$GR$205^A27,IF(A27='Données projet'!$A$270,'Données projet'!$B$270,GU26+GT27-HC26)))</f>
        <v>100.80000000000001</v>
      </c>
      <c r="GV27" s="17">
        <f>GU27*VLOOKUP('Données projet'!$B$18,Paramètres!$A$1:$I$89,3,0)*VLOOKUP('Données projet'!$B$18,Paramètres!$A$1:$I$89,5,0)</f>
        <v>88.05888000000003</v>
      </c>
      <c r="GW27" s="13">
        <f t="shared" si="51"/>
        <v>24.096481170231201</v>
      </c>
      <c r="GX27" s="20">
        <f t="shared" si="28"/>
        <v>195.33725403815274</v>
      </c>
      <c r="GY27" s="59">
        <f t="shared" si="29"/>
        <v>488.67058737148602</v>
      </c>
      <c r="GZ27" s="59">
        <f ca="1">AVERAGE(OFFSET($GY$3,0,0,'Données projet'!$E$18+1,1))-AVERAGE(OFFSET($H$3,0,0,'Données projet'!$E$18+1,1))</f>
        <v>226.35975611953359</v>
      </c>
      <c r="HA27" s="59">
        <f t="shared" si="52"/>
        <v>271.65876694892461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4.905303827783503</v>
      </c>
      <c r="HI27" s="21">
        <f>EXP(-LN(2)/2)*HI26+(1-EXP(-LN(2)/2))/(LN(2)/2)*HC27*HF27*VLOOKUP('Données projet'!$B$18,Paramètres!$A$1:$I$89,3,0)*0.475*44/12</f>
        <v>2.2152124901105315</v>
      </c>
      <c r="HJ27" s="22">
        <f t="shared" si="30"/>
        <v>7.1205163178940349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3.6141025641025637</v>
      </c>
      <c r="N28" s="13">
        <f>IF('Données projet'!$A$36&gt;35,N27+M28-V27,IF(A28&lt;'Données projet'!$A$36,$K$205^A28,IF(A28='Données projet'!$A$36,'Données projet'!$B$36,N27+M28-V27)))</f>
        <v>49.651774378025635</v>
      </c>
      <c r="O28" s="13">
        <f>N28*VLOOKUP('Données projet'!$B$9,Paramètres!$A$1:$I$89,3,0)*VLOOKUP('Données projet'!$B$9,Paramètres!$A$1:$I$89,5,0)</f>
        <v>44.924925457237592</v>
      </c>
      <c r="P28" s="13">
        <f t="shared" si="33"/>
        <v>13.295047727521297</v>
      </c>
      <c r="Q28" s="20">
        <f t="shared" si="2"/>
        <v>101.39978663012171</v>
      </c>
      <c r="R28" s="59">
        <f t="shared" si="0"/>
        <v>394.73311996345501</v>
      </c>
      <c r="S28" s="59">
        <f ca="1">AVERAGE(OFFSET($R$3,0,0,'Données projet'!$E$9+1,1))-AVERAGE(OFFSET($H$3,0,0,'Données projet'!$E$9+1,1))</f>
        <v>309.07357540707869</v>
      </c>
      <c r="T28" s="59">
        <f t="shared" si="34"/>
        <v>155.9593924683299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</v>
      </c>
      <c r="AI28" s="13">
        <f>IF('Données projet'!$A$62&gt;35,AI27+AH28-AQ27,IF(A28&lt;'Données projet'!$A$62,$AF$205^A28,IF(A28='Données projet'!$A$62,'Données projet'!$B$62,AI27+AH28-AQ27)))</f>
        <v>112.49999999999994</v>
      </c>
      <c r="AJ28" s="13">
        <f>AI28*VLOOKUP('Données projet'!$B$10,Paramètres!$A$1:$I$89,3,0)*VLOOKUP('Données projet'!$B$10,Paramètres!$A$1:$I$89,5,0)</f>
        <v>98.279999999999959</v>
      </c>
      <c r="AK28" s="13">
        <f t="shared" si="35"/>
        <v>26.551818424463448</v>
      </c>
      <c r="AL28" s="20">
        <f t="shared" si="4"/>
        <v>217.41541708927375</v>
      </c>
      <c r="AM28" s="59">
        <f t="shared" si="5"/>
        <v>510.74875042260703</v>
      </c>
      <c r="AN28" s="59">
        <f ca="1">AVERAGE(OFFSET($AM$3,0,0,'Données projet'!$E$10+1,1))-AVERAGE(OFFSET($H$3,0,0,'Données projet'!$E$10+1,1))</f>
        <v>210.07838338464626</v>
      </c>
      <c r="AO28" s="59">
        <f t="shared" si="36"/>
        <v>241.76003724236273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1.5420830477512013</v>
      </c>
      <c r="AV28" s="21">
        <f>EXP(-LN(2)/25)*AV27+(1-EXP(-LN(2)/25))/(LN(2)/25)*Calculateur!AQ28*Calculateur!AS28*VLOOKUP('Données projet'!$B$10,Paramètres!$A$1:$I$89,3,0)*0.475*44/12</f>
        <v>6.6436264359446904</v>
      </c>
      <c r="AW28" s="21">
        <f>EXP(-LN(2)/2)*AW27+(1-EXP(-LN(2)/2))/(LN(2)/2)*AQ28*AT28*VLOOKUP('Données projet'!$B$10,Paramètres!$A$1:$I$89,3,0)*0.475*44/12</f>
        <v>2.6883654159590824</v>
      </c>
      <c r="AX28" s="21">
        <f t="shared" si="6"/>
        <v>10.874074899654975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</v>
      </c>
      <c r="BD28" s="12">
        <f>IF('Données projet'!$A$88&gt;35,BD27+BC28-BL27,IF(A28&lt;'Données projet'!$A$88,$BA$205^A28,IF(A28='Données projet'!$A$88,'Données projet'!$B$88,BD27+BC28-BL27)))</f>
        <v>150.00000000000003</v>
      </c>
      <c r="BE28" s="13">
        <f>BD28*VLOOKUP('Données projet'!$B$11,Paramètres!$A$1:$I$89,3,0)*VLOOKUP('Données projet'!$B$11,Paramètres!$A$1:$I$89,5,0)</f>
        <v>81.900000000000006</v>
      </c>
      <c r="BF28" s="13">
        <f t="shared" si="37"/>
        <v>22.601107473346342</v>
      </c>
      <c r="BG28" s="20">
        <f t="shared" si="7"/>
        <v>182.0060955160782</v>
      </c>
      <c r="BH28" s="59">
        <f t="shared" si="8"/>
        <v>475.33942884941155</v>
      </c>
      <c r="BI28" s="59">
        <f ca="1">AVERAGE(OFFSET($BH$3,0,0,'Données projet'!$E$11+1,1))-AVERAGE(OFFSET($H$3,0,0,'Données projet'!$E$11+1,1))</f>
        <v>168.72306536277267</v>
      </c>
      <c r="BJ28" s="59">
        <f t="shared" si="38"/>
        <v>203.35476578922339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10.739838537970709</v>
      </c>
      <c r="BR28" s="21">
        <f>EXP(-LN(2)/2)*BR27+(1-EXP(-LN(2)/2))/(LN(2)/2)*BL28*BO28*VLOOKUP('Données projet'!$B$11,Paramètres!$A$1:$I$89,3,0)*0.475*44/12</f>
        <v>3.1145696892208874</v>
      </c>
      <c r="BS28" s="22">
        <f t="shared" si="9"/>
        <v>13.854408227191596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7.2264102564102561</v>
      </c>
      <c r="BY28" s="12">
        <f>IF('Données projet'!$A$114&gt;35,BY27+BX28-CG27,IF(A28&lt;'Données projet'!$A$114,$BV$205^A28,IF(A28='Données projet'!$A$114,'Données projet'!$B$114,BY27+BX28-CG27)))</f>
        <v>88.451097014195071</v>
      </c>
      <c r="BZ28" s="13">
        <f>BY28*VLOOKUP('Données projet'!$B$12,Paramètres!$A$1:$I$89,3,0)*VLOOKUP('Données projet'!$B$12,Paramètres!$A$1:$I$89,5,0)</f>
        <v>41.39511340264329</v>
      </c>
      <c r="CA28" s="13">
        <f t="shared" si="39"/>
        <v>12.367680831528276</v>
      </c>
      <c r="CB28" s="20">
        <f t="shared" si="10"/>
        <v>93.636866624515463</v>
      </c>
      <c r="CC28" s="59">
        <f t="shared" si="11"/>
        <v>386.97019995784876</v>
      </c>
      <c r="CD28" s="59">
        <f ca="1">AVERAGE(OFFSET($CC$3,0,0,'Données projet'!$E$12+1,1))-AVERAGE(OFFSET($H$3,0,0,'Données projet'!$E$12+1,1))</f>
        <v>158.58786357608489</v>
      </c>
      <c r="CE28" s="59">
        <f t="shared" si="40"/>
        <v>163.20074068819849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12.2</v>
      </c>
      <c r="CT28" s="12">
        <f>IF('Données projet'!$A$140&gt;35,CT27+CS28-DB27,IF(A28&lt;'Données projet'!$A$140,$CQ$205^A28,IF(A28='Données projet'!$A$140,'Données projet'!$B$140,CT27+CS28-DB27)))</f>
        <v>113.00000000000001</v>
      </c>
      <c r="CU28" s="17">
        <f>CT28*VLOOKUP('Données projet'!$B$13,Paramètres!$A$1:$I$89,3,0)*VLOOKUP('Données projet'!$B$13,Paramètres!$A$1:$I$89,5,0)</f>
        <v>82.851600000000019</v>
      </c>
      <c r="CV28" s="13">
        <f t="shared" si="41"/>
        <v>22.832987552808163</v>
      </c>
      <c r="CW28" s="20">
        <f t="shared" si="13"/>
        <v>184.06732332114089</v>
      </c>
      <c r="CX28" s="59">
        <f t="shared" si="14"/>
        <v>477.40065665447423</v>
      </c>
      <c r="CY28" s="59">
        <f ca="1">AVERAGE(OFFSET($CX$3,0,0,'Données projet'!$E$13+1,1))-AVERAGE(OFFSET($H$3,0,0,'Données projet'!$E$13+1,1))</f>
        <v>178.12968684094687</v>
      </c>
      <c r="CZ28" s="59">
        <f t="shared" si="42"/>
        <v>219.36004077210373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3.2488310653901022</v>
      </c>
      <c r="DH28" s="21">
        <f>EXP(-LN(2)/2)*DH27+(1-EXP(-LN(2)/2))/(LN(2)/2)*DB28*DE28*VLOOKUP('Données projet'!$B$13,Paramètres!$A$1:$I$89,3,0)*0.475*44/12</f>
        <v>1.3146502384952827</v>
      </c>
      <c r="DI28" s="22">
        <f t="shared" si="15"/>
        <v>4.5634813038853848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193</v>
      </c>
      <c r="DM28" s="12">
        <f>VLOOKUP(A28,'Données projet'!$A$165:$I$185,9,0)</f>
        <v>8.6</v>
      </c>
      <c r="DN28" s="12">
        <f t="array" ref="DN28">INDEX(DM:DM,MIN(IF(ISNUMBER(DM28:DM224),ROW(DM28:DM224),"")))</f>
        <v>8.6</v>
      </c>
      <c r="DO28" s="12">
        <f>IF('Données projet'!$A$166&gt;35,DO27+DN28-DW27,IF(A28&lt;'Données projet'!$A$166,$DL$205^A28,IF(A28='Données projet'!$A$166,'Données projet'!$B$166,DO27+DN28-DW27)))</f>
        <v>192.99999999999991</v>
      </c>
      <c r="DP28" s="17">
        <f>DO28*VLOOKUP('Données projet'!$B$14,Paramètres!$A$1:$I$89,3,0)*VLOOKUP('Données projet'!$B$14,Paramètres!$A$1:$I$89,5,0)</f>
        <v>174.6263999999999</v>
      </c>
      <c r="DQ28" s="13">
        <f t="shared" si="43"/>
        <v>44.124558536403974</v>
      </c>
      <c r="DR28" s="20">
        <f t="shared" si="16"/>
        <v>380.99125278423679</v>
      </c>
      <c r="DS28" s="59">
        <f t="shared" si="17"/>
        <v>674.32458611757011</v>
      </c>
      <c r="DT28" s="59">
        <f ca="1">AVERAGE(OFFSET($DS$3,0,0,'Données projet'!$E$14+1,1))-AVERAGE(OFFSET($H$3,0,0,'Données projet'!$E$14+1,1))</f>
        <v>225.28075317732998</v>
      </c>
      <c r="DU28" s="59">
        <f t="shared" si="44"/>
        <v>358.43407531256207</v>
      </c>
      <c r="DV28" s="15">
        <f>IF(ISNA(VLOOKUP(A28,'Données projet'!$A$165:$I$185,3,0)),0,VLOOKUP(A28,'Données projet'!$A$165:$I$185,3,0))</f>
        <v>5</v>
      </c>
      <c r="DW28" s="15">
        <f>IF(ISNA(VLOOKUP(A28,'Données projet'!$A$165:$I$185,4,0)),0,VLOOKUP(A28,'Données projet'!$A$165:$I$185,4,0))</f>
        <v>14</v>
      </c>
      <c r="DX28" s="16">
        <f>IF(ISNA(VLOOKUP(A28,'Données projet'!$A$165:$I$185,5,0)),0%,VLOOKUP(A28,'Données projet'!$A$165:$I$185,5,0)*VLOOKUP('Données projet'!$B$14,Paramètres!$A$1:$I$89,7,0))</f>
        <v>0.06</v>
      </c>
      <c r="DY28" s="16">
        <f>IF(ISNA(VLOOKUP(A28,'Données projet'!$A$165:$I$185,6,0)),0%,VLOOKUP(A28,'Données projet'!$A$165:$I$185,6,0)*VLOOKUP('Données projet'!$B$14,Paramètres!$A$1:$I$89,7,0))</f>
        <v>0.12</v>
      </c>
      <c r="DZ28" s="16">
        <f>IF(ISNA(VLOOKUP(A28,'Données projet'!$A$165:$I$185,7,0)),0%,VLOOKUP(A28,'Données projet'!$A$165:$I$185,7,0))</f>
        <v>0.4</v>
      </c>
      <c r="EA28" s="21">
        <f>EXP(-LN(2)/35)*EA27+(1-EXP(-LN(2)/35))/(LN(2)/35)*DW28*DX28*VLOOKUP('Données projet'!$B$14,Paramètres!$A$1:$I$89,3,0)*0.475*44/12</f>
        <v>1.3837518342222275</v>
      </c>
      <c r="EB28" s="21">
        <f>EXP(-LN(2)/25)*EB27+(1-EXP(-LN(2)/25))/(LN(2)/25)*Calculateur!DW28*Calculateur!DY28*VLOOKUP('Données projet'!$B$14,Paramètres!$A$1:$I$89,3,0)*0.475*44/12</f>
        <v>8.1802717868820576</v>
      </c>
      <c r="EC28" s="21">
        <f>EXP(-LN(2)/2)*EC27+(1-EXP(-LN(2)/2))/(LN(2)/2)*DW28*DZ28*VLOOKUP('Données projet'!$B$14,Paramètres!$A$1:$I$89,3,0)*0.475*44/12</f>
        <v>6.3767680269639513</v>
      </c>
      <c r="ED28" s="22">
        <f t="shared" si="18"/>
        <v>15.940791648068236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3.6141025641025637</v>
      </c>
      <c r="EJ28" s="12">
        <f>IF('Données projet'!$A$192&gt;35,EJ27+EI28-ER27,IF(A28&lt;'Données projet'!$A$192,$EG$205^A28,IF(A28='Données projet'!$A$192,'Données projet'!$B$192,EJ27+EI28-ER27)))</f>
        <v>49.651774378025635</v>
      </c>
      <c r="EK28" s="17">
        <f>EJ28*VLOOKUP('Données projet'!$B$15,Paramètres!$A$1:$I$89,3,0)*VLOOKUP('Données projet'!$B$15,Paramètres!$A$1:$I$89,5,0)</f>
        <v>50.346899219318004</v>
      </c>
      <c r="EL28" s="13">
        <f t="shared" si="45"/>
        <v>14.703311817752425</v>
      </c>
      <c r="EM28" s="20">
        <f t="shared" si="19"/>
        <v>113.29578422289764</v>
      </c>
      <c r="EN28" s="59">
        <f t="shared" si="20"/>
        <v>406.62911755623094</v>
      </c>
      <c r="EO28" s="59">
        <f ca="1">AVERAGE(OFFSET($EN$3,0,0,'Données projet'!$E$15+1,1))-AVERAGE(OFFSET($H$3,0,0,'Données projet'!$E$15+1,1))</f>
        <v>363.98308691765931</v>
      </c>
      <c r="EP28" s="59">
        <f t="shared" si="46"/>
        <v>181.47089407988187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3.6141025641025637</v>
      </c>
      <c r="FE28" s="12">
        <f>IF('Données projet'!$A$218&gt;35,FE27+FD28-FM27,IF(A28&lt;'Données projet'!$A$218,$FB$205^A28,IF(A28='Données projet'!$A$218,'Données projet'!$B$218,FE27+FD28-FM27)))</f>
        <v>49.651774378025635</v>
      </c>
      <c r="FF28" s="17">
        <f>FE28*VLOOKUP('Données projet'!$B$16,Paramètres!$A$1:$I$89,3,0)*VLOOKUP('Données projet'!$B$16,Paramètres!$A$1:$I$89,5,0)</f>
        <v>53.445169940506787</v>
      </c>
      <c r="FG28" s="13">
        <f t="shared" si="47"/>
        <v>15.500010136874318</v>
      </c>
      <c r="FH28" s="20">
        <f t="shared" si="22"/>
        <v>120.07952196810542</v>
      </c>
      <c r="FI28" s="59">
        <f t="shared" si="23"/>
        <v>413.41285530143875</v>
      </c>
      <c r="FJ28" s="59">
        <f ca="1">AVERAGE(OFFSET($FI$3,0,0,'Données projet'!$E$16+1,1))-AVERAGE(OFFSET($H$3,0,0,'Données projet'!$E$16+1,1))</f>
        <v>395.30533160963489</v>
      </c>
      <c r="FK28" s="59">
        <f t="shared" si="48"/>
        <v>196.02102977695085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9.1</v>
      </c>
      <c r="FZ28" s="12">
        <f>IF('Données projet'!$A$244&gt;35,FZ27+FY28-GH27,IF(A28&lt;'Données projet'!$A$244,$FW$205^A28,IF(A28='Données projet'!$A$244,'Données projet'!$B$244,FZ27+FY28-GH27)))</f>
        <v>112.49999999999994</v>
      </c>
      <c r="GA28" s="17">
        <f>FZ28*VLOOKUP('Données projet'!$B$17,Paramètres!$A$1:$I$89,3,0)*VLOOKUP('Données projet'!$B$17,Paramètres!$A$1:$I$89,5,0)</f>
        <v>117.58499999999997</v>
      </c>
      <c r="GB28" s="13">
        <f t="shared" si="49"/>
        <v>31.111075477504603</v>
      </c>
      <c r="GC28" s="20">
        <f t="shared" si="25"/>
        <v>258.97899812332042</v>
      </c>
      <c r="GD28" s="59">
        <f t="shared" si="26"/>
        <v>552.31233145665374</v>
      </c>
      <c r="GE28" s="59">
        <f ca="1">AVERAGE(OFFSET($GD$3,0,0,'Données projet'!$E$17+1,1))-AVERAGE(OFFSET($H$3,0,0,'Données projet'!$E$17+1,1))</f>
        <v>269.41185214595805</v>
      </c>
      <c r="GF28" s="59">
        <f t="shared" si="50"/>
        <v>299.70148160580993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1.844992217845187</v>
      </c>
      <c r="GM28" s="21">
        <f>EXP(-LN(2)/25)*GM27+(1-EXP(-LN(2)/25))/(LN(2)/25)*Calculateur!GH28*Calculateur!GJ28*VLOOKUP('Données projet'!$B$17,Paramètres!$A$1:$I$89,3,0)*0.475*44/12</f>
        <v>7.9486244858623971</v>
      </c>
      <c r="GN28" s="21">
        <f>EXP(-LN(2)/2)*GN27+(1-EXP(-LN(2)/2))/(LN(2)/2)*GH28*GK28*VLOOKUP('Données projet'!$B$17,Paramètres!$A$1:$I$89,3,0)*0.475*44/12</f>
        <v>3.2164371940939018</v>
      </c>
      <c r="GO28" s="21">
        <f t="shared" si="27"/>
        <v>13.010053897801487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12.2</v>
      </c>
      <c r="GU28" s="12">
        <f>IF('Données projet'!$A$270&gt;35,GU27+GT28-HC27,IF(A28&lt;'Données projet'!$A$270,$GR$205^A28,IF(A28='Données projet'!$A$270,'Données projet'!$B$270,GU27+GT28-HC27)))</f>
        <v>113.00000000000001</v>
      </c>
      <c r="GV28" s="17">
        <f>GU28*VLOOKUP('Données projet'!$B$18,Paramètres!$A$1:$I$89,3,0)*VLOOKUP('Données projet'!$B$18,Paramètres!$A$1:$I$89,5,0)</f>
        <v>98.716800000000021</v>
      </c>
      <c r="GW28" s="13">
        <f t="shared" si="51"/>
        <v>26.656063438447475</v>
      </c>
      <c r="GX28" s="20">
        <f t="shared" si="28"/>
        <v>218.35773715529604</v>
      </c>
      <c r="GY28" s="59">
        <f t="shared" si="29"/>
        <v>511.69107048862935</v>
      </c>
      <c r="GZ28" s="59">
        <f ca="1">AVERAGE(OFFSET($GY$3,0,0,'Données projet'!$E$18+1,1))-AVERAGE(OFFSET($H$3,0,0,'Données projet'!$E$18+1,1))</f>
        <v>226.35975611953359</v>
      </c>
      <c r="HA28" s="59">
        <f t="shared" si="52"/>
        <v>271.65876694892461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4.7711680366540463</v>
      </c>
      <c r="HI28" s="21">
        <f>EXP(-LN(2)/2)*HI27+(1-EXP(-LN(2)/2))/(LN(2)/2)*HC28*HF28*VLOOKUP('Données projet'!$B$18,Paramètres!$A$1:$I$89,3,0)*0.475*44/12</f>
        <v>1.5663917735262947</v>
      </c>
      <c r="HJ28" s="22">
        <f t="shared" si="30"/>
        <v>6.3375598101803412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3.6141025641025637</v>
      </c>
      <c r="N29" s="13">
        <f>IF('Données projet'!$A$36&gt;35,N28+M29-V28,IF(A29&lt;'Données projet'!$A$36,$K$205^A29,IF(A29='Données projet'!$A$36,'Données projet'!$B$36,N28+M29-V28)))</f>
        <v>58.045982181385838</v>
      </c>
      <c r="O29" s="13">
        <f>N29*VLOOKUP('Données projet'!$B$9,Paramètres!$A$1:$I$89,3,0)*VLOOKUP('Données projet'!$B$9,Paramètres!$A$1:$I$89,5,0)</f>
        <v>52.520004677717907</v>
      </c>
      <c r="P29" s="13">
        <f t="shared" si="33"/>
        <v>15.262687750384339</v>
      </c>
      <c r="Q29" s="20">
        <f t="shared" si="2"/>
        <v>118.05485597894473</v>
      </c>
      <c r="R29" s="59">
        <f t="shared" si="0"/>
        <v>411.38818931227803</v>
      </c>
      <c r="S29" s="59">
        <f ca="1">AVERAGE(OFFSET($R$3,0,0,'Données projet'!$E$9+1,1))-AVERAGE(OFFSET($H$3,0,0,'Données projet'!$E$9+1,1))</f>
        <v>309.07357540707869</v>
      </c>
      <c r="T29" s="59">
        <f t="shared" si="34"/>
        <v>155.9593924683299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</v>
      </c>
      <c r="AI29" s="13">
        <f>IF('Données projet'!$A$62&gt;35,AI28+AH29-AQ28,IF(A29&lt;'Données projet'!$A$62,$AF$205^A29,IF(A29='Données projet'!$A$62,'Données projet'!$B$62,AI28+AH29-AQ28)))</f>
        <v>121.59999999999994</v>
      </c>
      <c r="AJ29" s="13">
        <f>AI29*VLOOKUP('Données projet'!$B$10,Paramètres!$A$1:$I$89,3,0)*VLOOKUP('Données projet'!$B$10,Paramètres!$A$1:$I$89,5,0)</f>
        <v>106.22975999999997</v>
      </c>
      <c r="AK29" s="13">
        <f t="shared" si="35"/>
        <v>28.440891625171467</v>
      </c>
      <c r="AL29" s="20">
        <f t="shared" si="4"/>
        <v>234.55138491384025</v>
      </c>
      <c r="AM29" s="59">
        <f t="shared" si="5"/>
        <v>527.88471824717362</v>
      </c>
      <c r="AN29" s="59">
        <f ca="1">AVERAGE(OFFSET($AM$3,0,0,'Données projet'!$E$10+1,1))-AVERAGE(OFFSET($H$3,0,0,'Données projet'!$E$10+1,1))</f>
        <v>210.07838338464626</v>
      </c>
      <c r="AO29" s="59">
        <f t="shared" si="36"/>
        <v>241.76003724236273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1.511843739762585</v>
      </c>
      <c r="AV29" s="21">
        <f>EXP(-LN(2)/25)*AV28+(1-EXP(-LN(2)/25))/(LN(2)/25)*Calculateur!AQ29*Calculateur!AS29*VLOOKUP('Données projet'!$B$10,Paramètres!$A$1:$I$89,3,0)*0.475*44/12</f>
        <v>6.4619561216806529</v>
      </c>
      <c r="AW29" s="21">
        <f>EXP(-LN(2)/2)*AW28+(1-EXP(-LN(2)/2))/(LN(2)/2)*AQ29*AT29*VLOOKUP('Données projet'!$B$10,Paramètres!$A$1:$I$89,3,0)*0.475*44/12</f>
        <v>1.9009614159320609</v>
      </c>
      <c r="AX29" s="21">
        <f t="shared" si="6"/>
        <v>9.8747612773752991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</v>
      </c>
      <c r="BD29" s="12">
        <f>IF('Données projet'!$A$88&gt;35,BD28+BC29-BL28,IF(A29&lt;'Données projet'!$A$88,$BA$205^A29,IF(A29='Données projet'!$A$88,'Données projet'!$B$88,BD28+BC29-BL28)))</f>
        <v>164.00000000000003</v>
      </c>
      <c r="BE29" s="13">
        <f>BD29*VLOOKUP('Données projet'!$B$11,Paramètres!$A$1:$I$89,3,0)*VLOOKUP('Données projet'!$B$11,Paramètres!$A$1:$I$89,5,0)</f>
        <v>89.544000000000011</v>
      </c>
      <c r="BF29" s="13">
        <f t="shared" si="37"/>
        <v>24.45521628326841</v>
      </c>
      <c r="BG29" s="20">
        <f t="shared" si="7"/>
        <v>198.54863502669249</v>
      </c>
      <c r="BH29" s="59">
        <f t="shared" si="8"/>
        <v>491.88196836002578</v>
      </c>
      <c r="BI29" s="59">
        <f ca="1">AVERAGE(OFFSET($BH$3,0,0,'Données projet'!$E$11+1,1))-AVERAGE(OFFSET($H$3,0,0,'Données projet'!$E$11+1,1))</f>
        <v>168.72306536277267</v>
      </c>
      <c r="BJ29" s="59">
        <f t="shared" si="38"/>
        <v>203.35476578922339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10.446157088366338</v>
      </c>
      <c r="BR29" s="21">
        <f>EXP(-LN(2)/2)*BR28+(1-EXP(-LN(2)/2))/(LN(2)/2)*BL29*BO29*VLOOKUP('Données projet'!$B$11,Paramètres!$A$1:$I$89,3,0)*0.475*44/12</f>
        <v>2.2023333477261673</v>
      </c>
      <c r="BS29" s="22">
        <f t="shared" si="9"/>
        <v>12.648490436092505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7.2264102564102561</v>
      </c>
      <c r="BY29" s="12">
        <f>IF('Données projet'!$A$114&gt;35,BY28+BX29-CG28,IF(A29&lt;'Données projet'!$A$114,$BV$205^A29,IF(A29='Données projet'!$A$114,'Données projet'!$B$114,BY28+BX29-CG28)))</f>
        <v>105.82087604801265</v>
      </c>
      <c r="BZ29" s="13">
        <f>BY29*VLOOKUP('Données projet'!$B$12,Paramètres!$A$1:$I$89,3,0)*VLOOKUP('Données projet'!$B$12,Paramètres!$A$1:$I$89,5,0)</f>
        <v>49.524169990469915</v>
      </c>
      <c r="CA29" s="13">
        <f t="shared" si="39"/>
        <v>14.490806184311312</v>
      </c>
      <c r="CB29" s="20">
        <f t="shared" si="10"/>
        <v>111.4927501710773</v>
      </c>
      <c r="CC29" s="59">
        <f t="shared" si="11"/>
        <v>404.82608350441063</v>
      </c>
      <c r="CD29" s="59">
        <f ca="1">AVERAGE(OFFSET($CC$3,0,0,'Données projet'!$E$12+1,1))-AVERAGE(OFFSET($H$3,0,0,'Données projet'!$E$12+1,1))</f>
        <v>158.58786357608489</v>
      </c>
      <c r="CE29" s="59">
        <f t="shared" si="40"/>
        <v>163.20074068819849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12.2</v>
      </c>
      <c r="CT29" s="12">
        <f>IF('Données projet'!$A$140&gt;35,CT28+CS29-DB28,IF(A29&lt;'Données projet'!$A$140,$CQ$205^A29,IF(A29='Données projet'!$A$140,'Données projet'!$B$140,CT28+CS29-DB28)))</f>
        <v>125.20000000000002</v>
      </c>
      <c r="CU29" s="17">
        <f>CT29*VLOOKUP('Données projet'!$B$13,Paramètres!$A$1:$I$89,3,0)*VLOOKUP('Données projet'!$B$13,Paramètres!$A$1:$I$89,5,0)</f>
        <v>91.796640000000011</v>
      </c>
      <c r="CV29" s="13">
        <f t="shared" si="41"/>
        <v>24.998031572688671</v>
      </c>
      <c r="CW29" s="20">
        <f t="shared" si="13"/>
        <v>203.41738632243278</v>
      </c>
      <c r="CX29" s="59">
        <f t="shared" si="14"/>
        <v>496.75071965576609</v>
      </c>
      <c r="CY29" s="59">
        <f ca="1">AVERAGE(OFFSET($CX$3,0,0,'Données projet'!$E$13+1,1))-AVERAGE(OFFSET($H$3,0,0,'Données projet'!$E$13+1,1))</f>
        <v>178.12968684094687</v>
      </c>
      <c r="CZ29" s="59">
        <f t="shared" si="42"/>
        <v>219.36004077210373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3.1599916090584093</v>
      </c>
      <c r="DH29" s="21">
        <f>EXP(-LN(2)/2)*DH28+(1-EXP(-LN(2)/2))/(LN(2)/2)*DB29*DE29*VLOOKUP('Données projet'!$B$13,Paramètres!$A$1:$I$89,3,0)*0.475*44/12</f>
        <v>0.92959809852852648</v>
      </c>
      <c r="DI29" s="22">
        <f t="shared" si="15"/>
        <v>4.0895897075869359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6.8</v>
      </c>
      <c r="DO29" s="12">
        <f>IF('Données projet'!$A$166&gt;35,DO28+DN29-DW28,IF(A29&lt;'Données projet'!$A$166,$DL$205^A29,IF(A29='Données projet'!$A$166,'Données projet'!$B$166,DO28+DN29-DW28)))</f>
        <v>185.79999999999993</v>
      </c>
      <c r="DP29" s="17">
        <f>DO29*VLOOKUP('Données projet'!$B$14,Paramètres!$A$1:$I$89,3,0)*VLOOKUP('Données projet'!$B$14,Paramètres!$A$1:$I$89,5,0)</f>
        <v>168.11183999999994</v>
      </c>
      <c r="DQ29" s="13">
        <f t="shared" si="43"/>
        <v>42.666864059506466</v>
      </c>
      <c r="DR29" s="20">
        <f t="shared" si="16"/>
        <v>367.10624290364035</v>
      </c>
      <c r="DS29" s="59">
        <f t="shared" si="17"/>
        <v>660.43957623697361</v>
      </c>
      <c r="DT29" s="59">
        <f ca="1">AVERAGE(OFFSET($DS$3,0,0,'Données projet'!$E$14+1,1))-AVERAGE(OFFSET($H$3,0,0,'Données projet'!$E$14+1,1))</f>
        <v>225.28075317732998</v>
      </c>
      <c r="DU29" s="59">
        <f t="shared" si="44"/>
        <v>358.43407531256207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1.3566173047584098</v>
      </c>
      <c r="EB29" s="21">
        <f>EXP(-LN(2)/25)*EB28+(1-EXP(-LN(2)/25))/(LN(2)/25)*Calculateur!DW29*Calculateur!DY29*VLOOKUP('Données projet'!$B$14,Paramètres!$A$1:$I$89,3,0)*0.475*44/12</f>
        <v>7.9565818246879711</v>
      </c>
      <c r="EC29" s="21">
        <f>EXP(-LN(2)/2)*EC28+(1-EXP(-LN(2)/2))/(LN(2)/2)*DW29*DZ29*VLOOKUP('Données projet'!$B$14,Paramètres!$A$1:$I$89,3,0)*0.475*44/12</f>
        <v>4.509055913919771</v>
      </c>
      <c r="ED29" s="22">
        <f t="shared" si="18"/>
        <v>13.822255043366152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3.6141025641025637</v>
      </c>
      <c r="EJ29" s="12">
        <f>IF('Données projet'!$A$192&gt;35,EJ28+EI29-ER28,IF(A29&lt;'Données projet'!$A$192,$EG$205^A29,IF(A29='Données projet'!$A$192,'Données projet'!$B$192,EJ28+EI29-ER28)))</f>
        <v>58.045982181385838</v>
      </c>
      <c r="EK29" s="17">
        <f>EJ29*VLOOKUP('Données projet'!$B$15,Paramètres!$A$1:$I$89,3,0)*VLOOKUP('Données projet'!$B$15,Paramètres!$A$1:$I$89,5,0)</f>
        <v>58.858625931925246</v>
      </c>
      <c r="EL29" s="13">
        <f t="shared" si="45"/>
        <v>16.87937206170001</v>
      </c>
      <c r="EM29" s="20">
        <f t="shared" si="19"/>
        <v>131.91034650556398</v>
      </c>
      <c r="EN29" s="59">
        <f t="shared" si="20"/>
        <v>425.24367983889726</v>
      </c>
      <c r="EO29" s="59">
        <f ca="1">AVERAGE(OFFSET($EN$3,0,0,'Données projet'!$E$15+1,1))-AVERAGE(OFFSET($H$3,0,0,'Données projet'!$E$15+1,1))</f>
        <v>363.98308691765931</v>
      </c>
      <c r="EP29" s="59">
        <f t="shared" si="46"/>
        <v>181.47089407988187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3.6141025641025637</v>
      </c>
      <c r="FE29" s="12">
        <f>IF('Données projet'!$A$218&gt;35,FE28+FD29-FM28,IF(A29&lt;'Données projet'!$A$218,$FB$205^A29,IF(A29='Données projet'!$A$218,'Données projet'!$B$218,FE28+FD29-FM28)))</f>
        <v>58.045982181385838</v>
      </c>
      <c r="FF29" s="17">
        <f>FE29*VLOOKUP('Données projet'!$B$16,Paramètres!$A$1:$I$89,3,0)*VLOOKUP('Données projet'!$B$16,Paramètres!$A$1:$I$89,5,0)</f>
        <v>62.480695220043714</v>
      </c>
      <c r="FG29" s="13">
        <f t="shared" si="47"/>
        <v>17.793980111646473</v>
      </c>
      <c r="FH29" s="20">
        <f t="shared" si="22"/>
        <v>139.81172620269373</v>
      </c>
      <c r="FI29" s="59">
        <f t="shared" si="23"/>
        <v>433.14505953602702</v>
      </c>
      <c r="FJ29" s="59">
        <f ca="1">AVERAGE(OFFSET($FI$3,0,0,'Données projet'!$E$16+1,1))-AVERAGE(OFFSET($H$3,0,0,'Données projet'!$E$16+1,1))</f>
        <v>395.30533160963489</v>
      </c>
      <c r="FK29" s="59">
        <f t="shared" si="48"/>
        <v>196.02102977695085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9.1</v>
      </c>
      <c r="FZ29" s="12">
        <f>IF('Données projet'!$A$244&gt;35,FZ28+FY29-GH28,IF(A29&lt;'Données projet'!$A$244,$FW$205^A29,IF(A29='Données projet'!$A$244,'Données projet'!$B$244,FZ28+FY29-GH28)))</f>
        <v>121.59999999999994</v>
      </c>
      <c r="GA29" s="17">
        <f>FZ29*VLOOKUP('Données projet'!$B$17,Paramètres!$A$1:$I$89,3,0)*VLOOKUP('Données projet'!$B$17,Paramètres!$A$1:$I$89,5,0)</f>
        <v>127.09631999999995</v>
      </c>
      <c r="GB29" s="13">
        <f t="shared" si="49"/>
        <v>33.324524590112638</v>
      </c>
      <c r="GC29" s="20">
        <f t="shared" si="25"/>
        <v>279.39963766111276</v>
      </c>
      <c r="GD29" s="59">
        <f t="shared" si="26"/>
        <v>572.73297099444608</v>
      </c>
      <c r="GE29" s="59">
        <f ca="1">AVERAGE(OFFSET($GD$3,0,0,'Données projet'!$E$17+1,1))-AVERAGE(OFFSET($H$3,0,0,'Données projet'!$E$17+1,1))</f>
        <v>269.41185214595805</v>
      </c>
      <c r="GF29" s="59">
        <f t="shared" si="50"/>
        <v>299.70148160580993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1.8088130457873781</v>
      </c>
      <c r="GM29" s="21">
        <f>EXP(-LN(2)/25)*GM28+(1-EXP(-LN(2)/25))/(LN(2)/25)*Calculateur!GH29*Calculateur!GJ29*VLOOKUP('Données projet'!$B$17,Paramètres!$A$1:$I$89,3,0)*0.475*44/12</f>
        <v>7.7312689312964951</v>
      </c>
      <c r="GN29" s="21">
        <f>EXP(-LN(2)/2)*GN28+(1-EXP(-LN(2)/2))/(LN(2)/2)*GH29*GK29*VLOOKUP('Données projet'!$B$17,Paramètres!$A$1:$I$89,3,0)*0.475*44/12</f>
        <v>2.2743645512044295</v>
      </c>
      <c r="GO29" s="21">
        <f t="shared" si="27"/>
        <v>11.814446528288302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12.2</v>
      </c>
      <c r="GU29" s="12">
        <f>IF('Données projet'!$A$270&gt;35,GU28+GT29-HC28,IF(A29&lt;'Données projet'!$A$270,$GR$205^A29,IF(A29='Données projet'!$A$270,'Données projet'!$B$270,GU28+GT29-HC28)))</f>
        <v>125.20000000000002</v>
      </c>
      <c r="GV29" s="17">
        <f>GU29*VLOOKUP('Données projet'!$B$18,Paramètres!$A$1:$I$89,3,0)*VLOOKUP('Données projet'!$B$18,Paramètres!$A$1:$I$89,5,0)</f>
        <v>109.37472000000004</v>
      </c>
      <c r="GW29" s="13">
        <f t="shared" si="51"/>
        <v>29.183614885996381</v>
      </c>
      <c r="GX29" s="20">
        <f t="shared" si="28"/>
        <v>241.32243325977709</v>
      </c>
      <c r="GY29" s="59">
        <f t="shared" si="29"/>
        <v>534.65576659311046</v>
      </c>
      <c r="GZ29" s="59">
        <f ca="1">AVERAGE(OFFSET($GY$3,0,0,'Données projet'!$E$18+1,1))-AVERAGE(OFFSET($H$3,0,0,'Données projet'!$E$18+1,1))</f>
        <v>226.35975611953359</v>
      </c>
      <c r="HA29" s="59">
        <f t="shared" si="52"/>
        <v>271.65876694892461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4.6407001957869189</v>
      </c>
      <c r="HI29" s="21">
        <f>EXP(-LN(2)/2)*HI28+(1-EXP(-LN(2)/2))/(LN(2)/2)*HC29*HF29*VLOOKUP('Données projet'!$B$18,Paramètres!$A$1:$I$89,3,0)*0.475*44/12</f>
        <v>1.1076062450552657</v>
      </c>
      <c r="HJ29" s="22">
        <f t="shared" si="30"/>
        <v>5.7483064408421845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3.6141025641025637</v>
      </c>
      <c r="N30" s="13">
        <f>IF('Données projet'!$A$36&gt;35,N29+M30-V29,IF(A30&lt;'Données projet'!$A$36,$K$205^A30,IF(A30='Données projet'!$A$36,'Données projet'!$B$36,N29+M30-V29)))</f>
        <v>67.859328082601763</v>
      </c>
      <c r="O30" s="13">
        <f>N30*VLOOKUP('Données projet'!$B$9,Paramètres!$A$1:$I$89,3,0)*VLOOKUP('Données projet'!$B$9,Paramètres!$A$1:$I$89,5,0)</f>
        <v>61.39912004913807</v>
      </c>
      <c r="P30" s="13">
        <f t="shared" si="33"/>
        <v>17.521534494646211</v>
      </c>
      <c r="Q30" s="20">
        <f t="shared" si="2"/>
        <v>137.45347333042426</v>
      </c>
      <c r="R30" s="59">
        <f t="shared" si="0"/>
        <v>430.7868066637576</v>
      </c>
      <c r="S30" s="59">
        <f ca="1">AVERAGE(OFFSET($R$3,0,0,'Données projet'!$E$9+1,1))-AVERAGE(OFFSET($H$3,0,0,'Données projet'!$E$9+1,1))</f>
        <v>309.07357540707869</v>
      </c>
      <c r="T30" s="59">
        <f t="shared" si="34"/>
        <v>155.9593924683299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</v>
      </c>
      <c r="AI30" s="13">
        <f>IF('Données projet'!$A$62&gt;35,AI29+AH30-AQ29,IF(A30&lt;'Données projet'!$A$62,$AF$205^A30,IF(A30='Données projet'!$A$62,'Données projet'!$B$62,AI29+AH30-AQ29)))</f>
        <v>130.69999999999993</v>
      </c>
      <c r="AJ30" s="13">
        <f>AI30*VLOOKUP('Données projet'!$B$10,Paramètres!$A$1:$I$89,3,0)*VLOOKUP('Données projet'!$B$10,Paramètres!$A$1:$I$89,5,0)</f>
        <v>114.17951999999995</v>
      </c>
      <c r="AK30" s="13">
        <f t="shared" si="35"/>
        <v>30.313564695312358</v>
      </c>
      <c r="AL30" s="20">
        <f t="shared" si="4"/>
        <v>251.65878917766895</v>
      </c>
      <c r="AM30" s="59">
        <f t="shared" si="5"/>
        <v>544.99212251100221</v>
      </c>
      <c r="AN30" s="59">
        <f ca="1">AVERAGE(OFFSET($AM$3,0,0,'Données projet'!$E$10+1,1))-AVERAGE(OFFSET($H$3,0,0,'Données projet'!$E$10+1,1))</f>
        <v>210.07838338464626</v>
      </c>
      <c r="AO30" s="59">
        <f t="shared" si="36"/>
        <v>241.76003724236273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1.4821974061594689</v>
      </c>
      <c r="AV30" s="21">
        <f>EXP(-LN(2)/25)*AV29+(1-EXP(-LN(2)/25))/(LN(2)/25)*Calculateur!AQ30*Calculateur!AS30*VLOOKUP('Données projet'!$B$10,Paramètres!$A$1:$I$89,3,0)*0.475*44/12</f>
        <v>6.2852535917137917</v>
      </c>
      <c r="AW30" s="21">
        <f>EXP(-LN(2)/2)*AW29+(1-EXP(-LN(2)/2))/(LN(2)/2)*AQ30*AT30*VLOOKUP('Données projet'!$B$10,Paramètres!$A$1:$I$89,3,0)*0.475*44/12</f>
        <v>1.3441827079795414</v>
      </c>
      <c r="AX30" s="21">
        <f t="shared" si="6"/>
        <v>9.1116337058528014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</v>
      </c>
      <c r="BD30" s="12">
        <f>IF('Données projet'!$A$88&gt;35,BD29+BC30-BL29,IF(A30&lt;'Données projet'!$A$88,$BA$205^A30,IF(A30='Données projet'!$A$88,'Données projet'!$B$88,BD29+BC30-BL29)))</f>
        <v>178.00000000000003</v>
      </c>
      <c r="BE30" s="13">
        <f>BD30*VLOOKUP('Données projet'!$B$11,Paramètres!$A$1:$I$89,3,0)*VLOOKUP('Données projet'!$B$11,Paramètres!$A$1:$I$89,5,0)</f>
        <v>97.188000000000017</v>
      </c>
      <c r="BF30" s="13">
        <f t="shared" si="37"/>
        <v>26.290969297460332</v>
      </c>
      <c r="BG30" s="20">
        <f t="shared" si="7"/>
        <v>215.05920485974343</v>
      </c>
      <c r="BH30" s="59">
        <f t="shared" si="8"/>
        <v>508.39253819307675</v>
      </c>
      <c r="BI30" s="59">
        <f ca="1">AVERAGE(OFFSET($BH$3,0,0,'Données projet'!$E$11+1,1))-AVERAGE(OFFSET($H$3,0,0,'Données projet'!$E$11+1,1))</f>
        <v>168.72306536277267</v>
      </c>
      <c r="BJ30" s="59">
        <f t="shared" si="38"/>
        <v>203.35476578922339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10.160506373445434</v>
      </c>
      <c r="BR30" s="21">
        <f>EXP(-LN(2)/2)*BR29+(1-EXP(-LN(2)/2))/(LN(2)/2)*BL30*BO30*VLOOKUP('Données projet'!$B$11,Paramètres!$A$1:$I$89,3,0)*0.475*44/12</f>
        <v>1.5572848446104437</v>
      </c>
      <c r="BS30" s="22">
        <f t="shared" si="9"/>
        <v>11.717791218055877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7.2264102564102561</v>
      </c>
      <c r="BY30" s="12">
        <f>IF('Données projet'!$A$114&gt;35,BY29+BX30-CG29,IF(A30&lt;'Données projet'!$A$114,$BV$205^A30,IF(A30='Données projet'!$A$114,'Données projet'!$B$114,BY29+BX30-CG29)))</f>
        <v>126.60168370519743</v>
      </c>
      <c r="BZ30" s="13">
        <f>BY30*VLOOKUP('Données projet'!$B$12,Paramètres!$A$1:$I$89,3,0)*VLOOKUP('Données projet'!$B$12,Paramètres!$A$1:$I$89,5,0)</f>
        <v>59.249587974032401</v>
      </c>
      <c r="CA30" s="13">
        <f t="shared" si="39"/>
        <v>16.97840255838226</v>
      </c>
      <c r="CB30" s="20">
        <f t="shared" si="10"/>
        <v>132.76375017728887</v>
      </c>
      <c r="CC30" s="59">
        <f t="shared" si="11"/>
        <v>426.09708351062216</v>
      </c>
      <c r="CD30" s="59">
        <f ca="1">AVERAGE(OFFSET($CC$3,0,0,'Données projet'!$E$12+1,1))-AVERAGE(OFFSET($H$3,0,0,'Données projet'!$E$12+1,1))</f>
        <v>158.58786357608489</v>
      </c>
      <c r="CE30" s="59">
        <f t="shared" si="40"/>
        <v>163.20074068819849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12.2</v>
      </c>
      <c r="CT30" s="12">
        <f>IF('Données projet'!$A$140&gt;35,CT29+CS30-DB29,IF(A30&lt;'Données projet'!$A$140,$CQ$205^A30,IF(A30='Données projet'!$A$140,'Données projet'!$B$140,CT29+CS30-DB29)))</f>
        <v>137.4</v>
      </c>
      <c r="CU30" s="17">
        <f>CT30*VLOOKUP('Données projet'!$B$13,Paramètres!$A$1:$I$89,3,0)*VLOOKUP('Données projet'!$B$13,Paramètres!$A$1:$I$89,5,0)</f>
        <v>100.74168</v>
      </c>
      <c r="CV30" s="13">
        <f t="shared" si="41"/>
        <v>27.138616518742744</v>
      </c>
      <c r="CW30" s="20">
        <f t="shared" si="13"/>
        <v>222.72484977014358</v>
      </c>
      <c r="CX30" s="59">
        <f t="shared" si="14"/>
        <v>516.05818310347695</v>
      </c>
      <c r="CY30" s="59">
        <f ca="1">AVERAGE(OFFSET($CX$3,0,0,'Données projet'!$E$13+1,1))-AVERAGE(OFFSET($H$3,0,0,'Données projet'!$E$13+1,1))</f>
        <v>178.12968684094687</v>
      </c>
      <c r="CZ30" s="59">
        <f t="shared" si="42"/>
        <v>219.36004077210373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3.0735814723319708</v>
      </c>
      <c r="DH30" s="21">
        <f>EXP(-LN(2)/2)*DH29+(1-EXP(-LN(2)/2))/(LN(2)/2)*DB30*DE30*VLOOKUP('Données projet'!$B$13,Paramètres!$A$1:$I$89,3,0)*0.475*44/12</f>
        <v>0.65732511924764148</v>
      </c>
      <c r="DI30" s="22">
        <f t="shared" si="15"/>
        <v>3.730906591579612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6.8</v>
      </c>
      <c r="DO30" s="12">
        <f>IF('Données projet'!$A$166&gt;35,DO29+DN30-DW29,IF(A30&lt;'Données projet'!$A$166,$DL$205^A30,IF(A30='Données projet'!$A$166,'Données projet'!$B$166,DO29+DN30-DW29)))</f>
        <v>192.59999999999994</v>
      </c>
      <c r="DP30" s="17">
        <f>DO30*VLOOKUP('Données projet'!$B$14,Paramètres!$A$1:$I$89,3,0)*VLOOKUP('Données projet'!$B$14,Paramètres!$A$1:$I$89,5,0)</f>
        <v>174.26447999999993</v>
      </c>
      <c r="DQ30" s="13">
        <f t="shared" si="43"/>
        <v>44.043743683739521</v>
      </c>
      <c r="DR30" s="20">
        <f t="shared" si="16"/>
        <v>380.22015624917958</v>
      </c>
      <c r="DS30" s="59">
        <f t="shared" si="17"/>
        <v>673.55348958251284</v>
      </c>
      <c r="DT30" s="59">
        <f ca="1">AVERAGE(OFFSET($DS$3,0,0,'Données projet'!$E$14+1,1))-AVERAGE(OFFSET($H$3,0,0,'Données projet'!$E$14+1,1))</f>
        <v>225.28075317732998</v>
      </c>
      <c r="DU30" s="59">
        <f t="shared" si="44"/>
        <v>358.43407531256207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1.3300148668669489</v>
      </c>
      <c r="EB30" s="21">
        <f>EXP(-LN(2)/25)*EB29+(1-EXP(-LN(2)/25))/(LN(2)/25)*Calculateur!DW30*Calculateur!DY30*VLOOKUP('Données projet'!$B$14,Paramètres!$A$1:$I$89,3,0)*0.475*44/12</f>
        <v>7.7390086762734258</v>
      </c>
      <c r="EC30" s="21">
        <f>EXP(-LN(2)/2)*EC29+(1-EXP(-LN(2)/2))/(LN(2)/2)*DW30*DZ30*VLOOKUP('Données projet'!$B$14,Paramètres!$A$1:$I$89,3,0)*0.475*44/12</f>
        <v>3.1883840134819756</v>
      </c>
      <c r="ED30" s="22">
        <f t="shared" si="18"/>
        <v>12.257407556622351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3.6141025641025637</v>
      </c>
      <c r="EJ30" s="12">
        <f>IF('Données projet'!$A$192&gt;35,EJ29+EI30-ER29,IF(A30&lt;'Données projet'!$A$192,$EG$205^A30,IF(A30='Données projet'!$A$192,'Données projet'!$B$192,EJ29+EI30-ER29)))</f>
        <v>67.859328082601763</v>
      </c>
      <c r="EK30" s="17">
        <f>EJ30*VLOOKUP('Données projet'!$B$15,Paramètres!$A$1:$I$89,3,0)*VLOOKUP('Données projet'!$B$15,Paramètres!$A$1:$I$89,5,0)</f>
        <v>68.80935867575819</v>
      </c>
      <c r="EL30" s="13">
        <f t="shared" si="45"/>
        <v>19.377484795860848</v>
      </c>
      <c r="EM30" s="20">
        <f t="shared" si="19"/>
        <v>153.59208571306985</v>
      </c>
      <c r="EN30" s="59">
        <f t="shared" si="20"/>
        <v>446.92541904640314</v>
      </c>
      <c r="EO30" s="59">
        <f ca="1">AVERAGE(OFFSET($EN$3,0,0,'Données projet'!$E$15+1,1))-AVERAGE(OFFSET($H$3,0,0,'Données projet'!$E$15+1,1))</f>
        <v>363.98308691765931</v>
      </c>
      <c r="EP30" s="59">
        <f t="shared" si="46"/>
        <v>181.47089407988187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3.6141025641025637</v>
      </c>
      <c r="FE30" s="12">
        <f>IF('Données projet'!$A$218&gt;35,FE29+FD30-FM29,IF(A30&lt;'Données projet'!$A$218,$FB$205^A30,IF(A30='Données projet'!$A$218,'Données projet'!$B$218,FE29+FD30-FM29)))</f>
        <v>67.859328082601763</v>
      </c>
      <c r="FF30" s="17">
        <f>FE30*VLOOKUP('Données projet'!$B$16,Paramètres!$A$1:$I$89,3,0)*VLOOKUP('Données projet'!$B$16,Paramètres!$A$1:$I$89,5,0)</f>
        <v>73.043780748112539</v>
      </c>
      <c r="FG30" s="13">
        <f t="shared" si="47"/>
        <v>20.427452976977222</v>
      </c>
      <c r="FH30" s="20">
        <f t="shared" si="22"/>
        <v>162.79573207119799</v>
      </c>
      <c r="FI30" s="59">
        <f t="shared" si="23"/>
        <v>456.12906540453127</v>
      </c>
      <c r="FJ30" s="59">
        <f ca="1">AVERAGE(OFFSET($FI$3,0,0,'Données projet'!$E$16+1,1))-AVERAGE(OFFSET($H$3,0,0,'Données projet'!$E$16+1,1))</f>
        <v>395.30533160963489</v>
      </c>
      <c r="FK30" s="59">
        <f t="shared" si="48"/>
        <v>196.02102977695085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9.1</v>
      </c>
      <c r="FZ30" s="12">
        <f>IF('Données projet'!$A$244&gt;35,FZ29+FY30-GH29,IF(A30&lt;'Données projet'!$A$244,$FW$205^A30,IF(A30='Données projet'!$A$244,'Données projet'!$B$244,FZ29+FY30-GH29)))</f>
        <v>130.69999999999993</v>
      </c>
      <c r="GA30" s="17">
        <f>FZ30*VLOOKUP('Données projet'!$B$17,Paramètres!$A$1:$I$89,3,0)*VLOOKUP('Données projet'!$B$17,Paramètres!$A$1:$I$89,5,0)</f>
        <v>136.60763999999995</v>
      </c>
      <c r="GB30" s="13">
        <f t="shared" si="49"/>
        <v>35.518757478364279</v>
      </c>
      <c r="GC30" s="20">
        <f t="shared" si="25"/>
        <v>299.78680894148437</v>
      </c>
      <c r="GD30" s="59">
        <f t="shared" si="26"/>
        <v>593.12014227481768</v>
      </c>
      <c r="GE30" s="59">
        <f ca="1">AVERAGE(OFFSET($GD$3,0,0,'Données projet'!$E$17+1,1))-AVERAGE(OFFSET($H$3,0,0,'Données projet'!$E$17+1,1))</f>
        <v>269.41185214595805</v>
      </c>
      <c r="GF30" s="59">
        <f t="shared" si="50"/>
        <v>299.70148160580993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1.773343325226507</v>
      </c>
      <c r="GM30" s="21">
        <f>EXP(-LN(2)/25)*GM29+(1-EXP(-LN(2)/25))/(LN(2)/25)*Calculateur!GH30*Calculateur!GJ30*VLOOKUP('Données projet'!$B$17,Paramètres!$A$1:$I$89,3,0)*0.475*44/12</f>
        <v>7.5198569758004297</v>
      </c>
      <c r="GN30" s="21">
        <f>EXP(-LN(2)/2)*GN29+(1-EXP(-LN(2)/2))/(LN(2)/2)*GH30*GK30*VLOOKUP('Données projet'!$B$17,Paramètres!$A$1:$I$89,3,0)*0.475*44/12</f>
        <v>1.6082185970469509</v>
      </c>
      <c r="GO30" s="21">
        <f t="shared" si="27"/>
        <v>10.901418898073889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12.2</v>
      </c>
      <c r="GU30" s="12">
        <f>IF('Données projet'!$A$270&gt;35,GU29+GT30-HC29,IF(A30&lt;'Données projet'!$A$270,$GR$205^A30,IF(A30='Données projet'!$A$270,'Données projet'!$B$270,GU29+GT30-HC29)))</f>
        <v>137.4</v>
      </c>
      <c r="GV30" s="17">
        <f>GU30*VLOOKUP('Données projet'!$B$18,Paramètres!$A$1:$I$89,3,0)*VLOOKUP('Données projet'!$B$18,Paramètres!$A$1:$I$89,5,0)</f>
        <v>120.03264000000003</v>
      </c>
      <c r="GW30" s="13">
        <f t="shared" si="51"/>
        <v>31.682611917612821</v>
      </c>
      <c r="GX30" s="20">
        <f t="shared" si="28"/>
        <v>264.23739708984232</v>
      </c>
      <c r="GY30" s="59">
        <f t="shared" si="29"/>
        <v>557.57073042317563</v>
      </c>
      <c r="GZ30" s="59">
        <f ca="1">AVERAGE(OFFSET($GY$3,0,0,'Données projet'!$E$18+1,1))-AVERAGE(OFFSET($H$3,0,0,'Données projet'!$E$18+1,1))</f>
        <v>226.35975611953359</v>
      </c>
      <c r="HA30" s="59">
        <f t="shared" si="52"/>
        <v>271.65876694892461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4.5138000048893092</v>
      </c>
      <c r="HI30" s="21">
        <f>EXP(-LN(2)/2)*HI29+(1-EXP(-LN(2)/2))/(LN(2)/2)*HC30*HF30*VLOOKUP('Données projet'!$B$18,Paramètres!$A$1:$I$89,3,0)*0.475*44/12</f>
        <v>0.78319588676314733</v>
      </c>
      <c r="HJ30" s="22">
        <f t="shared" si="30"/>
        <v>5.2969958916524567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3.6141025641025637</v>
      </c>
      <c r="N31" s="13">
        <f>IF('Données projet'!$A$36&gt;35,N30+M31-V30,IF(A31&lt;'Données projet'!$A$36,$K$205^A31,IF(A31='Données projet'!$A$36,'Données projet'!$B$36,N30+M31-V30)))</f>
        <v>79.331733821516394</v>
      </c>
      <c r="O31" s="13">
        <f>N31*VLOOKUP('Données projet'!$B$9,Paramètres!$A$1:$I$89,3,0)*VLOOKUP('Données projet'!$B$9,Paramètres!$A$1:$I$89,5,0)</f>
        <v>71.779352761708026</v>
      </c>
      <c r="P31" s="13">
        <f t="shared" si="33"/>
        <v>20.114685962788318</v>
      </c>
      <c r="Q31" s="20">
        <f t="shared" si="2"/>
        <v>160.04878411183111</v>
      </c>
      <c r="R31" s="59">
        <f t="shared" si="0"/>
        <v>453.38211744516445</v>
      </c>
      <c r="S31" s="59">
        <f ca="1">AVERAGE(OFFSET($R$3,0,0,'Données projet'!$E$9+1,1))-AVERAGE(OFFSET($H$3,0,0,'Données projet'!$E$9+1,1))</f>
        <v>309.07357540707869</v>
      </c>
      <c r="T31" s="59">
        <f t="shared" si="34"/>
        <v>155.9593924683299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</v>
      </c>
      <c r="AI31" s="13">
        <f>IF('Données projet'!$A$62&gt;35,AI30+AH31-AQ30,IF(A31&lt;'Données projet'!$A$62,$AF$205^A31,IF(A31='Données projet'!$A$62,'Données projet'!$B$62,AI30+AH31-AQ30)))</f>
        <v>139.79999999999993</v>
      </c>
      <c r="AJ31" s="13">
        <f>AI31*VLOOKUP('Données projet'!$B$10,Paramètres!$A$1:$I$89,3,0)*VLOOKUP('Données projet'!$B$10,Paramètres!$A$1:$I$89,5,0)</f>
        <v>122.12927999999995</v>
      </c>
      <c r="AK31" s="13">
        <f t="shared" si="35"/>
        <v>32.171109382958164</v>
      </c>
      <c r="AL31" s="20">
        <f t="shared" si="4"/>
        <v>268.73984484198542</v>
      </c>
      <c r="AM31" s="59">
        <f t="shared" si="5"/>
        <v>562.07317817531873</v>
      </c>
      <c r="AN31" s="59">
        <f ca="1">AVERAGE(OFFSET($AM$3,0,0,'Données projet'!$E$10+1,1))-AVERAGE(OFFSET($H$3,0,0,'Données projet'!$E$10+1,1))</f>
        <v>210.07838338464626</v>
      </c>
      <c r="AO31" s="59">
        <f t="shared" si="36"/>
        <v>241.76003724236273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1.4531324190758319</v>
      </c>
      <c r="AV31" s="21">
        <f>EXP(-LN(2)/25)*AV30+(1-EXP(-LN(2)/25))/(LN(2)/25)*Calculateur!AQ31*Calculateur!AS31*VLOOKUP('Données projet'!$B$10,Paramètres!$A$1:$I$89,3,0)*0.475*44/12</f>
        <v>6.1133830017212567</v>
      </c>
      <c r="AW31" s="21">
        <f>EXP(-LN(2)/2)*AW30+(1-EXP(-LN(2)/2))/(LN(2)/2)*AQ31*AT31*VLOOKUP('Données projet'!$B$10,Paramètres!$A$1:$I$89,3,0)*0.475*44/12</f>
        <v>0.95048070796603057</v>
      </c>
      <c r="AX31" s="21">
        <f t="shared" si="6"/>
        <v>8.51699612876312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</v>
      </c>
      <c r="BD31" s="12">
        <f>IF('Données projet'!$A$88&gt;35,BD30+BC31-BL30,IF(A31&lt;'Données projet'!$A$88,$BA$205^A31,IF(A31='Données projet'!$A$88,'Données projet'!$B$88,BD30+BC31-BL30)))</f>
        <v>192.00000000000003</v>
      </c>
      <c r="BE31" s="13">
        <f>BD31*VLOOKUP('Données projet'!$B$11,Paramètres!$A$1:$I$89,3,0)*VLOOKUP('Données projet'!$B$11,Paramètres!$A$1:$I$89,5,0)</f>
        <v>104.83200000000002</v>
      </c>
      <c r="BF31" s="13">
        <f t="shared" si="37"/>
        <v>28.109974371137717</v>
      </c>
      <c r="BG31" s="20">
        <f t="shared" si="7"/>
        <v>231.54060536306488</v>
      </c>
      <c r="BH31" s="59">
        <f t="shared" si="8"/>
        <v>524.87393869639823</v>
      </c>
      <c r="BI31" s="59">
        <f ca="1">AVERAGE(OFFSET($BH$3,0,0,'Données projet'!$E$11+1,1))-AVERAGE(OFFSET($H$3,0,0,'Données projet'!$E$11+1,1))</f>
        <v>168.72306536277267</v>
      </c>
      <c r="BJ31" s="59">
        <f t="shared" si="38"/>
        <v>203.35476578922339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9.882666792345761</v>
      </c>
      <c r="BR31" s="21">
        <f>EXP(-LN(2)/2)*BR30+(1-EXP(-LN(2)/2))/(LN(2)/2)*BL31*BO31*VLOOKUP('Données projet'!$B$11,Paramètres!$A$1:$I$89,3,0)*0.475*44/12</f>
        <v>1.1011666738630836</v>
      </c>
      <c r="BS31" s="22">
        <f t="shared" si="9"/>
        <v>10.983833466208845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7.2264102564102561</v>
      </c>
      <c r="BY31" s="12">
        <f>IF('Données projet'!$A$114&gt;35,BY30+BX31-CG30,IF(A31&lt;'Données projet'!$A$114,$BV$205^A31,IF(A31='Données projet'!$A$114,'Données projet'!$B$114,BY30+BX31-CG30)))</f>
        <v>151.46336824615491</v>
      </c>
      <c r="BZ31" s="13">
        <f>BY31*VLOOKUP('Données projet'!$B$12,Paramètres!$A$1:$I$89,3,0)*VLOOKUP('Données projet'!$B$12,Paramètres!$A$1:$I$89,5,0)</f>
        <v>70.884856339200496</v>
      </c>
      <c r="CA31" s="13">
        <f t="shared" si="39"/>
        <v>19.893037679751526</v>
      </c>
      <c r="CB31" s="20">
        <f t="shared" si="10"/>
        <v>158.10483208300809</v>
      </c>
      <c r="CC31" s="59">
        <f t="shared" si="11"/>
        <v>451.43816541634141</v>
      </c>
      <c r="CD31" s="59">
        <f ca="1">AVERAGE(OFFSET($CC$3,0,0,'Données projet'!$E$12+1,1))-AVERAGE(OFFSET($H$3,0,0,'Données projet'!$E$12+1,1))</f>
        <v>158.58786357608489</v>
      </c>
      <c r="CE31" s="59">
        <f t="shared" si="40"/>
        <v>163.20074068819849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12.2</v>
      </c>
      <c r="CT31" s="12">
        <f>IF('Données projet'!$A$140&gt;35,CT30+CS31-DB30,IF(A31&lt;'Données projet'!$A$140,$CQ$205^A31,IF(A31='Données projet'!$A$140,'Données projet'!$B$140,CT30+CS31-DB30)))</f>
        <v>149.6</v>
      </c>
      <c r="CU31" s="17">
        <f>CT31*VLOOKUP('Données projet'!$B$13,Paramètres!$A$1:$I$89,3,0)*VLOOKUP('Données projet'!$B$13,Paramètres!$A$1:$I$89,5,0)</f>
        <v>109.68671999999999</v>
      </c>
      <c r="CV31" s="13">
        <f t="shared" si="41"/>
        <v>29.257161113605147</v>
      </c>
      <c r="CW31" s="20">
        <f t="shared" si="13"/>
        <v>241.99392627286227</v>
      </c>
      <c r="CX31" s="59">
        <f t="shared" si="14"/>
        <v>535.32725960619564</v>
      </c>
      <c r="CY31" s="59">
        <f ca="1">AVERAGE(OFFSET($CX$3,0,0,'Données projet'!$E$13+1,1))-AVERAGE(OFFSET($H$3,0,0,'Données projet'!$E$13+1,1))</f>
        <v>178.12968684094687</v>
      </c>
      <c r="CZ31" s="59">
        <f t="shared" si="42"/>
        <v>219.36004077210373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2.9895342253384283</v>
      </c>
      <c r="DH31" s="21">
        <f>EXP(-LN(2)/2)*DH30+(1-EXP(-LN(2)/2))/(LN(2)/2)*DB31*DE31*VLOOKUP('Données projet'!$B$13,Paramètres!$A$1:$I$89,3,0)*0.475*44/12</f>
        <v>0.4647990492642633</v>
      </c>
      <c r="DI31" s="22">
        <f t="shared" si="15"/>
        <v>3.4543332746026918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6.8</v>
      </c>
      <c r="DO31" s="12">
        <f>IF('Données projet'!$A$166&gt;35,DO30+DN31-DW30,IF(A31&lt;'Données projet'!$A$166,$DL$205^A31,IF(A31='Données projet'!$A$166,'Données projet'!$B$166,DO30+DN31-DW30)))</f>
        <v>199.39999999999995</v>
      </c>
      <c r="DP31" s="17">
        <f>DO31*VLOOKUP('Données projet'!$B$14,Paramètres!$A$1:$I$89,3,0)*VLOOKUP('Données projet'!$B$14,Paramètres!$A$1:$I$89,5,0)</f>
        <v>180.41711999999995</v>
      </c>
      <c r="DQ31" s="13">
        <f t="shared" si="43"/>
        <v>45.414975176335098</v>
      </c>
      <c r="DR31" s="20">
        <f t="shared" si="16"/>
        <v>393.32423243211684</v>
      </c>
      <c r="DS31" s="59">
        <f t="shared" si="17"/>
        <v>686.65756576545016</v>
      </c>
      <c r="DT31" s="59">
        <f ca="1">AVERAGE(OFFSET($DS$3,0,0,'Données projet'!$E$14+1,1))-AVERAGE(OFFSET($H$3,0,0,'Données projet'!$E$14+1,1))</f>
        <v>225.28075317732998</v>
      </c>
      <c r="DU31" s="59">
        <f t="shared" si="44"/>
        <v>358.43407531256207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1.3039340865566547</v>
      </c>
      <c r="EB31" s="21">
        <f>EXP(-LN(2)/25)*EB30+(1-EXP(-LN(2)/25))/(LN(2)/25)*Calculateur!DW31*Calculateur!DY31*VLOOKUP('Données projet'!$B$14,Paramètres!$A$1:$I$89,3,0)*0.475*44/12</f>
        <v>7.5273850770439505</v>
      </c>
      <c r="EC31" s="21">
        <f>EXP(-LN(2)/2)*EC30+(1-EXP(-LN(2)/2))/(LN(2)/2)*DW31*DZ31*VLOOKUP('Données projet'!$B$14,Paramètres!$A$1:$I$89,3,0)*0.475*44/12</f>
        <v>2.2545279569598855</v>
      </c>
      <c r="ED31" s="22">
        <f t="shared" si="18"/>
        <v>11.085847120560491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3.6141025641025637</v>
      </c>
      <c r="EJ31" s="12">
        <f>IF('Données projet'!$A$192&gt;35,EJ30+EI31-ER30,IF(A31&lt;'Données projet'!$A$192,$EG$205^A31,IF(A31='Données projet'!$A$192,'Données projet'!$B$192,EJ30+EI31-ER30)))</f>
        <v>79.331733821516394</v>
      </c>
      <c r="EK31" s="17">
        <f>EJ31*VLOOKUP('Données projet'!$B$15,Paramètres!$A$1:$I$89,3,0)*VLOOKUP('Données projet'!$B$15,Paramètres!$A$1:$I$89,5,0)</f>
        <v>80.442378095017631</v>
      </c>
      <c r="EL31" s="13">
        <f t="shared" si="45"/>
        <v>22.245313133763656</v>
      </c>
      <c r="EM31" s="20">
        <f t="shared" si="19"/>
        <v>178.84772889012743</v>
      </c>
      <c r="EN31" s="59">
        <f t="shared" si="20"/>
        <v>472.18106222346074</v>
      </c>
      <c r="EO31" s="59">
        <f ca="1">AVERAGE(OFFSET($EN$3,0,0,'Données projet'!$E$15+1,1))-AVERAGE(OFFSET($H$3,0,0,'Données projet'!$E$15+1,1))</f>
        <v>363.98308691765931</v>
      </c>
      <c r="EP31" s="59">
        <f t="shared" si="46"/>
        <v>181.47089407988187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3.6141025641025637</v>
      </c>
      <c r="FE31" s="12">
        <f>IF('Données projet'!$A$218&gt;35,FE30+FD31-FM30,IF(A31&lt;'Données projet'!$A$218,$FB$205^A31,IF(A31='Données projet'!$A$218,'Données projet'!$B$218,FE30+FD31-FM30)))</f>
        <v>79.331733821516394</v>
      </c>
      <c r="FF31" s="17">
        <f>FE31*VLOOKUP('Données projet'!$B$16,Paramètres!$A$1:$I$89,3,0)*VLOOKUP('Données projet'!$B$16,Paramètres!$A$1:$I$89,5,0)</f>
        <v>85.392678285480244</v>
      </c>
      <c r="FG31" s="13">
        <f t="shared" si="47"/>
        <v>23.450674470153977</v>
      </c>
      <c r="FH31" s="20">
        <f t="shared" si="22"/>
        <v>189.56883938272958</v>
      </c>
      <c r="FI31" s="59">
        <f t="shared" si="23"/>
        <v>482.90217271606286</v>
      </c>
      <c r="FJ31" s="59">
        <f ca="1">AVERAGE(OFFSET($FI$3,0,0,'Données projet'!$E$16+1,1))-AVERAGE(OFFSET($H$3,0,0,'Données projet'!$E$16+1,1))</f>
        <v>395.30533160963489</v>
      </c>
      <c r="FK31" s="59">
        <f t="shared" si="48"/>
        <v>196.02102977695085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9.1</v>
      </c>
      <c r="FZ31" s="12">
        <f>IF('Données projet'!$A$244&gt;35,FZ30+FY31-GH30,IF(A31&lt;'Données projet'!$A$244,$FW$205^A31,IF(A31='Données projet'!$A$244,'Données projet'!$B$244,FZ30+FY31-GH30)))</f>
        <v>139.79999999999993</v>
      </c>
      <c r="GA31" s="17">
        <f>FZ31*VLOOKUP('Données projet'!$B$17,Paramètres!$A$1:$I$89,3,0)*VLOOKUP('Données projet'!$B$17,Paramètres!$A$1:$I$89,5,0)</f>
        <v>146.11895999999993</v>
      </c>
      <c r="GB31" s="13">
        <f t="shared" si="49"/>
        <v>37.695264264315419</v>
      </c>
      <c r="GC31" s="20">
        <f t="shared" si="25"/>
        <v>320.14310726034927</v>
      </c>
      <c r="GD31" s="59">
        <f t="shared" si="26"/>
        <v>613.47644059368258</v>
      </c>
      <c r="GE31" s="59">
        <f ca="1">AVERAGE(OFFSET($GD$3,0,0,'Données projet'!$E$17+1,1))-AVERAGE(OFFSET($H$3,0,0,'Données projet'!$E$17+1,1))</f>
        <v>269.41185214595805</v>
      </c>
      <c r="GF31" s="59">
        <f t="shared" si="50"/>
        <v>299.70148160580993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1.7385691442514413</v>
      </c>
      <c r="GM31" s="21">
        <f>EXP(-LN(2)/25)*GM30+(1-EXP(-LN(2)/25))/(LN(2)/25)*Calculateur!GH31*Calculateur!GJ31*VLOOKUP('Données projet'!$B$17,Paramètres!$A$1:$I$89,3,0)*0.475*44/12</f>
        <v>7.3142260913450752</v>
      </c>
      <c r="GN31" s="21">
        <f>EXP(-LN(2)/2)*GN30+(1-EXP(-LN(2)/2))/(LN(2)/2)*GH31*GK31*VLOOKUP('Données projet'!$B$17,Paramètres!$A$1:$I$89,3,0)*0.475*44/12</f>
        <v>1.1371822756022147</v>
      </c>
      <c r="GO31" s="21">
        <f t="shared" si="27"/>
        <v>10.18997751119873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12.2</v>
      </c>
      <c r="GU31" s="12">
        <f>IF('Données projet'!$A$270&gt;35,GU30+GT31-HC30,IF(A31&lt;'Données projet'!$A$270,$GR$205^A31,IF(A31='Données projet'!$A$270,'Données projet'!$B$270,GU30+GT31-HC30)))</f>
        <v>149.6</v>
      </c>
      <c r="GV31" s="17">
        <f>GU31*VLOOKUP('Données projet'!$B$18,Paramètres!$A$1:$I$89,3,0)*VLOOKUP('Données projet'!$B$18,Paramètres!$A$1:$I$89,5,0)</f>
        <v>130.69056000000003</v>
      </c>
      <c r="GW31" s="13">
        <f t="shared" si="51"/>
        <v>34.155878238422723</v>
      </c>
      <c r="GX31" s="20">
        <f t="shared" si="28"/>
        <v>287.10754659858628</v>
      </c>
      <c r="GY31" s="59">
        <f t="shared" si="29"/>
        <v>580.44087993191965</v>
      </c>
      <c r="GZ31" s="59">
        <f ca="1">AVERAGE(OFFSET($GY$3,0,0,'Données projet'!$E$18+1,1))-AVERAGE(OFFSET($H$3,0,0,'Données projet'!$E$18+1,1))</f>
        <v>226.35975611953359</v>
      </c>
      <c r="HA31" s="59">
        <f t="shared" si="52"/>
        <v>271.65876694892461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4.3903699063851853</v>
      </c>
      <c r="HI31" s="21">
        <f>EXP(-LN(2)/2)*HI30+(1-EXP(-LN(2)/2))/(LN(2)/2)*HC31*HF31*VLOOKUP('Données projet'!$B$18,Paramètres!$A$1:$I$89,3,0)*0.475*44/12</f>
        <v>0.55380312252763286</v>
      </c>
      <c r="HJ31" s="22">
        <f t="shared" si="30"/>
        <v>4.9441730289128181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3.6141025641025637</v>
      </c>
      <c r="N32" s="13">
        <f>IF('Données projet'!$A$36&gt;35,N31+M32-V31,IF(A32&lt;'Données projet'!$A$36,$K$205^A32,IF(A32='Données projet'!$A$36,'Données projet'!$B$36,N31+M32-V31)))</f>
        <v>92.74368268820956</v>
      </c>
      <c r="O32" s="13">
        <f>N32*VLOOKUP('Données projet'!$B$9,Paramètres!$A$1:$I$89,3,0)*VLOOKUP('Données projet'!$B$9,Paramètres!$A$1:$I$89,5,0)</f>
        <v>83.914484096292014</v>
      </c>
      <c r="P32" s="13">
        <f t="shared" si="33"/>
        <v>23.091618574002229</v>
      </c>
      <c r="Q32" s="20">
        <f t="shared" si="2"/>
        <v>186.36896215076243</v>
      </c>
      <c r="R32" s="59">
        <f t="shared" si="0"/>
        <v>479.70229548409577</v>
      </c>
      <c r="S32" s="59">
        <f ca="1">AVERAGE(OFFSET($R$3,0,0,'Données projet'!$E$9+1,1))-AVERAGE(OFFSET($H$3,0,0,'Données projet'!$E$9+1,1))</f>
        <v>309.07357540707869</v>
      </c>
      <c r="T32" s="59">
        <f t="shared" si="34"/>
        <v>155.9593924683299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</v>
      </c>
      <c r="AI32" s="13">
        <f>IF('Données projet'!$A$62&gt;35,AI31+AH32-AQ31,IF(A32&lt;'Données projet'!$A$62,$AF$205^A32,IF(A32='Données projet'!$A$62,'Données projet'!$B$62,AI31+AH32-AQ31)))</f>
        <v>148.89999999999992</v>
      </c>
      <c r="AJ32" s="13">
        <f>AI32*VLOOKUP('Données projet'!$B$10,Paramètres!$A$1:$I$89,3,0)*VLOOKUP('Données projet'!$B$10,Paramètres!$A$1:$I$89,5,0)</f>
        <v>130.07903999999994</v>
      </c>
      <c r="AK32" s="13">
        <f t="shared" si="35"/>
        <v>34.014622509548083</v>
      </c>
      <c r="AL32" s="20">
        <f t="shared" si="4"/>
        <v>285.79646220412945</v>
      </c>
      <c r="AM32" s="59">
        <f t="shared" si="5"/>
        <v>579.12979553746277</v>
      </c>
      <c r="AN32" s="59">
        <f ca="1">AVERAGE(OFFSET($AM$3,0,0,'Données projet'!$E$10+1,1))-AVERAGE(OFFSET($H$3,0,0,'Données projet'!$E$10+1,1))</f>
        <v>210.07838338464626</v>
      </c>
      <c r="AO32" s="59">
        <f t="shared" si="36"/>
        <v>241.76003724236273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1.4246373786610134</v>
      </c>
      <c r="AV32" s="21">
        <f>EXP(-LN(2)/25)*AV31+(1-EXP(-LN(2)/25))/(LN(2)/25)*Calculateur!AQ32*Calculateur!AS32*VLOOKUP('Données projet'!$B$10,Paramètres!$A$1:$I$89,3,0)*0.475*44/12</f>
        <v>5.9462122220503488</v>
      </c>
      <c r="AW32" s="21">
        <f>EXP(-LN(2)/2)*AW31+(1-EXP(-LN(2)/2))/(LN(2)/2)*AQ32*AT32*VLOOKUP('Données projet'!$B$10,Paramètres!$A$1:$I$89,3,0)*0.475*44/12</f>
        <v>0.67209135398977082</v>
      </c>
      <c r="AX32" s="21">
        <f t="shared" si="6"/>
        <v>8.0429409547011339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</v>
      </c>
      <c r="BD32" s="12">
        <f>IF('Données projet'!$A$88&gt;35,BD31+BC32-BL31,IF(A32&lt;'Données projet'!$A$88,$BA$205^A32,IF(A32='Données projet'!$A$88,'Données projet'!$B$88,BD31+BC32-BL31)))</f>
        <v>206.00000000000003</v>
      </c>
      <c r="BE32" s="13">
        <f>BD32*VLOOKUP('Données projet'!$B$11,Paramètres!$A$1:$I$89,3,0)*VLOOKUP('Données projet'!$B$11,Paramètres!$A$1:$I$89,5,0)</f>
        <v>112.47600000000001</v>
      </c>
      <c r="BF32" s="13">
        <f t="shared" si="37"/>
        <v>29.913591585896704</v>
      </c>
      <c r="BG32" s="20">
        <f t="shared" si="7"/>
        <v>247.99520534543674</v>
      </c>
      <c r="BH32" s="59">
        <f t="shared" si="8"/>
        <v>541.32853867877009</v>
      </c>
      <c r="BI32" s="59">
        <f ca="1">AVERAGE(OFFSET($BH$3,0,0,'Données projet'!$E$11+1,1))-AVERAGE(OFFSET($H$3,0,0,'Données projet'!$E$11+1,1))</f>
        <v>168.72306536277267</v>
      </c>
      <c r="BJ32" s="59">
        <f t="shared" si="38"/>
        <v>203.35476578922339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9.6124247492022068</v>
      </c>
      <c r="BR32" s="21">
        <f>EXP(-LN(2)/2)*BR31+(1-EXP(-LN(2)/2))/(LN(2)/2)*BL32*BO32*VLOOKUP('Données projet'!$B$11,Paramètres!$A$1:$I$89,3,0)*0.475*44/12</f>
        <v>0.77864242230522185</v>
      </c>
      <c r="BS32" s="22">
        <f t="shared" si="9"/>
        <v>10.391067171507428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7.2264102564102561</v>
      </c>
      <c r="BY32" s="12">
        <f>IF('Données projet'!$A$114&gt;35,BY31+BX32-CG31,IF(A32&lt;'Données projet'!$A$114,$BV$205^A32,IF(A32='Données projet'!$A$114,'Données projet'!$B$114,BY31+BX32-CG31)))</f>
        <v>181.20732085910257</v>
      </c>
      <c r="BZ32" s="13">
        <f>BY32*VLOOKUP('Données projet'!$B$12,Paramètres!$A$1:$I$89,3,0)*VLOOKUP('Données projet'!$B$12,Paramètres!$A$1:$I$89,5,0)</f>
        <v>84.805026162060003</v>
      </c>
      <c r="CA32" s="13">
        <f t="shared" si="39"/>
        <v>23.308020101846395</v>
      </c>
      <c r="CB32" s="20">
        <f t="shared" si="10"/>
        <v>188.29688890963698</v>
      </c>
      <c r="CC32" s="59">
        <f t="shared" si="11"/>
        <v>481.63022224297026</v>
      </c>
      <c r="CD32" s="59">
        <f ca="1">AVERAGE(OFFSET($CC$3,0,0,'Données projet'!$E$12+1,1))-AVERAGE(OFFSET($H$3,0,0,'Données projet'!$E$12+1,1))</f>
        <v>158.58786357608489</v>
      </c>
      <c r="CE32" s="59">
        <f t="shared" si="40"/>
        <v>163.20074068819849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12.2</v>
      </c>
      <c r="CT32" s="12">
        <f>IF('Données projet'!$A$140&gt;35,CT31+CS32-DB31,IF(A32&lt;'Données projet'!$A$140,$CQ$205^A32,IF(A32='Données projet'!$A$140,'Données projet'!$B$140,CT31+CS32-DB31)))</f>
        <v>161.79999999999998</v>
      </c>
      <c r="CU32" s="17">
        <f>CT32*VLOOKUP('Données projet'!$B$13,Paramètres!$A$1:$I$89,3,0)*VLOOKUP('Données projet'!$B$13,Paramètres!$A$1:$I$89,5,0)</f>
        <v>118.63175999999999</v>
      </c>
      <c r="CV32" s="13">
        <f t="shared" si="41"/>
        <v>31.355667112617347</v>
      </c>
      <c r="CW32" s="20">
        <f t="shared" si="13"/>
        <v>261.22810222114185</v>
      </c>
      <c r="CX32" s="59">
        <f t="shared" si="14"/>
        <v>554.56143555447511</v>
      </c>
      <c r="CY32" s="59">
        <f ca="1">AVERAGE(OFFSET($CX$3,0,0,'Données projet'!$E$13+1,1))-AVERAGE(OFFSET($H$3,0,0,'Données projet'!$E$13+1,1))</f>
        <v>178.12968684094687</v>
      </c>
      <c r="CZ32" s="59">
        <f t="shared" si="42"/>
        <v>219.36004077210373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2.9077852547337768</v>
      </c>
      <c r="DH32" s="21">
        <f>EXP(-LN(2)/2)*DH31+(1-EXP(-LN(2)/2))/(LN(2)/2)*DB32*DE32*VLOOKUP('Données projet'!$B$13,Paramètres!$A$1:$I$89,3,0)*0.475*44/12</f>
        <v>0.32866255962382079</v>
      </c>
      <c r="DI32" s="22">
        <f t="shared" si="15"/>
        <v>3.2364478143575974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6.8</v>
      </c>
      <c r="DO32" s="12">
        <f>IF('Données projet'!$A$166&gt;35,DO31+DN32-DW31,IF(A32&lt;'Données projet'!$A$166,$DL$205^A32,IF(A32='Données projet'!$A$166,'Données projet'!$B$166,DO31+DN32-DW31)))</f>
        <v>206.19999999999996</v>
      </c>
      <c r="DP32" s="17">
        <f>DO32*VLOOKUP('Données projet'!$B$14,Paramètres!$A$1:$I$89,3,0)*VLOOKUP('Données projet'!$B$14,Paramètres!$A$1:$I$89,5,0)</f>
        <v>186.56975999999997</v>
      </c>
      <c r="DQ32" s="13">
        <f t="shared" si="43"/>
        <v>46.780773230247213</v>
      </c>
      <c r="DR32" s="20">
        <f t="shared" si="16"/>
        <v>406.41884537601385</v>
      </c>
      <c r="DS32" s="59">
        <f t="shared" si="17"/>
        <v>699.75217870934716</v>
      </c>
      <c r="DT32" s="59">
        <f ca="1">AVERAGE(OFFSET($DS$3,0,0,'Données projet'!$E$14+1,1))-AVERAGE(OFFSET($H$3,0,0,'Données projet'!$E$14+1,1))</f>
        <v>225.28075317732998</v>
      </c>
      <c r="DU32" s="59">
        <f t="shared" si="44"/>
        <v>358.43407531256207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1.27836473444054</v>
      </c>
      <c r="EB32" s="21">
        <f>EXP(-LN(2)/25)*EB31+(1-EXP(-LN(2)/25))/(LN(2)/25)*Calculateur!DW32*Calculateur!DY32*VLOOKUP('Données projet'!$B$14,Paramètres!$A$1:$I$89,3,0)*0.475*44/12</f>
        <v>7.3215483362642066</v>
      </c>
      <c r="EC32" s="21">
        <f>EXP(-LN(2)/2)*EC31+(1-EXP(-LN(2)/2))/(LN(2)/2)*DW32*DZ32*VLOOKUP('Données projet'!$B$14,Paramètres!$A$1:$I$89,3,0)*0.475*44/12</f>
        <v>1.5941920067409878</v>
      </c>
      <c r="ED32" s="22">
        <f t="shared" si="18"/>
        <v>10.194105077445734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3.6141025641025637</v>
      </c>
      <c r="EJ32" s="12">
        <f>IF('Données projet'!$A$192&gt;35,EJ31+EI32-ER31,IF(A32&lt;'Données projet'!$A$192,$EG$205^A32,IF(A32='Données projet'!$A$192,'Données projet'!$B$192,EJ31+EI32-ER31)))</f>
        <v>92.74368268820956</v>
      </c>
      <c r="EK32" s="17">
        <f>EJ32*VLOOKUP('Données projet'!$B$15,Paramètres!$A$1:$I$89,3,0)*VLOOKUP('Données projet'!$B$15,Paramètres!$A$1:$I$89,5,0)</f>
        <v>94.042094245844496</v>
      </c>
      <c r="EL32" s="13">
        <f t="shared" si="45"/>
        <v>25.537574232797304</v>
      </c>
      <c r="EM32" s="20">
        <f t="shared" si="19"/>
        <v>208.26792260030109</v>
      </c>
      <c r="EN32" s="59">
        <f t="shared" si="20"/>
        <v>501.60125593363443</v>
      </c>
      <c r="EO32" s="59">
        <f ca="1">AVERAGE(OFFSET($EN$3,0,0,'Données projet'!$E$15+1,1))-AVERAGE(OFFSET($H$3,0,0,'Données projet'!$E$15+1,1))</f>
        <v>363.98308691765931</v>
      </c>
      <c r="EP32" s="59">
        <f t="shared" si="46"/>
        <v>181.47089407988187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3.6141025641025637</v>
      </c>
      <c r="FE32" s="12">
        <f>IF('Données projet'!$A$218&gt;35,FE31+FD32-FM31,IF(A32&lt;'Données projet'!$A$218,$FB$205^A32,IF(A32='Données projet'!$A$218,'Données projet'!$B$218,FE31+FD32-FM31)))</f>
        <v>92.74368268820956</v>
      </c>
      <c r="FF32" s="17">
        <f>FE32*VLOOKUP('Données projet'!$B$16,Paramètres!$A$1:$I$89,3,0)*VLOOKUP('Données projet'!$B$16,Paramètres!$A$1:$I$89,5,0)</f>
        <v>99.829300045588766</v>
      </c>
      <c r="FG32" s="13">
        <f t="shared" si="47"/>
        <v>26.921326595387836</v>
      </c>
      <c r="FH32" s="20">
        <f t="shared" si="22"/>
        <v>220.75734139970089</v>
      </c>
      <c r="FI32" s="59">
        <f t="shared" si="23"/>
        <v>514.09067473303423</v>
      </c>
      <c r="FJ32" s="59">
        <f ca="1">AVERAGE(OFFSET($FI$3,0,0,'Données projet'!$E$16+1,1))-AVERAGE(OFFSET($H$3,0,0,'Données projet'!$E$16+1,1))</f>
        <v>395.30533160963489</v>
      </c>
      <c r="FK32" s="59">
        <f t="shared" si="48"/>
        <v>196.02102977695085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9.1</v>
      </c>
      <c r="FZ32" s="12">
        <f>IF('Données projet'!$A$244&gt;35,FZ31+FY32-GH31,IF(A32&lt;'Données projet'!$A$244,$FW$205^A32,IF(A32='Données projet'!$A$244,'Données projet'!$B$244,FZ31+FY32-GH31)))</f>
        <v>148.89999999999992</v>
      </c>
      <c r="GA32" s="17">
        <f>FZ32*VLOOKUP('Données projet'!$B$17,Paramètres!$A$1:$I$89,3,0)*VLOOKUP('Données projet'!$B$17,Paramètres!$A$1:$I$89,5,0)</f>
        <v>155.63027999999991</v>
      </c>
      <c r="GB32" s="13">
        <f t="shared" si="49"/>
        <v>39.855330106444939</v>
      </c>
      <c r="GC32" s="20">
        <f t="shared" si="25"/>
        <v>340.47077093539144</v>
      </c>
      <c r="GD32" s="59">
        <f t="shared" si="26"/>
        <v>633.80410426872481</v>
      </c>
      <c r="GE32" s="59">
        <f ca="1">AVERAGE(OFFSET($GD$3,0,0,'Données projet'!$E$17+1,1))-AVERAGE(OFFSET($H$3,0,0,'Données projet'!$E$17+1,1))</f>
        <v>269.41185214595805</v>
      </c>
      <c r="GF32" s="59">
        <f t="shared" si="50"/>
        <v>299.70148160580993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1.7044768637551404</v>
      </c>
      <c r="GM32" s="21">
        <f>EXP(-LN(2)/25)*GM31+(1-EXP(-LN(2)/25))/(LN(2)/25)*Calculateur!GH32*Calculateur!GJ32*VLOOKUP('Données projet'!$B$17,Paramètres!$A$1:$I$89,3,0)*0.475*44/12</f>
        <v>7.114218194238811</v>
      </c>
      <c r="GN32" s="21">
        <f>EXP(-LN(2)/2)*GN31+(1-EXP(-LN(2)/2))/(LN(2)/2)*GH32*GK32*VLOOKUP('Données projet'!$B$17,Paramètres!$A$1:$I$89,3,0)*0.475*44/12</f>
        <v>0.80410929852347546</v>
      </c>
      <c r="GO32" s="21">
        <f t="shared" si="27"/>
        <v>9.6228043565174257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12.2</v>
      </c>
      <c r="GU32" s="12">
        <f>IF('Données projet'!$A$270&gt;35,GU31+GT32-HC31,IF(A32&lt;'Données projet'!$A$270,$GR$205^A32,IF(A32='Données projet'!$A$270,'Données projet'!$B$270,GU31+GT32-HC31)))</f>
        <v>161.79999999999998</v>
      </c>
      <c r="GV32" s="17">
        <f>GU32*VLOOKUP('Données projet'!$B$18,Paramètres!$A$1:$I$89,3,0)*VLOOKUP('Données projet'!$B$18,Paramètres!$A$1:$I$89,5,0)</f>
        <v>141.34848000000002</v>
      </c>
      <c r="GW32" s="13">
        <f t="shared" si="51"/>
        <v>36.605750770707807</v>
      </c>
      <c r="GX32" s="20">
        <f t="shared" si="28"/>
        <v>309.93695192564945</v>
      </c>
      <c r="GY32" s="59">
        <f t="shared" si="29"/>
        <v>603.27028525898277</v>
      </c>
      <c r="GZ32" s="59">
        <f ca="1">AVERAGE(OFFSET($GY$3,0,0,'Données projet'!$E$18+1,1))-AVERAGE(OFFSET($H$3,0,0,'Données projet'!$E$18+1,1))</f>
        <v>226.35975611953359</v>
      </c>
      <c r="HA32" s="59">
        <f t="shared" si="52"/>
        <v>271.65876694892461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4.2703150104155636</v>
      </c>
      <c r="HI32" s="21">
        <f>EXP(-LN(2)/2)*HI31+(1-EXP(-LN(2)/2))/(LN(2)/2)*HC32*HF32*VLOOKUP('Données projet'!$B$18,Paramètres!$A$1:$I$89,3,0)*0.475*44/12</f>
        <v>0.39159794338157367</v>
      </c>
      <c r="HJ32" s="22">
        <f t="shared" si="30"/>
        <v>4.6619129537971373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108.42307692307691</v>
      </c>
      <c r="L33" s="12">
        <f>VLOOKUP(A33,'Données projet'!$A$35:$I$55,9,0)</f>
        <v>3.6141025641025637</v>
      </c>
      <c r="M33" s="12">
        <f t="array" ref="M33">INDEX(L:L,MIN(IF(ISNUMBER(L33:L229),ROW(L33:L229),"")))</f>
        <v>3.6141025641025637</v>
      </c>
      <c r="N33" s="13">
        <f>IF('Données projet'!$A$36&gt;35,N32+M33-V32,IF(A33&lt;'Données projet'!$A$36,$K$205^A33,IF(A33='Données projet'!$A$36,'Données projet'!$B$36,N32+M33-V32)))</f>
        <v>108.42307692307691</v>
      </c>
      <c r="O33" s="13">
        <f>N33*VLOOKUP('Données projet'!$B$9,Paramètres!$A$1:$I$89,3,0)*VLOOKUP('Données projet'!$B$9,Paramètres!$A$1:$I$89,5,0)</f>
        <v>98.101199999999977</v>
      </c>
      <c r="P33" s="13">
        <f t="shared" si="33"/>
        <v>26.509131156889861</v>
      </c>
      <c r="Q33" s="20">
        <f t="shared" si="2"/>
        <v>217.02966009824979</v>
      </c>
      <c r="R33" s="59">
        <f t="shared" si="0"/>
        <v>510.36299343158311</v>
      </c>
      <c r="S33" s="59">
        <f ca="1">AVERAGE(OFFSET($R$3,0,0,'Données projet'!$E$9+1,1))-AVERAGE(OFFSET($H$3,0,0,'Données projet'!$E$9+1,1))</f>
        <v>309.07357540707869</v>
      </c>
      <c r="T33" s="59">
        <f t="shared" si="34"/>
        <v>155.9593924683299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158</v>
      </c>
      <c r="AG33" s="12">
        <f>VLOOKUP(A33,'Données projet'!$A$61:$I$81,9,0)</f>
        <v>9.1</v>
      </c>
      <c r="AH33" s="12">
        <f t="array" ref="AH33">INDEX(AG:AG,MIN(IF(ISNUMBER(AG33:AG229),ROW(AG33:AG229),"")))</f>
        <v>9.1</v>
      </c>
      <c r="AI33" s="13">
        <f>IF('Données projet'!$A$62&gt;35,AI32+AH33-AQ32,IF(A33&lt;'Données projet'!$A$62,$AF$205^A33,IF(A33='Données projet'!$A$62,'Données projet'!$B$62,AI32+AH33-AQ32)))</f>
        <v>157.99999999999991</v>
      </c>
      <c r="AJ33" s="13">
        <f>AI33*VLOOKUP('Données projet'!$B$10,Paramètres!$A$1:$I$89,3,0)*VLOOKUP('Données projet'!$B$10,Paramètres!$A$1:$I$89,5,0)</f>
        <v>138.02879999999993</v>
      </c>
      <c r="AK33" s="13">
        <f t="shared" si="35"/>
        <v>35.845059256813073</v>
      </c>
      <c r="AL33" s="20">
        <f t="shared" si="4"/>
        <v>302.83030487228262</v>
      </c>
      <c r="AM33" s="59">
        <f t="shared" si="5"/>
        <v>596.16363820561594</v>
      </c>
      <c r="AN33" s="59">
        <f ca="1">AVERAGE(OFFSET($AM$3,0,0,'Données projet'!$E$10+1,1))-AVERAGE(OFFSET($H$3,0,0,'Données projet'!$E$10+1,1))</f>
        <v>210.07838338464626</v>
      </c>
      <c r="AO33" s="59">
        <f t="shared" si="36"/>
        <v>241.76003724236273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47</v>
      </c>
      <c r="AR33" s="16">
        <f>IF(ISNA(VLOOKUP(A33,'Données projet'!$A$61:$I$81,5,0)),0%,VLOOKUP(A33,'Données projet'!$A$61:$I$81,5,0)*VLOOKUP('Données projet'!$B$10,Paramètres!$A$1:$I$89,7,0))</f>
        <v>8.6000000000000007E-2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5.3002178376379323</v>
      </c>
      <c r="AV33" s="21">
        <f>EXP(-LN(2)/25)*AV32+(1-EXP(-LN(2)/25))/(LN(2)/25)*Calculateur!AQ33*Calculateur!AS33*VLOOKUP('Données projet'!$B$10,Paramètres!$A$1:$I$89,3,0)*0.475*44/12</f>
        <v>13.559906928762253</v>
      </c>
      <c r="AW33" s="21">
        <f>EXP(-LN(2)/2)*AW32+(1-EXP(-LN(2)/2))/(LN(2)/2)*AQ33*AT33*VLOOKUP('Données projet'!$B$10,Paramètres!$A$1:$I$89,3,0)*0.475*44/12</f>
        <v>15.971424470849238</v>
      </c>
      <c r="AX33" s="21">
        <f t="shared" si="6"/>
        <v>34.831549237249419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220</v>
      </c>
      <c r="BB33" s="12">
        <f>VLOOKUP(A33,'Données projet'!$A$87:$I$107,9,0)</f>
        <v>14</v>
      </c>
      <c r="BC33" s="12">
        <f t="array" ref="BC33">INDEX(BB:BB,MIN(IF(ISNUMBER(BB33:BB229),ROW(BB33:BB229),"")))</f>
        <v>14</v>
      </c>
      <c r="BD33" s="12">
        <f>IF('Données projet'!$A$88&gt;35,BD32+BC33-BL32,IF(A33&lt;'Données projet'!$A$88,$BA$205^A33,IF(A33='Données projet'!$A$88,'Données projet'!$B$88,BD32+BC33-BL32)))</f>
        <v>220.00000000000003</v>
      </c>
      <c r="BE33" s="13">
        <f>BD33*VLOOKUP('Données projet'!$B$11,Paramètres!$A$1:$I$89,3,0)*VLOOKUP('Données projet'!$B$11,Paramètres!$A$1:$I$89,5,0)</f>
        <v>120.12</v>
      </c>
      <c r="BF33" s="13">
        <f t="shared" si="37"/>
        <v>31.702985695201871</v>
      </c>
      <c r="BG33" s="20">
        <f t="shared" si="7"/>
        <v>264.42503341914329</v>
      </c>
      <c r="BH33" s="59">
        <f t="shared" si="8"/>
        <v>557.7583667524766</v>
      </c>
      <c r="BI33" s="59">
        <f ca="1">AVERAGE(OFFSET($BH$3,0,0,'Données projet'!$E$11+1,1))-AVERAGE(OFFSET($H$3,0,0,'Données projet'!$E$11+1,1))</f>
        <v>168.72306536277267</v>
      </c>
      <c r="BJ33" s="59">
        <f t="shared" si="38"/>
        <v>203.35476578922339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0.06</v>
      </c>
      <c r="BN33" s="16">
        <f>IF(ISNA(VLOOKUP(A33,'Données projet'!$A$87:$I$107,6,0)),0%,VLOOKUP(A33,'Données projet'!$A$87:$I$107,6,0)*VLOOKUP('Données projet'!$B$11,Paramètres!$A$1:$I$89,7,0))</f>
        <v>0.27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3.0420776092139534</v>
      </c>
      <c r="BQ33" s="21">
        <f>EXP(-LN(2)/25)*BQ32+(1-EXP(-LN(2)/25))/(LN(2)/25)*Calculateur!BL33*Calculateur!BN33*VLOOKUP('Données projet'!$B$11,Paramètres!$A$1:$I$89,3,0)*0.475*44/12</f>
        <v>22.985021546387983</v>
      </c>
      <c r="BR33" s="21">
        <f>EXP(-LN(2)/2)*BR32+(1-EXP(-LN(2)/2))/(LN(2)/2)*BL33*BO33*VLOOKUP('Données projet'!$B$11,Paramètres!$A$1:$I$89,3,0)*0.475*44/12</f>
        <v>20.023846622089227</v>
      </c>
      <c r="BS33" s="22">
        <f t="shared" si="9"/>
        <v>46.050945777691169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216.79230769230767</v>
      </c>
      <c r="BW33" s="12">
        <f>VLOOKUP(A33,'Données projet'!$A$113:$I$133,9,0)</f>
        <v>7.2264102564102561</v>
      </c>
      <c r="BX33" s="12">
        <f t="array" ref="BX33">INDEX(BW:BW,MIN(IF(ISNUMBER(BW33:BW229),ROW(BW33:BW229),"")))</f>
        <v>7.2264102564102561</v>
      </c>
      <c r="BY33" s="12">
        <f>IF('Données projet'!$A$114&gt;35,BY32+BX33-CG32,IF(A33&lt;'Données projet'!$A$114,$BV$205^A33,IF(A33='Données projet'!$A$114,'Données projet'!$B$114,BY32+BX33-CG32)))</f>
        <v>216.79230769230767</v>
      </c>
      <c r="BZ33" s="13">
        <f>BY33*VLOOKUP('Données projet'!$B$12,Paramètres!$A$1:$I$89,3,0)*VLOOKUP('Données projet'!$B$12,Paramètres!$A$1:$I$89,5,0)</f>
        <v>101.45879999999998</v>
      </c>
      <c r="CA33" s="13">
        <f t="shared" si="39"/>
        <v>27.309243053465156</v>
      </c>
      <c r="CB33" s="20">
        <f t="shared" si="10"/>
        <v>224.27100831811845</v>
      </c>
      <c r="CC33" s="59">
        <f t="shared" si="11"/>
        <v>517.6043416514517</v>
      </c>
      <c r="CD33" s="59">
        <f ca="1">AVERAGE(OFFSET($CC$3,0,0,'Données projet'!$E$12+1,1))-AVERAGE(OFFSET($H$3,0,0,'Données projet'!$E$12+1,1))</f>
        <v>158.58786357608489</v>
      </c>
      <c r="CE33" s="59">
        <f t="shared" si="40"/>
        <v>163.20074068819849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174</v>
      </c>
      <c r="CR33" s="12">
        <f>VLOOKUP(A33,'Données projet'!$A$139:$I$159,9,0)</f>
        <v>12.2</v>
      </c>
      <c r="CS33" s="12">
        <f t="array" ref="CS33">INDEX(CR:CR,MIN(IF(ISNUMBER(CR33:CR229),ROW(CR33:CR229),"")))</f>
        <v>12.2</v>
      </c>
      <c r="CT33" s="12">
        <f>IF('Données projet'!$A$140&gt;35,CT32+CS33-DB32,IF(A33&lt;'Données projet'!$A$140,$CQ$205^A33,IF(A33='Données projet'!$A$140,'Données projet'!$B$140,CT32+CS33-DB32)))</f>
        <v>173.99999999999997</v>
      </c>
      <c r="CU33" s="17">
        <f>CT33*VLOOKUP('Données projet'!$B$13,Paramètres!$A$1:$I$89,3,0)*VLOOKUP('Données projet'!$B$13,Paramètres!$A$1:$I$89,5,0)</f>
        <v>127.57679999999998</v>
      </c>
      <c r="CV33" s="13">
        <f t="shared" si="41"/>
        <v>33.435817264319823</v>
      </c>
      <c r="CW33" s="20">
        <f t="shared" si="13"/>
        <v>280.43030840202363</v>
      </c>
      <c r="CX33" s="59">
        <f t="shared" si="14"/>
        <v>573.76364173535694</v>
      </c>
      <c r="CY33" s="59">
        <f ca="1">AVERAGE(OFFSET($CX$3,0,0,'Données projet'!$E$13+1,1))-AVERAGE(OFFSET($H$3,0,0,'Données projet'!$E$13+1,1))</f>
        <v>178.12968684094687</v>
      </c>
      <c r="CZ33" s="59">
        <f t="shared" si="42"/>
        <v>219.36004077210373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7.68845558441779</v>
      </c>
      <c r="DH33" s="21">
        <f>EXP(-LN(2)/2)*DH32+(1-EXP(-LN(2)/2))/(LN(2)/2)*DB33*DE33*VLOOKUP('Données projet'!$B$13,Paramètres!$A$1:$I$89,3,0)*0.475*44/12</f>
        <v>9.9175145976735219</v>
      </c>
      <c r="DI33" s="22">
        <f t="shared" si="15"/>
        <v>17.605970182091312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213</v>
      </c>
      <c r="DM33" s="12">
        <f>VLOOKUP(A33,'Données projet'!$A$165:$I$185,9,0)</f>
        <v>6.8</v>
      </c>
      <c r="DN33" s="12">
        <f t="array" ref="DN33">INDEX(DM:DM,MIN(IF(ISNUMBER(DM33:DM229),ROW(DM33:DM229),"")))</f>
        <v>6.8</v>
      </c>
      <c r="DO33" s="12">
        <f>IF('Données projet'!$A$166&gt;35,DO32+DN33-DW32,IF(A33&lt;'Données projet'!$A$166,$DL$205^A33,IF(A33='Données projet'!$A$166,'Données projet'!$B$166,DO32+DN33-DW32)))</f>
        <v>212.99999999999997</v>
      </c>
      <c r="DP33" s="17">
        <f>DO33*VLOOKUP('Données projet'!$B$14,Paramètres!$A$1:$I$89,3,0)*VLOOKUP('Données projet'!$B$14,Paramètres!$A$1:$I$89,5,0)</f>
        <v>192.72239999999996</v>
      </c>
      <c r="DQ33" s="13">
        <f t="shared" si="43"/>
        <v>48.141337574630874</v>
      </c>
      <c r="DR33" s="20">
        <f t="shared" si="16"/>
        <v>419.50434294248203</v>
      </c>
      <c r="DS33" s="59">
        <f t="shared" si="17"/>
        <v>712.83767627581528</v>
      </c>
      <c r="DT33" s="59">
        <f ca="1">AVERAGE(OFFSET($DS$3,0,0,'Données projet'!$E$14+1,1))-AVERAGE(OFFSET($H$3,0,0,'Données projet'!$E$14+1,1))</f>
        <v>225.28075317732998</v>
      </c>
      <c r="DU33" s="59">
        <f t="shared" si="44"/>
        <v>358.43407531256207</v>
      </c>
      <c r="DV33" s="15">
        <f>IF(ISNA(VLOOKUP(A33,'Données projet'!$A$165:$I$185,3,0)),0,VLOOKUP(A33,'Données projet'!$A$165:$I$185,3,0))</f>
        <v>6</v>
      </c>
      <c r="DW33" s="15">
        <f>IF(ISNA(VLOOKUP(A33,'Données projet'!$A$165:$I$185,4,0)),0,VLOOKUP(A33,'Données projet'!$A$165:$I$185,4,0))</f>
        <v>11</v>
      </c>
      <c r="DX33" s="16">
        <f>IF(ISNA(VLOOKUP(A33,'Données projet'!$A$165:$I$185,5,0)),0%,VLOOKUP(A33,'Données projet'!$A$165:$I$185,5,0)*VLOOKUP('Données projet'!$B$14,Paramètres!$A$1:$I$89,7,0))</f>
        <v>0.09</v>
      </c>
      <c r="DY33" s="16">
        <f>IF(ISNA(VLOOKUP(A33,'Données projet'!$A$165:$I$185,6,0)),0%,VLOOKUP(A33,'Données projet'!$A$165:$I$185,6,0)*VLOOKUP('Données projet'!$B$14,Paramètres!$A$1:$I$89,7,0))</f>
        <v>0.105</v>
      </c>
      <c r="DZ33" s="16">
        <f>IF(ISNA(VLOOKUP(A33,'Données projet'!$A$165:$I$185,7,0)),0%,VLOOKUP(A33,'Données projet'!$A$165:$I$185,7,0))</f>
        <v>0.35</v>
      </c>
      <c r="EA33" s="21">
        <f>EXP(-LN(2)/35)*EA32+(1-EXP(-LN(2)/35))/(LN(2)/35)*DW33*DX33*VLOOKUP('Données projet'!$B$14,Paramètres!$A$1:$I$89,3,0)*0.475*44/12</f>
        <v>2.2435240851310567</v>
      </c>
      <c r="EB33" s="21">
        <f>EXP(-LN(2)/25)*EB32+(1-EXP(-LN(2)/25))/(LN(2)/25)*Calculateur!DW33*Calculateur!DY33*VLOOKUP('Données projet'!$B$14,Paramètres!$A$1:$I$89,3,0)*0.475*44/12</f>
        <v>8.2720566800612207</v>
      </c>
      <c r="EC33" s="21">
        <f>EXP(-LN(2)/2)*EC32+(1-EXP(-LN(2)/2))/(LN(2)/2)*DW33*DZ33*VLOOKUP('Données projet'!$B$14,Paramètres!$A$1:$I$89,3,0)*0.475*44/12</f>
        <v>4.4140211149695201</v>
      </c>
      <c r="ED33" s="22">
        <f t="shared" si="18"/>
        <v>14.929601880161798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108.42307692307691</v>
      </c>
      <c r="EH33" s="12">
        <f>VLOOKUP(A33,'Données projet'!$A$191:$I$211,9,0)</f>
        <v>3.6141025641025637</v>
      </c>
      <c r="EI33" s="12">
        <f t="array" ref="EI33">INDEX(EH:EH,MIN(IF(ISNUMBER(EH33:EH229),ROW(EH33:EH229),"")))</f>
        <v>3.6141025641025637</v>
      </c>
      <c r="EJ33" s="12">
        <f>IF('Données projet'!$A$192&gt;35,EJ32+EI33-ER32,IF(A33&lt;'Données projet'!$A$192,$EG$205^A33,IF(A33='Données projet'!$A$192,'Données projet'!$B$192,EJ32+EI33-ER32)))</f>
        <v>108.42307692307691</v>
      </c>
      <c r="EK33" s="17">
        <f>EJ33*VLOOKUP('Données projet'!$B$15,Paramètres!$A$1:$I$89,3,0)*VLOOKUP('Données projet'!$B$15,Paramètres!$A$1:$I$89,5,0)</f>
        <v>109.94099999999999</v>
      </c>
      <c r="EL33" s="13">
        <f t="shared" si="45"/>
        <v>29.317083278355092</v>
      </c>
      <c r="EM33" s="20">
        <f t="shared" si="19"/>
        <v>242.5411617098018</v>
      </c>
      <c r="EN33" s="59">
        <f t="shared" si="20"/>
        <v>535.87449504313508</v>
      </c>
      <c r="EO33" s="59">
        <f ca="1">AVERAGE(OFFSET($EN$3,0,0,'Données projet'!$E$15+1,1))-AVERAGE(OFFSET($H$3,0,0,'Données projet'!$E$15+1,1))</f>
        <v>363.98308691765931</v>
      </c>
      <c r="EP33" s="59">
        <f t="shared" si="46"/>
        <v>181.47089407988187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108.42307692307691</v>
      </c>
      <c r="FC33" s="12">
        <f>VLOOKUP(A33,'Données projet'!$A$217:$I$237,9,0)</f>
        <v>3.6141025641025637</v>
      </c>
      <c r="FD33" s="12">
        <f t="array" ref="FD33">INDEX(FC:FC,MIN(IF(ISNUMBER(FC33:FC229),ROW(FC33:FC229),"")))</f>
        <v>3.6141025641025637</v>
      </c>
      <c r="FE33" s="12">
        <f>IF('Données projet'!$A$218&gt;35,FE32+FD33-FM32,IF(A33&lt;'Données projet'!$A$218,$FB$205^A33,IF(A33='Données projet'!$A$218,'Données projet'!$B$218,FE32+FD33-FM32)))</f>
        <v>108.42307692307691</v>
      </c>
      <c r="FF33" s="17">
        <f>FE33*VLOOKUP('Données projet'!$B$16,Paramètres!$A$1:$I$89,3,0)*VLOOKUP('Données projet'!$B$16,Paramètres!$A$1:$I$89,5,0)</f>
        <v>116.70659999999998</v>
      </c>
      <c r="FG33" s="13">
        <f t="shared" si="47"/>
        <v>30.905628176193794</v>
      </c>
      <c r="FH33" s="20">
        <f t="shared" si="22"/>
        <v>257.09129740687081</v>
      </c>
      <c r="FI33" s="59">
        <f t="shared" si="23"/>
        <v>550.42463074020407</v>
      </c>
      <c r="FJ33" s="59">
        <f ca="1">AVERAGE(OFFSET($FI$3,0,0,'Données projet'!$E$16+1,1))-AVERAGE(OFFSET($H$3,0,0,'Données projet'!$E$16+1,1))</f>
        <v>395.30533160963489</v>
      </c>
      <c r="FK33" s="59">
        <f t="shared" si="48"/>
        <v>196.02102977695085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158</v>
      </c>
      <c r="FX33" s="12">
        <f>VLOOKUP(A33,'Données projet'!$A$243:$I$263,9,0)</f>
        <v>9.1</v>
      </c>
      <c r="FY33" s="12">
        <f t="array" ref="FY33">INDEX(FX:FX,MIN(IF(ISNUMBER(FX33:FX229),ROW(FX33:FX229),"")))</f>
        <v>9.1</v>
      </c>
      <c r="FZ33" s="12">
        <f>IF('Données projet'!$A$244&gt;35,FZ32+FY33-GH32,IF(A33&lt;'Données projet'!$A$244,$FW$205^A33,IF(A33='Données projet'!$A$244,'Données projet'!$B$244,FZ32+FY33-GH32)))</f>
        <v>157.99999999999991</v>
      </c>
      <c r="GA33" s="17">
        <f>FZ33*VLOOKUP('Données projet'!$B$17,Paramètres!$A$1:$I$89,3,0)*VLOOKUP('Données projet'!$B$17,Paramètres!$A$1:$I$89,5,0)</f>
        <v>165.14159999999993</v>
      </c>
      <c r="GB33" s="13">
        <f t="shared" si="49"/>
        <v>42.000074202332975</v>
      </c>
      <c r="GC33" s="20">
        <f t="shared" si="25"/>
        <v>360.77174923572983</v>
      </c>
      <c r="GD33" s="59">
        <f t="shared" si="26"/>
        <v>654.10508256906314</v>
      </c>
      <c r="GE33" s="59">
        <f ca="1">AVERAGE(OFFSET($GD$3,0,0,'Données projet'!$E$17+1,1))-AVERAGE(OFFSET($H$3,0,0,'Données projet'!$E$17+1,1))</f>
        <v>269.41185214595805</v>
      </c>
      <c r="GF33" s="59">
        <f t="shared" si="50"/>
        <v>299.70148160580993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47</v>
      </c>
      <c r="GI33" s="16">
        <f>IF(ISNA(VLOOKUP(A33,'Données projet'!$A$243:$I$263,5,0)),0%,VLOOKUP(A33,'Données projet'!$A$243:$I$263,5,0)*VLOOKUP('Données projet'!$B$17,Paramètres!$A$1:$I$89,7,0))</f>
        <v>8.6000000000000007E-2</v>
      </c>
      <c r="GJ33" s="16">
        <f>IF(ISNA(VLOOKUP(A33,'Données projet'!$A$243:$I$263,6,0)),0%,VLOOKUP(A33,'Données projet'!$A$243:$I$263,6,0)*VLOOKUP('Données projet'!$B$17,Paramètres!$A$1:$I$89,7,0))</f>
        <v>0.17200000000000001</v>
      </c>
      <c r="GK33" s="16">
        <f>IF(ISNA(VLOOKUP(A33,'Données projet'!$A$243:$I$263,7,0)),0%,VLOOKUP(A33,'Données projet'!$A$243:$I$263,7,0))</f>
        <v>0.4</v>
      </c>
      <c r="GL33" s="21">
        <f>EXP(-LN(2)/35)*GL32+(1-EXP(-LN(2)/35))/(LN(2)/35)*GH33*GI33*VLOOKUP('Données projet'!$B$17,Paramètres!$A$1:$I$89,3,0)*0.475*44/12</f>
        <v>6.3413320557453812</v>
      </c>
      <c r="GM33" s="21">
        <f>EXP(-LN(2)/25)*GM32+(1-EXP(-LN(2)/25))/(LN(2)/25)*Calculateur!GH33*Calculateur!GJ33*VLOOKUP('Données projet'!$B$17,Paramètres!$A$1:$I$89,3,0)*0.475*44/12</f>
        <v>16.223460075483413</v>
      </c>
      <c r="GN33" s="21">
        <f>EXP(-LN(2)/2)*GN32+(1-EXP(-LN(2)/2))/(LN(2)/2)*GH33*GK33*VLOOKUP('Données projet'!$B$17,Paramètres!$A$1:$I$89,3,0)*0.475*44/12</f>
        <v>19.108668563337481</v>
      </c>
      <c r="GO33" s="21">
        <f t="shared" si="27"/>
        <v>41.673460694566273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174</v>
      </c>
      <c r="GS33" s="12">
        <f>VLOOKUP(A33,'Données projet'!$A$269:$I$289,9,0)</f>
        <v>12.2</v>
      </c>
      <c r="GT33" s="12">
        <f t="array" ref="GT33">INDEX(GS:GS,MIN(IF(ISNUMBER(GS33:GS229),ROW(GS33:GS229),"")))</f>
        <v>12.2</v>
      </c>
      <c r="GU33" s="12">
        <f>IF('Données projet'!$A$270&gt;35,GU32+GT33-HC32,IF(A33&lt;'Données projet'!$A$270,$GR$205^A33,IF(A33='Données projet'!$A$270,'Données projet'!$B$270,GU32+GT33-HC32)))</f>
        <v>173.99999999999997</v>
      </c>
      <c r="GV33" s="17">
        <f>GU33*VLOOKUP('Données projet'!$B$18,Paramètres!$A$1:$I$89,3,0)*VLOOKUP('Données projet'!$B$18,Paramètres!$A$1:$I$89,5,0)</f>
        <v>152.00640000000001</v>
      </c>
      <c r="GW33" s="13">
        <f t="shared" si="51"/>
        <v>39.03419401656145</v>
      </c>
      <c r="GX33" s="20">
        <f t="shared" si="28"/>
        <v>332.72903457884451</v>
      </c>
      <c r="GY33" s="59">
        <f t="shared" si="29"/>
        <v>626.06236791217782</v>
      </c>
      <c r="GZ33" s="59">
        <f ca="1">AVERAGE(OFFSET($GY$3,0,0,'Données projet'!$E$18+1,1))-AVERAGE(OFFSET($H$3,0,0,'Données projet'!$E$18+1,1))</f>
        <v>226.35975611953359</v>
      </c>
      <c r="HA33" s="59">
        <f t="shared" si="52"/>
        <v>271.65876694892461</v>
      </c>
      <c r="HB33" s="15">
        <f>IF(ISNA(VLOOKUP(A33,'Données projet'!$A$269:$I$289,3,0)),0,VLOOKUP(A33,'Données projet'!$A$269:$I$289,3,0))</f>
        <v>2</v>
      </c>
      <c r="HC33" s="15">
        <f>IF(ISNA(VLOOKUP(A33,'Données projet'!$A$269:$I$289,4,0)),0,VLOOKUP(A33,'Données projet'!$A$269:$I$289,4,0))</f>
        <v>56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0.13250000000000001</v>
      </c>
      <c r="HF33" s="16">
        <f>IF(ISNA(VLOOKUP(A33,'Données projet'!$A$269:$I$289,7,0)),0%,VLOOKUP(A33,'Données projet'!$A$269:$I$289,7,0))</f>
        <v>0.25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11.291111417393374</v>
      </c>
      <c r="HI33" s="21">
        <f>EXP(-LN(2)/2)*HI32+(1-EXP(-LN(2)/2))/(LN(2)/2)*HC33*HF33*VLOOKUP('Données projet'!$B$18,Paramètres!$A$1:$I$89,3,0)*0.475*44/12</f>
        <v>11.816613137653558</v>
      </c>
      <c r="HJ33" s="22">
        <f t="shared" si="30"/>
        <v>23.107724555046932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8.3413461538461533</v>
      </c>
      <c r="N34" s="13">
        <f>IF('Données projet'!$A$36&gt;35,N33+M34-V33,IF(A34&lt;'Données projet'!$A$36,$K$205^A34,IF(A34='Données projet'!$A$36,'Données projet'!$B$36,N33+M34-V33)))</f>
        <v>116.76442307692307</v>
      </c>
      <c r="O34" s="13">
        <f>N34*VLOOKUP('Données projet'!$B$9,Paramètres!$A$1:$I$89,3,0)*VLOOKUP('Données projet'!$B$9,Paramètres!$A$1:$I$89,5,0)</f>
        <v>105.64845</v>
      </c>
      <c r="P34" s="13">
        <f t="shared" si="33"/>
        <v>28.30332943441833</v>
      </c>
      <c r="Q34" s="20">
        <f t="shared" si="2"/>
        <v>233.29934918161189</v>
      </c>
      <c r="R34" s="59">
        <f t="shared" si="0"/>
        <v>526.63268251494515</v>
      </c>
      <c r="S34" s="59">
        <f ca="1">AVERAGE(OFFSET($R$3,0,0,'Données projet'!$E$9+1,1))-AVERAGE(OFFSET($H$3,0,0,'Données projet'!$E$9+1,1))</f>
        <v>309.07357540707869</v>
      </c>
      <c r="T34" s="59">
        <f t="shared" si="34"/>
        <v>155.9593924683299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119.09999999999991</v>
      </c>
      <c r="AJ34" s="13">
        <f>AI34*VLOOKUP('Données projet'!$B$10,Paramètres!$A$1:$I$89,3,0)*VLOOKUP('Données projet'!$B$10,Paramètres!$A$1:$I$89,5,0)</f>
        <v>104.04575999999993</v>
      </c>
      <c r="AK34" s="13">
        <f t="shared" si="35"/>
        <v>27.923608029814616</v>
      </c>
      <c r="AL34" s="20">
        <f t="shared" si="4"/>
        <v>229.84664931859365</v>
      </c>
      <c r="AM34" s="59">
        <f t="shared" si="5"/>
        <v>523.17998265192693</v>
      </c>
      <c r="AN34" s="59">
        <f ca="1">AVERAGE(OFFSET($AM$3,0,0,'Données projet'!$E$10+1,1))-AVERAGE(OFFSET($H$3,0,0,'Données projet'!$E$10+1,1))</f>
        <v>210.07838338464626</v>
      </c>
      <c r="AO34" s="59">
        <f t="shared" si="36"/>
        <v>241.76003724236273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5.1962837986555197</v>
      </c>
      <c r="AV34" s="21">
        <f>EXP(-LN(2)/25)*AV33+(1-EXP(-LN(2)/25))/(LN(2)/25)*Calculateur!AQ34*Calculateur!AS34*VLOOKUP('Données projet'!$B$10,Paramètres!$A$1:$I$89,3,0)*0.475*44/12</f>
        <v>13.189110560710736</v>
      </c>
      <c r="AW34" s="21">
        <f>EXP(-LN(2)/2)*AW33+(1-EXP(-LN(2)/2))/(LN(2)/2)*AQ34*AT34*VLOOKUP('Données projet'!$B$10,Paramètres!$A$1:$I$89,3,0)*0.475*44/12</f>
        <v>11.293502548546263</v>
      </c>
      <c r="AX34" s="21">
        <f t="shared" si="6"/>
        <v>29.678896907912517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162.10000000000002</v>
      </c>
      <c r="BE34" s="13">
        <f>BD34*VLOOKUP('Données projet'!$B$11,Paramètres!$A$1:$I$89,3,0)*VLOOKUP('Données projet'!$B$11,Paramètres!$A$1:$I$89,5,0)</f>
        <v>88.50660000000002</v>
      </c>
      <c r="BF34" s="13">
        <f t="shared" si="37"/>
        <v>24.204702878284657</v>
      </c>
      <c r="BG34" s="20">
        <f t="shared" si="7"/>
        <v>196.30551917967912</v>
      </c>
      <c r="BH34" s="59">
        <f t="shared" si="8"/>
        <v>489.63885251301247</v>
      </c>
      <c r="BI34" s="59">
        <f ca="1">AVERAGE(OFFSET($BH$3,0,0,'Données projet'!$E$11+1,1))-AVERAGE(OFFSET($H$3,0,0,'Données projet'!$E$11+1,1))</f>
        <v>168.72306536277267</v>
      </c>
      <c r="BJ34" s="59">
        <f t="shared" si="38"/>
        <v>203.35476578922339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2.9824243227813958</v>
      </c>
      <c r="BQ34" s="21">
        <f>EXP(-LN(2)/25)*BQ33+(1-EXP(-LN(2)/25))/(LN(2)/25)*Calculateur!BL34*Calculateur!BN34*VLOOKUP('Données projet'!$B$11,Paramètres!$A$1:$I$89,3,0)*0.475*44/12</f>
        <v>22.356494923472255</v>
      </c>
      <c r="BR34" s="21">
        <f>EXP(-LN(2)/2)*BR33+(1-EXP(-LN(2)/2))/(LN(2)/2)*BL34*BO34*VLOOKUP('Données projet'!$B$11,Paramètres!$A$1:$I$89,3,0)*0.475*44/12</f>
        <v>14.158997731918637</v>
      </c>
      <c r="BS34" s="22">
        <f t="shared" si="9"/>
        <v>39.497916978172285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16.131410256410259</v>
      </c>
      <c r="BY34" s="12">
        <f>IF('Données projet'!$A$114&gt;35,BY33+BX34-CG33,IF(A34&lt;'Données projet'!$A$114,$BV$205^A34,IF(A34='Données projet'!$A$114,'Données projet'!$B$114,BY33+BX34-CG33)))</f>
        <v>232.92371794871792</v>
      </c>
      <c r="BZ34" s="13">
        <f>BY34*VLOOKUP('Données projet'!$B$12,Paramètres!$A$1:$I$89,3,0)*VLOOKUP('Données projet'!$B$12,Paramètres!$A$1:$I$89,5,0)</f>
        <v>109.00829999999998</v>
      </c>
      <c r="CA34" s="13">
        <f t="shared" si="39"/>
        <v>29.097209307093255</v>
      </c>
      <c r="CB34" s="20">
        <f t="shared" si="10"/>
        <v>240.53376204318738</v>
      </c>
      <c r="CC34" s="59">
        <f t="shared" si="11"/>
        <v>533.86709537652064</v>
      </c>
      <c r="CD34" s="59">
        <f ca="1">AVERAGE(OFFSET($CC$3,0,0,'Données projet'!$E$12+1,1))-AVERAGE(OFFSET($H$3,0,0,'Données projet'!$E$12+1,1))</f>
        <v>158.58786357608489</v>
      </c>
      <c r="CE34" s="59">
        <f t="shared" si="40"/>
        <v>163.20074068819849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10.199999999999999</v>
      </c>
      <c r="CT34" s="12">
        <f>IF('Données projet'!$A$140&gt;35,CT33+CS34-DB33,IF(A34&lt;'Données projet'!$A$140,$CQ$205^A34,IF(A34='Données projet'!$A$140,'Données projet'!$B$140,CT33+CS34-DB33)))</f>
        <v>128.19999999999996</v>
      </c>
      <c r="CU34" s="17">
        <f>CT34*VLOOKUP('Données projet'!$B$13,Paramètres!$A$1:$I$89,3,0)*VLOOKUP('Données projet'!$B$13,Paramètres!$A$1:$I$89,5,0)</f>
        <v>93.996239999999972</v>
      </c>
      <c r="CV34" s="13">
        <f t="shared" si="41"/>
        <v>25.526571389220692</v>
      </c>
      <c r="CW34" s="20">
        <f t="shared" si="13"/>
        <v>208.16889650289264</v>
      </c>
      <c r="CX34" s="59">
        <f t="shared" si="14"/>
        <v>501.50222983622598</v>
      </c>
      <c r="CY34" s="59">
        <f ca="1">AVERAGE(OFFSET($CX$3,0,0,'Données projet'!$E$13+1,1))-AVERAGE(OFFSET($H$3,0,0,'Données projet'!$E$13+1,1))</f>
        <v>178.12968684094687</v>
      </c>
      <c r="CZ34" s="59">
        <f t="shared" si="42"/>
        <v>219.36004077210373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7.4782143621435786</v>
      </c>
      <c r="DH34" s="21">
        <f>EXP(-LN(2)/2)*DH33+(1-EXP(-LN(2)/2))/(LN(2)/2)*DB34*DE34*VLOOKUP('Données projet'!$B$13,Paramètres!$A$1:$I$89,3,0)*0.475*44/12</f>
        <v>7.0127418245315223</v>
      </c>
      <c r="DI34" s="22">
        <f t="shared" si="15"/>
        <v>14.490956186675101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5.2</v>
      </c>
      <c r="DO34" s="12">
        <f>IF('Données projet'!$A$166&gt;35,DO33+DN34-DW33,IF(A34&lt;'Données projet'!$A$166,$DL$205^A34,IF(A34='Données projet'!$A$166,'Données projet'!$B$166,DO33+DN34-DW33)))</f>
        <v>207.19999999999996</v>
      </c>
      <c r="DP34" s="17">
        <f>DO34*VLOOKUP('Données projet'!$B$14,Paramètres!$A$1:$I$89,3,0)*VLOOKUP('Données projet'!$B$14,Paramètres!$A$1:$I$89,5,0)</f>
        <v>187.47455999999997</v>
      </c>
      <c r="DQ34" s="13">
        <f t="shared" si="43"/>
        <v>46.981179851370101</v>
      </c>
      <c r="DR34" s="20">
        <f t="shared" si="16"/>
        <v>408.34374690780288</v>
      </c>
      <c r="DS34" s="59">
        <f t="shared" si="17"/>
        <v>701.6770802411362</v>
      </c>
      <c r="DT34" s="59">
        <f ca="1">AVERAGE(OFFSET($DS$3,0,0,'Données projet'!$E$14+1,1))-AVERAGE(OFFSET($H$3,0,0,'Données projet'!$E$14+1,1))</f>
        <v>225.28075317732998</v>
      </c>
      <c r="DU34" s="59">
        <f t="shared" si="44"/>
        <v>358.43407531256207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2.199529946236209</v>
      </c>
      <c r="EB34" s="21">
        <f>EXP(-LN(2)/25)*EB33+(1-EXP(-LN(2)/25))/(LN(2)/25)*Calculateur!DW34*Calculateur!DY34*VLOOKUP('Données projet'!$B$14,Paramètres!$A$1:$I$89,3,0)*0.475*44/12</f>
        <v>8.0458568551363925</v>
      </c>
      <c r="EC34" s="21">
        <f>EXP(-LN(2)/2)*EC33+(1-EXP(-LN(2)/2))/(LN(2)/2)*DW34*DZ34*VLOOKUP('Données projet'!$B$14,Paramètres!$A$1:$I$89,3,0)*0.475*44/12</f>
        <v>3.1211842626955533</v>
      </c>
      <c r="ED34" s="22">
        <f t="shared" si="18"/>
        <v>13.366571064068156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8.3413461538461533</v>
      </c>
      <c r="EJ34" s="12">
        <f>IF('Données projet'!$A$192&gt;35,EJ33+EI34-ER33,IF(A34&lt;'Données projet'!$A$192,$EG$205^A34,IF(A34='Données projet'!$A$192,'Données projet'!$B$192,EJ33+EI34-ER33)))</f>
        <v>116.76442307692307</v>
      </c>
      <c r="EK34" s="17">
        <f>EJ34*VLOOKUP('Données projet'!$B$15,Paramètres!$A$1:$I$89,3,0)*VLOOKUP('Données projet'!$B$15,Paramètres!$A$1:$I$89,5,0)</f>
        <v>118.399125</v>
      </c>
      <c r="EL34" s="13">
        <f t="shared" si="45"/>
        <v>31.30133014064851</v>
      </c>
      <c r="EM34" s="20">
        <f t="shared" si="19"/>
        <v>260.72829270329612</v>
      </c>
      <c r="EN34" s="59">
        <f t="shared" si="20"/>
        <v>554.06162603662938</v>
      </c>
      <c r="EO34" s="59">
        <f ca="1">AVERAGE(OFFSET($EN$3,0,0,'Données projet'!$E$15+1,1))-AVERAGE(OFFSET($H$3,0,0,'Données projet'!$E$15+1,1))</f>
        <v>363.98308691765931</v>
      </c>
      <c r="EP34" s="59">
        <f t="shared" si="46"/>
        <v>181.47089407988187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8.3413461538461533</v>
      </c>
      <c r="FE34" s="12">
        <f>IF('Données projet'!$A$218&gt;35,FE33+FD34-FM33,IF(A34&lt;'Données projet'!$A$218,$FB$205^A34,IF(A34='Données projet'!$A$218,'Données projet'!$B$218,FE33+FD34-FM33)))</f>
        <v>116.76442307692307</v>
      </c>
      <c r="FF34" s="17">
        <f>FE34*VLOOKUP('Données projet'!$B$16,Paramètres!$A$1:$I$89,3,0)*VLOOKUP('Données projet'!$B$16,Paramètres!$A$1:$I$89,5,0)</f>
        <v>125.68522499999999</v>
      </c>
      <c r="FG34" s="13">
        <f t="shared" si="47"/>
        <v>32.997391369468055</v>
      </c>
      <c r="FH34" s="20">
        <f t="shared" si="22"/>
        <v>276.3722235101568</v>
      </c>
      <c r="FI34" s="59">
        <f t="shared" si="23"/>
        <v>569.70555684349006</v>
      </c>
      <c r="FJ34" s="59">
        <f ca="1">AVERAGE(OFFSET($FI$3,0,0,'Données projet'!$E$16+1,1))-AVERAGE(OFFSET($H$3,0,0,'Données projet'!$E$16+1,1))</f>
        <v>395.30533160963489</v>
      </c>
      <c r="FK34" s="59">
        <f t="shared" si="48"/>
        <v>196.02102977695085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8.1</v>
      </c>
      <c r="FZ34" s="12">
        <f>IF('Données projet'!$A$244&gt;35,FZ33+FY34-GH33,IF(A34&lt;'Données projet'!$A$244,$FW$205^A34,IF(A34='Données projet'!$A$244,'Données projet'!$B$244,FZ33+FY34-GH33)))</f>
        <v>119.09999999999991</v>
      </c>
      <c r="GA34" s="17">
        <f>FZ34*VLOOKUP('Données projet'!$B$17,Paramètres!$A$1:$I$89,3,0)*VLOOKUP('Données projet'!$B$17,Paramètres!$A$1:$I$89,5,0)</f>
        <v>124.48331999999991</v>
      </c>
      <c r="GB34" s="13">
        <f t="shared" si="49"/>
        <v>32.718417365321073</v>
      </c>
      <c r="GC34" s="20">
        <f t="shared" si="25"/>
        <v>273.79302591126736</v>
      </c>
      <c r="GD34" s="59">
        <f t="shared" si="26"/>
        <v>567.12635924460074</v>
      </c>
      <c r="GE34" s="59">
        <f ca="1">AVERAGE(OFFSET($GD$3,0,0,'Données projet'!$E$17+1,1))-AVERAGE(OFFSET($H$3,0,0,'Données projet'!$E$17+1,1))</f>
        <v>269.41185214595805</v>
      </c>
      <c r="GF34" s="59">
        <f t="shared" si="50"/>
        <v>299.70148160580993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6.2169824019628521</v>
      </c>
      <c r="GM34" s="21">
        <f>EXP(-LN(2)/25)*GM33+(1-EXP(-LN(2)/25))/(LN(2)/25)*Calculateur!GH34*Calculateur!GJ34*VLOOKUP('Données projet'!$B$17,Paramètres!$A$1:$I$89,3,0)*0.475*44/12</f>
        <v>15.779828706564633</v>
      </c>
      <c r="GN34" s="21">
        <f>EXP(-LN(2)/2)*GN33+(1-EXP(-LN(2)/2))/(LN(2)/2)*GH34*GK34*VLOOKUP('Données projet'!$B$17,Paramètres!$A$1:$I$89,3,0)*0.475*44/12</f>
        <v>13.511869120582137</v>
      </c>
      <c r="GO34" s="21">
        <f t="shared" si="27"/>
        <v>35.508680229109622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10.199999999999999</v>
      </c>
      <c r="GU34" s="12">
        <f>IF('Données projet'!$A$270&gt;35,GU33+GT34-HC33,IF(A34&lt;'Données projet'!$A$270,$GR$205^A34,IF(A34='Données projet'!$A$270,'Données projet'!$B$270,GU33+GT34-HC33)))</f>
        <v>128.19999999999996</v>
      </c>
      <c r="GV34" s="17">
        <f>GU34*VLOOKUP('Données projet'!$B$18,Paramètres!$A$1:$I$89,3,0)*VLOOKUP('Données projet'!$B$18,Paramètres!$A$1:$I$89,5,0)</f>
        <v>111.99551999999998</v>
      </c>
      <c r="GW34" s="13">
        <f t="shared" si="51"/>
        <v>29.8006515679741</v>
      </c>
      <c r="GX34" s="20">
        <f t="shared" si="28"/>
        <v>246.9616654808882</v>
      </c>
      <c r="GY34" s="59">
        <f t="shared" si="29"/>
        <v>540.29499881422157</v>
      </c>
      <c r="GZ34" s="59">
        <f ca="1">AVERAGE(OFFSET($GY$3,0,0,'Données projet'!$E$18+1,1))-AVERAGE(OFFSET($H$3,0,0,'Données projet'!$E$18+1,1))</f>
        <v>226.35975611953359</v>
      </c>
      <c r="HA34" s="59">
        <f t="shared" si="52"/>
        <v>271.65876694892461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10.98235538191101</v>
      </c>
      <c r="HI34" s="21">
        <f>EXP(-LN(2)/2)*HI33+(1-EXP(-LN(2)/2))/(LN(2)/2)*HC34*HF34*VLOOKUP('Données projet'!$B$18,Paramètres!$A$1:$I$89,3,0)*0.475*44/12</f>
        <v>8.3556072802928778</v>
      </c>
      <c r="HJ34" s="22">
        <f t="shared" si="30"/>
        <v>19.337962662203886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8.3413461538461533</v>
      </c>
      <c r="N35" s="13">
        <f>IF('Données projet'!$A$36&gt;35,N34+M35-V34,IF(A35&lt;'Données projet'!$A$36,$K$205^A35,IF(A35='Données projet'!$A$36,'Données projet'!$B$36,N34+M35-V34)))</f>
        <v>125.10576923076923</v>
      </c>
      <c r="O35" s="13">
        <f>N35*VLOOKUP('Données projet'!$B$9,Paramètres!$A$1:$I$89,3,0)*VLOOKUP('Données projet'!$B$9,Paramètres!$A$1:$I$89,5,0)</f>
        <v>113.19569999999999</v>
      </c>
      <c r="P35" s="13">
        <f t="shared" si="33"/>
        <v>30.08265690456005</v>
      </c>
      <c r="Q35" s="20">
        <f t="shared" ref="Q35:Q66" si="53">(O35+P35)*0.475*44/12</f>
        <v>249.54313827544206</v>
      </c>
      <c r="R35" s="59">
        <f t="shared" si="0"/>
        <v>542.87647160877532</v>
      </c>
      <c r="S35" s="59">
        <f ca="1">AVERAGE(OFFSET($R$3,0,0,'Données projet'!$E$9+1,1))-AVERAGE(OFFSET($H$3,0,0,'Données projet'!$E$9+1,1))</f>
        <v>309.07357540707869</v>
      </c>
      <c r="T35" s="59">
        <f t="shared" si="34"/>
        <v>155.9593924683299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127.1999999999999</v>
      </c>
      <c r="AJ35" s="13">
        <f>AI35*VLOOKUP('Données projet'!$B$10,Paramètres!$A$1:$I$89,3,0)*VLOOKUP('Données projet'!$B$10,Paramètres!$A$1:$I$89,5,0)</f>
        <v>111.12191999999993</v>
      </c>
      <c r="AK35" s="13">
        <f t="shared" si="35"/>
        <v>29.595161360044589</v>
      </c>
      <c r="AL35" s="20">
        <f t="shared" si="4"/>
        <v>245.08225003541085</v>
      </c>
      <c r="AM35" s="59">
        <f t="shared" si="5"/>
        <v>538.41558336874414</v>
      </c>
      <c r="AN35" s="59">
        <f ca="1">AVERAGE(OFFSET($AM$3,0,0,'Données projet'!$E$10+1,1))-AVERAGE(OFFSET($H$3,0,0,'Données projet'!$E$10+1,1))</f>
        <v>210.07838338464626</v>
      </c>
      <c r="AO35" s="59">
        <f t="shared" si="36"/>
        <v>241.76003724236273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5.0943878427840481</v>
      </c>
      <c r="AV35" s="21">
        <f>EXP(-LN(2)/25)*AV34+(1-EXP(-LN(2)/25))/(LN(2)/25)*Calculateur!AQ35*Calculateur!AS35*VLOOKUP('Données projet'!$B$10,Paramètres!$A$1:$I$89,3,0)*0.475*44/12</f>
        <v>12.828453638842921</v>
      </c>
      <c r="AW35" s="21">
        <f>EXP(-LN(2)/2)*AW34+(1-EXP(-LN(2)/2))/(LN(2)/2)*AQ35*AT35*VLOOKUP('Données projet'!$B$10,Paramètres!$A$1:$I$89,3,0)*0.475*44/12</f>
        <v>7.9857122354246197</v>
      </c>
      <c r="AX35" s="21">
        <f t="shared" si="6"/>
        <v>25.908553717051589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174.20000000000002</v>
      </c>
      <c r="BE35" s="13">
        <f>BD35*VLOOKUP('Données projet'!$B$11,Paramètres!$A$1:$I$89,3,0)*VLOOKUP('Données projet'!$B$11,Paramètres!$A$1:$I$89,5,0)</f>
        <v>95.113200000000006</v>
      </c>
      <c r="BF35" s="13">
        <f t="shared" si="37"/>
        <v>25.794411857052886</v>
      </c>
      <c r="BG35" s="20">
        <f t="shared" si="7"/>
        <v>210.58075731770046</v>
      </c>
      <c r="BH35" s="59">
        <f t="shared" si="8"/>
        <v>503.9140906510338</v>
      </c>
      <c r="BI35" s="59">
        <f ca="1">AVERAGE(OFFSET($BH$3,0,0,'Données projet'!$E$11+1,1))-AVERAGE(OFFSET($H$3,0,0,'Données projet'!$E$11+1,1))</f>
        <v>168.72306536277267</v>
      </c>
      <c r="BJ35" s="59">
        <f t="shared" si="38"/>
        <v>203.35476578922339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2.9239408009108683</v>
      </c>
      <c r="BQ35" s="21">
        <f>EXP(-LN(2)/25)*BQ34+(1-EXP(-LN(2)/25))/(LN(2)/25)*Calculateur!BL35*Calculateur!BN35*VLOOKUP('Données projet'!$B$11,Paramètres!$A$1:$I$89,3,0)*0.475*44/12</f>
        <v>21.745155394112935</v>
      </c>
      <c r="BR35" s="21">
        <f>EXP(-LN(2)/2)*BR34+(1-EXP(-LN(2)/2))/(LN(2)/2)*BL35*BO35*VLOOKUP('Données projet'!$B$11,Paramètres!$A$1:$I$89,3,0)*0.475*44/12</f>
        <v>10.011923311044615</v>
      </c>
      <c r="BS35" s="22">
        <f t="shared" si="9"/>
        <v>34.681019506068424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16.131410256410259</v>
      </c>
      <c r="BY35" s="12">
        <f>IF('Données projet'!$A$114&gt;35,BY34+BX35-CG34,IF(A35&lt;'Données projet'!$A$114,$BV$205^A35,IF(A35='Données projet'!$A$114,'Données projet'!$B$114,BY34+BX35-CG34)))</f>
        <v>249.05512820512817</v>
      </c>
      <c r="BZ35" s="13">
        <f>BY35*VLOOKUP('Données projet'!$B$12,Paramètres!$A$1:$I$89,3,0)*VLOOKUP('Données projet'!$B$12,Paramètres!$A$1:$I$89,5,0)</f>
        <v>116.55779999999997</v>
      </c>
      <c r="CA35" s="13">
        <f t="shared" si="39"/>
        <v>30.870807833785406</v>
      </c>
      <c r="CB35" s="20">
        <f t="shared" si="10"/>
        <v>256.7714919771762</v>
      </c>
      <c r="CC35" s="59">
        <f t="shared" si="11"/>
        <v>550.10482531050957</v>
      </c>
      <c r="CD35" s="59">
        <f ca="1">AVERAGE(OFFSET($CC$3,0,0,'Données projet'!$E$12+1,1))-AVERAGE(OFFSET($H$3,0,0,'Données projet'!$E$12+1,1))</f>
        <v>158.58786357608489</v>
      </c>
      <c r="CE35" s="59">
        <f t="shared" si="40"/>
        <v>163.20074068819849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10.199999999999999</v>
      </c>
      <c r="CT35" s="12">
        <f>IF('Données projet'!$A$140&gt;35,CT34+CS35-DB34,IF(A35&lt;'Données projet'!$A$140,$CQ$205^A35,IF(A35='Données projet'!$A$140,'Données projet'!$B$140,CT34+CS35-DB34)))</f>
        <v>138.39999999999995</v>
      </c>
      <c r="CU35" s="17">
        <f>CT35*VLOOKUP('Données projet'!$B$13,Paramètres!$A$1:$I$89,3,0)*VLOOKUP('Données projet'!$B$13,Paramètres!$A$1:$I$89,5,0)</f>
        <v>101.47487999999996</v>
      </c>
      <c r="CV35" s="13">
        <f t="shared" si="41"/>
        <v>27.313067403955227</v>
      </c>
      <c r="CW35" s="20">
        <f t="shared" si="13"/>
        <v>224.30567506188856</v>
      </c>
      <c r="CX35" s="59">
        <f t="shared" si="14"/>
        <v>517.63900839522194</v>
      </c>
      <c r="CY35" s="59">
        <f ca="1">AVERAGE(OFFSET($CX$3,0,0,'Données projet'!$E$13+1,1))-AVERAGE(OFFSET($H$3,0,0,'Données projet'!$E$13+1,1))</f>
        <v>178.12968684094687</v>
      </c>
      <c r="CZ35" s="59">
        <f t="shared" si="42"/>
        <v>219.36004077210373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7.2737221971485608</v>
      </c>
      <c r="DH35" s="21">
        <f>EXP(-LN(2)/2)*DH34+(1-EXP(-LN(2)/2))/(LN(2)/2)*DB35*DE35*VLOOKUP('Données projet'!$B$13,Paramètres!$A$1:$I$89,3,0)*0.475*44/12</f>
        <v>4.9587572988367619</v>
      </c>
      <c r="DI35" s="22">
        <f t="shared" si="15"/>
        <v>12.232479495985324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5.2</v>
      </c>
      <c r="DO35" s="12">
        <f>IF('Données projet'!$A$166&gt;35,DO34+DN35-DW34,IF(A35&lt;'Données projet'!$A$166,$DL$205^A35,IF(A35='Données projet'!$A$166,'Données projet'!$B$166,DO34+DN35-DW34)))</f>
        <v>212.39999999999995</v>
      </c>
      <c r="DP35" s="17">
        <f>DO35*VLOOKUP('Données projet'!$B$14,Paramètres!$A$1:$I$89,3,0)*VLOOKUP('Données projet'!$B$14,Paramètres!$A$1:$I$89,5,0)</f>
        <v>192.17951999999994</v>
      </c>
      <c r="DQ35" s="13">
        <f t="shared" si="43"/>
        <v>48.021493442275315</v>
      </c>
      <c r="DR35" s="20">
        <f t="shared" si="16"/>
        <v>418.35009841196273</v>
      </c>
      <c r="DS35" s="59">
        <f t="shared" si="17"/>
        <v>711.68343174529605</v>
      </c>
      <c r="DT35" s="59">
        <f ca="1">AVERAGE(OFFSET($DS$3,0,0,'Données projet'!$E$14+1,1))-AVERAGE(OFFSET($H$3,0,0,'Données projet'!$E$14+1,1))</f>
        <v>225.28075317732998</v>
      </c>
      <c r="DU35" s="59">
        <f t="shared" si="44"/>
        <v>358.43407531256207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2.156398505571314</v>
      </c>
      <c r="EB35" s="21">
        <f>EXP(-LN(2)/25)*EB34+(1-EXP(-LN(2)/25))/(LN(2)/25)*Calculateur!DW35*Calculateur!DY35*VLOOKUP('Données projet'!$B$14,Paramètres!$A$1:$I$89,3,0)*0.475*44/12</f>
        <v>7.8258424763194645</v>
      </c>
      <c r="EC35" s="21">
        <f>EXP(-LN(2)/2)*EC34+(1-EXP(-LN(2)/2))/(LN(2)/2)*DW35*DZ35*VLOOKUP('Données projet'!$B$14,Paramètres!$A$1:$I$89,3,0)*0.475*44/12</f>
        <v>2.2070105574847605</v>
      </c>
      <c r="ED35" s="22">
        <f t="shared" si="18"/>
        <v>12.18925153937554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8.3413461538461533</v>
      </c>
      <c r="EJ35" s="12">
        <f>IF('Données projet'!$A$192&gt;35,EJ34+EI35-ER34,IF(A35&lt;'Données projet'!$A$192,$EG$205^A35,IF(A35='Données projet'!$A$192,'Données projet'!$B$192,EJ34+EI35-ER34)))</f>
        <v>125.10576923076923</v>
      </c>
      <c r="EK35" s="17">
        <f>EJ35*VLOOKUP('Données projet'!$B$15,Paramètres!$A$1:$I$89,3,0)*VLOOKUP('Données projet'!$B$15,Paramètres!$A$1:$I$89,5,0)</f>
        <v>126.85724999999999</v>
      </c>
      <c r="EL35" s="13">
        <f t="shared" si="45"/>
        <v>33.269131020763432</v>
      </c>
      <c r="EM35" s="20">
        <f t="shared" si="19"/>
        <v>278.88678027782959</v>
      </c>
      <c r="EN35" s="59">
        <f t="shared" si="20"/>
        <v>572.2201136111629</v>
      </c>
      <c r="EO35" s="59">
        <f ca="1">AVERAGE(OFFSET($EN$3,0,0,'Données projet'!$E$15+1,1))-AVERAGE(OFFSET($H$3,0,0,'Données projet'!$E$15+1,1))</f>
        <v>363.98308691765931</v>
      </c>
      <c r="EP35" s="59">
        <f t="shared" si="46"/>
        <v>181.47089407988187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8.3413461538461533</v>
      </c>
      <c r="FE35" s="12">
        <f>IF('Données projet'!$A$218&gt;35,FE34+FD35-FM34,IF(A35&lt;'Données projet'!$A$218,$FB$205^A35,IF(A35='Données projet'!$A$218,'Données projet'!$B$218,FE34+FD35-FM34)))</f>
        <v>125.10576923076923</v>
      </c>
      <c r="FF35" s="17">
        <f>FE35*VLOOKUP('Données projet'!$B$16,Paramètres!$A$1:$I$89,3,0)*VLOOKUP('Données projet'!$B$16,Paramètres!$A$1:$I$89,5,0)</f>
        <v>134.66384999999997</v>
      </c>
      <c r="FG35" s="13">
        <f t="shared" si="47"/>
        <v>35.071817455726077</v>
      </c>
      <c r="FH35" s="20">
        <f t="shared" si="22"/>
        <v>295.62295415205625</v>
      </c>
      <c r="FI35" s="59">
        <f t="shared" si="23"/>
        <v>588.95628748538957</v>
      </c>
      <c r="FJ35" s="59">
        <f ca="1">AVERAGE(OFFSET($FI$3,0,0,'Données projet'!$E$16+1,1))-AVERAGE(OFFSET($H$3,0,0,'Données projet'!$E$16+1,1))</f>
        <v>395.30533160963489</v>
      </c>
      <c r="FK35" s="59">
        <f t="shared" si="48"/>
        <v>196.02102977695085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8.1</v>
      </c>
      <c r="FZ35" s="12">
        <f>IF('Données projet'!$A$244&gt;35,FZ34+FY35-GH34,IF(A35&lt;'Données projet'!$A$244,$FW$205^A35,IF(A35='Données projet'!$A$244,'Données projet'!$B$244,FZ34+FY35-GH34)))</f>
        <v>127.1999999999999</v>
      </c>
      <c r="GA35" s="17">
        <f>FZ35*VLOOKUP('Données projet'!$B$17,Paramètres!$A$1:$I$89,3,0)*VLOOKUP('Données projet'!$B$17,Paramètres!$A$1:$I$89,5,0)</f>
        <v>132.94943999999992</v>
      </c>
      <c r="GB35" s="13">
        <f t="shared" si="49"/>
        <v>34.676995907480148</v>
      </c>
      <c r="GC35" s="20">
        <f t="shared" si="25"/>
        <v>291.94937587219442</v>
      </c>
      <c r="GD35" s="59">
        <f t="shared" si="26"/>
        <v>585.28270920552768</v>
      </c>
      <c r="GE35" s="59">
        <f ca="1">AVERAGE(OFFSET($GD$3,0,0,'Données projet'!$E$17+1,1))-AVERAGE(OFFSET($H$3,0,0,'Données projet'!$E$17+1,1))</f>
        <v>269.41185214595805</v>
      </c>
      <c r="GF35" s="59">
        <f t="shared" si="50"/>
        <v>299.70148160580993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6.0950711690451982</v>
      </c>
      <c r="GM35" s="21">
        <f>EXP(-LN(2)/25)*GM34+(1-EXP(-LN(2)/25))/(LN(2)/25)*Calculateur!GH35*Calculateur!GJ35*VLOOKUP('Données projet'!$B$17,Paramètres!$A$1:$I$89,3,0)*0.475*44/12</f>
        <v>15.348328460758497</v>
      </c>
      <c r="GN35" s="21">
        <f>EXP(-LN(2)/2)*GN34+(1-EXP(-LN(2)/2))/(LN(2)/2)*GH35*GK35*VLOOKUP('Données projet'!$B$17,Paramètres!$A$1:$I$89,3,0)*0.475*44/12</f>
        <v>9.5543342816687424</v>
      </c>
      <c r="GO35" s="21">
        <f t="shared" si="27"/>
        <v>30.997733911472437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10.199999999999999</v>
      </c>
      <c r="GU35" s="12">
        <f>IF('Données projet'!$A$270&gt;35,GU34+GT35-HC34,IF(A35&lt;'Données projet'!$A$270,$GR$205^A35,IF(A35='Données projet'!$A$270,'Données projet'!$B$270,GU34+GT35-HC34)))</f>
        <v>138.39999999999995</v>
      </c>
      <c r="GV35" s="17">
        <f>GU35*VLOOKUP('Données projet'!$B$18,Paramètres!$A$1:$I$89,3,0)*VLOOKUP('Données projet'!$B$18,Paramètres!$A$1:$I$89,5,0)</f>
        <v>120.90623999999997</v>
      </c>
      <c r="GW35" s="13">
        <f t="shared" si="51"/>
        <v>31.886272251257857</v>
      </c>
      <c r="GX35" s="20">
        <f t="shared" si="28"/>
        <v>266.11362550427401</v>
      </c>
      <c r="GY35" s="59">
        <f t="shared" si="29"/>
        <v>559.44695883760733</v>
      </c>
      <c r="GZ35" s="59">
        <f ca="1">AVERAGE(OFFSET($GY$3,0,0,'Données projet'!$E$18+1,1))-AVERAGE(OFFSET($H$3,0,0,'Données projet'!$E$18+1,1))</f>
        <v>226.35975611953359</v>
      </c>
      <c r="HA35" s="59">
        <f t="shared" si="52"/>
        <v>271.65876694892461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10.682042296455684</v>
      </c>
      <c r="HI35" s="21">
        <f>EXP(-LN(2)/2)*HI34+(1-EXP(-LN(2)/2))/(LN(2)/2)*HC35*HF35*VLOOKUP('Données projet'!$B$18,Paramètres!$A$1:$I$89,3,0)*0.475*44/12</f>
        <v>5.90830656882678</v>
      </c>
      <c r="HJ35" s="22">
        <f t="shared" si="30"/>
        <v>16.590348865282465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8.3413461538461533</v>
      </c>
      <c r="N36" s="13">
        <f>IF('Données projet'!$A$36&gt;35,N35+M36-V35,IF(A36&lt;'Données projet'!$A$36,$K$205^A36,IF(A36='Données projet'!$A$36,'Données projet'!$B$36,N35+M36-V35)))</f>
        <v>133.44711538461539</v>
      </c>
      <c r="O36" s="13">
        <f>N36*VLOOKUP('Données projet'!$B$9,Paramètres!$A$1:$I$89,3,0)*VLOOKUP('Données projet'!$B$9,Paramètres!$A$1:$I$89,5,0)</f>
        <v>120.74294999999999</v>
      </c>
      <c r="P36" s="13">
        <f t="shared" si="33"/>
        <v>31.84821788595394</v>
      </c>
      <c r="Q36" s="20">
        <f t="shared" si="53"/>
        <v>265.76295073470305</v>
      </c>
      <c r="R36" s="59">
        <f t="shared" si="0"/>
        <v>559.09628406803631</v>
      </c>
      <c r="S36" s="59">
        <f ca="1">AVERAGE(OFFSET($R$3,0,0,'Données projet'!$E$9+1,1))-AVERAGE(OFFSET($H$3,0,0,'Données projet'!$E$9+1,1))</f>
        <v>309.07357540707869</v>
      </c>
      <c r="T36" s="59">
        <f t="shared" si="34"/>
        <v>155.9593924683299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135.2999999999999</v>
      </c>
      <c r="AJ36" s="13">
        <f>AI36*VLOOKUP('Données projet'!$B$10,Paramètres!$A$1:$I$89,3,0)*VLOOKUP('Données projet'!$B$10,Paramètres!$A$1:$I$89,5,0)</f>
        <v>118.19807999999992</v>
      </c>
      <c r="AK36" s="13">
        <f t="shared" si="35"/>
        <v>31.254361690638451</v>
      </c>
      <c r="AL36" s="20">
        <f t="shared" si="4"/>
        <v>260.29633594452849</v>
      </c>
      <c r="AM36" s="59">
        <f t="shared" si="5"/>
        <v>553.62966927786181</v>
      </c>
      <c r="AN36" s="59">
        <f ca="1">AVERAGE(OFFSET($AM$3,0,0,'Données projet'!$E$10+1,1))-AVERAGE(OFFSET($H$3,0,0,'Données projet'!$E$10+1,1))</f>
        <v>210.07838338464626</v>
      </c>
      <c r="AO36" s="59">
        <f t="shared" si="36"/>
        <v>241.76003724236273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4.9944900044568197</v>
      </c>
      <c r="AV36" s="21">
        <f>EXP(-LN(2)/25)*AV35+(1-EXP(-LN(2)/25))/(LN(2)/25)*Calculateur!AQ36*Calculateur!AS36*VLOOKUP('Données projet'!$B$10,Paramètres!$A$1:$I$89,3,0)*0.475*44/12</f>
        <v>12.477658899469704</v>
      </c>
      <c r="AW36" s="21">
        <f>EXP(-LN(2)/2)*AW35+(1-EXP(-LN(2)/2))/(LN(2)/2)*AQ36*AT36*VLOOKUP('Données projet'!$B$10,Paramètres!$A$1:$I$89,3,0)*0.475*44/12</f>
        <v>5.6467512742731323</v>
      </c>
      <c r="AX36" s="21">
        <f t="shared" si="6"/>
        <v>23.118900178199656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186.3</v>
      </c>
      <c r="BE36" s="13">
        <f>BD36*VLOOKUP('Données projet'!$B$11,Paramètres!$A$1:$I$89,3,0)*VLOOKUP('Données projet'!$B$11,Paramètres!$A$1:$I$89,5,0)</f>
        <v>101.71979999999999</v>
      </c>
      <c r="BF36" s="13">
        <f t="shared" si="37"/>
        <v>27.37130868680908</v>
      </c>
      <c r="BG36" s="20">
        <f t="shared" si="7"/>
        <v>224.83368096285912</v>
      </c>
      <c r="BH36" s="59">
        <f t="shared" si="8"/>
        <v>518.16701429619241</v>
      </c>
      <c r="BI36" s="59">
        <f ca="1">AVERAGE(OFFSET($BH$3,0,0,'Données projet'!$E$11+1,1))-AVERAGE(OFFSET($H$3,0,0,'Données projet'!$E$11+1,1))</f>
        <v>168.72306536277267</v>
      </c>
      <c r="BJ36" s="59">
        <f t="shared" si="38"/>
        <v>203.35476578922339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2.866604105232796</v>
      </c>
      <c r="BQ36" s="21">
        <f>EXP(-LN(2)/25)*BQ35+(1-EXP(-LN(2)/25))/(LN(2)/25)*Calculateur!BL36*Calculateur!BN36*VLOOKUP('Données projet'!$B$11,Paramètres!$A$1:$I$89,3,0)*0.475*44/12</f>
        <v>21.150532976332894</v>
      </c>
      <c r="BR36" s="21">
        <f>EXP(-LN(2)/2)*BR35+(1-EXP(-LN(2)/2))/(LN(2)/2)*BL36*BO36*VLOOKUP('Données projet'!$B$11,Paramètres!$A$1:$I$89,3,0)*0.475*44/12</f>
        <v>7.0794988659593194</v>
      </c>
      <c r="BS36" s="22">
        <f t="shared" si="9"/>
        <v>31.096635947525009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16.131410256410259</v>
      </c>
      <c r="BY36" s="12">
        <f>IF('Données projet'!$A$114&gt;35,BY35+BX36-CG35,IF(A36&lt;'Données projet'!$A$114,$BV$205^A36,IF(A36='Données projet'!$A$114,'Données projet'!$B$114,BY35+BX36-CG35)))</f>
        <v>265.18653846153842</v>
      </c>
      <c r="BZ36" s="13">
        <f>BY36*VLOOKUP('Données projet'!$B$12,Paramètres!$A$1:$I$89,3,0)*VLOOKUP('Données projet'!$B$12,Paramètres!$A$1:$I$89,5,0)</f>
        <v>124.10729999999997</v>
      </c>
      <c r="CA36" s="13">
        <f t="shared" si="39"/>
        <v>32.631075149258578</v>
      </c>
      <c r="CB36" s="20">
        <f t="shared" si="10"/>
        <v>272.98600338495862</v>
      </c>
      <c r="CC36" s="59">
        <f t="shared" si="11"/>
        <v>566.31933671829188</v>
      </c>
      <c r="CD36" s="59">
        <f ca="1">AVERAGE(OFFSET($CC$3,0,0,'Données projet'!$E$12+1,1))-AVERAGE(OFFSET($H$3,0,0,'Données projet'!$E$12+1,1))</f>
        <v>158.58786357608489</v>
      </c>
      <c r="CE36" s="59">
        <f t="shared" si="40"/>
        <v>163.20074068819849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10.199999999999999</v>
      </c>
      <c r="CT36" s="12">
        <f>IF('Données projet'!$A$140&gt;35,CT35+CS36-DB35,IF(A36&lt;'Données projet'!$A$140,$CQ$205^A36,IF(A36='Données projet'!$A$140,'Données projet'!$B$140,CT35+CS36-DB35)))</f>
        <v>148.59999999999994</v>
      </c>
      <c r="CU36" s="17">
        <f>CT36*VLOOKUP('Données projet'!$B$13,Paramètres!$A$1:$I$89,3,0)*VLOOKUP('Données projet'!$B$13,Paramètres!$A$1:$I$89,5,0)</f>
        <v>108.95351999999995</v>
      </c>
      <c r="CV36" s="13">
        <f t="shared" si="41"/>
        <v>29.084288721109843</v>
      </c>
      <c r="CW36" s="20">
        <f t="shared" si="13"/>
        <v>240.41585018926619</v>
      </c>
      <c r="CX36" s="59">
        <f t="shared" si="14"/>
        <v>533.74918352259954</v>
      </c>
      <c r="CY36" s="59">
        <f ca="1">AVERAGE(OFFSET($CX$3,0,0,'Données projet'!$E$13+1,1))-AVERAGE(OFFSET($H$3,0,0,'Données projet'!$E$13+1,1))</f>
        <v>178.12968684094687</v>
      </c>
      <c r="CZ36" s="59">
        <f t="shared" si="42"/>
        <v>219.36004077210373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7.0748218811591075</v>
      </c>
      <c r="DH36" s="21">
        <f>EXP(-LN(2)/2)*DH35+(1-EXP(-LN(2)/2))/(LN(2)/2)*DB36*DE36*VLOOKUP('Données projet'!$B$13,Paramètres!$A$1:$I$89,3,0)*0.475*44/12</f>
        <v>3.506370912265762</v>
      </c>
      <c r="DI36" s="22">
        <f t="shared" si="15"/>
        <v>10.581192793424869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5.2</v>
      </c>
      <c r="DO36" s="12">
        <f>IF('Données projet'!$A$166&gt;35,DO35+DN36-DW35,IF(A36&lt;'Données projet'!$A$166,$DL$205^A36,IF(A36='Données projet'!$A$166,'Données projet'!$B$166,DO35+DN36-DW35)))</f>
        <v>217.59999999999994</v>
      </c>
      <c r="DP36" s="17">
        <f>DO36*VLOOKUP('Données projet'!$B$14,Paramètres!$A$1:$I$89,3,0)*VLOOKUP('Données projet'!$B$14,Paramètres!$A$1:$I$89,5,0)</f>
        <v>196.88447999999994</v>
      </c>
      <c r="DQ36" s="13">
        <f t="shared" si="43"/>
        <v>49.058846340873643</v>
      </c>
      <c r="DR36" s="20">
        <f t="shared" si="16"/>
        <v>428.35129337702142</v>
      </c>
      <c r="DS36" s="59">
        <f t="shared" si="17"/>
        <v>721.68462671035468</v>
      </c>
      <c r="DT36" s="59">
        <f ca="1">AVERAGE(OFFSET($DS$3,0,0,'Données projet'!$E$14+1,1))-AVERAGE(OFFSET($H$3,0,0,'Données projet'!$E$14+1,1))</f>
        <v>225.28075317732998</v>
      </c>
      <c r="DU36" s="59">
        <f t="shared" si="44"/>
        <v>358.43407531256207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2.1141128461502765</v>
      </c>
      <c r="EB36" s="21">
        <f>EXP(-LN(2)/25)*EB35+(1-EXP(-LN(2)/25))/(LN(2)/25)*Calculateur!DW36*Calculateur!DY36*VLOOKUP('Données projet'!$B$14,Paramètres!$A$1:$I$89,3,0)*0.475*44/12</f>
        <v>7.6118444022613394</v>
      </c>
      <c r="EC36" s="21">
        <f>EXP(-LN(2)/2)*EC35+(1-EXP(-LN(2)/2))/(LN(2)/2)*DW36*DZ36*VLOOKUP('Données projet'!$B$14,Paramètres!$A$1:$I$89,3,0)*0.475*44/12</f>
        <v>1.5605921313477769</v>
      </c>
      <c r="ED36" s="22">
        <f t="shared" si="18"/>
        <v>11.286549379759393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8.3413461538461533</v>
      </c>
      <c r="EJ36" s="12">
        <f>IF('Données projet'!$A$192&gt;35,EJ35+EI36-ER35,IF(A36&lt;'Données projet'!$A$192,$EG$205^A36,IF(A36='Données projet'!$A$192,'Données projet'!$B$192,EJ35+EI36-ER35)))</f>
        <v>133.44711538461539</v>
      </c>
      <c r="EK36" s="17">
        <f>EJ36*VLOOKUP('Données projet'!$B$15,Paramètres!$A$1:$I$89,3,0)*VLOOKUP('Données projet'!$B$15,Paramètres!$A$1:$I$89,5,0)</f>
        <v>135.31537500000002</v>
      </c>
      <c r="EL36" s="13">
        <f t="shared" si="45"/>
        <v>35.221707211140988</v>
      </c>
      <c r="EM36" s="20">
        <f t="shared" si="19"/>
        <v>297.01875151773726</v>
      </c>
      <c r="EN36" s="59">
        <f t="shared" si="20"/>
        <v>590.35208485107057</v>
      </c>
      <c r="EO36" s="59">
        <f ca="1">AVERAGE(OFFSET($EN$3,0,0,'Données projet'!$E$15+1,1))-AVERAGE(OFFSET($H$3,0,0,'Données projet'!$E$15+1,1))</f>
        <v>363.98308691765931</v>
      </c>
      <c r="EP36" s="59">
        <f t="shared" si="46"/>
        <v>181.47089407988187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8.3413461538461533</v>
      </c>
      <c r="FE36" s="12">
        <f>IF('Données projet'!$A$218&gt;35,FE35+FD36-FM35,IF(A36&lt;'Données projet'!$A$218,$FB$205^A36,IF(A36='Données projet'!$A$218,'Données projet'!$B$218,FE35+FD36-FM35)))</f>
        <v>133.44711538461539</v>
      </c>
      <c r="FF36" s="17">
        <f>FE36*VLOOKUP('Données projet'!$B$16,Paramètres!$A$1:$I$89,3,0)*VLOOKUP('Données projet'!$B$16,Paramètres!$A$1:$I$89,5,0)</f>
        <v>143.64247499999999</v>
      </c>
      <c r="FG36" s="13">
        <f t="shared" si="47"/>
        <v>37.130193903087445</v>
      </c>
      <c r="FH36" s="20">
        <f t="shared" si="22"/>
        <v>314.84573167287726</v>
      </c>
      <c r="FI36" s="59">
        <f t="shared" si="23"/>
        <v>608.17906500621052</v>
      </c>
      <c r="FJ36" s="59">
        <f ca="1">AVERAGE(OFFSET($FI$3,0,0,'Données projet'!$E$16+1,1))-AVERAGE(OFFSET($H$3,0,0,'Données projet'!$E$16+1,1))</f>
        <v>395.30533160963489</v>
      </c>
      <c r="FK36" s="59">
        <f t="shared" si="48"/>
        <v>196.02102977695085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8.1</v>
      </c>
      <c r="FZ36" s="12">
        <f>IF('Données projet'!$A$244&gt;35,FZ35+FY36-GH35,IF(A36&lt;'Données projet'!$A$244,$FW$205^A36,IF(A36='Données projet'!$A$244,'Données projet'!$B$244,FZ35+FY36-GH35)))</f>
        <v>135.2999999999999</v>
      </c>
      <c r="GA36" s="17">
        <f>FZ36*VLOOKUP('Données projet'!$B$17,Paramètres!$A$1:$I$89,3,0)*VLOOKUP('Données projet'!$B$17,Paramètres!$A$1:$I$89,5,0)</f>
        <v>141.41555999999991</v>
      </c>
      <c r="GB36" s="13">
        <f t="shared" si="49"/>
        <v>36.621100295820177</v>
      </c>
      <c r="GC36" s="20">
        <f t="shared" si="25"/>
        <v>310.08051668188665</v>
      </c>
      <c r="GD36" s="59">
        <f t="shared" si="26"/>
        <v>603.41385001521996</v>
      </c>
      <c r="GE36" s="59">
        <f ca="1">AVERAGE(OFFSET($GD$3,0,0,'Données projet'!$E$17+1,1))-AVERAGE(OFFSET($H$3,0,0,'Données projet'!$E$17+1,1))</f>
        <v>269.41185214595805</v>
      </c>
      <c r="GF36" s="59">
        <f t="shared" si="50"/>
        <v>299.70148160580993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5.9755505410465499</v>
      </c>
      <c r="GM36" s="21">
        <f>EXP(-LN(2)/25)*GM35+(1-EXP(-LN(2)/25))/(LN(2)/25)*Calculateur!GH36*Calculateur!GJ36*VLOOKUP('Données projet'!$B$17,Paramètres!$A$1:$I$89,3,0)*0.475*44/12</f>
        <v>14.92862761186554</v>
      </c>
      <c r="GN36" s="21">
        <f>EXP(-LN(2)/2)*GN35+(1-EXP(-LN(2)/2))/(LN(2)/2)*GH36*GK36*VLOOKUP('Données projet'!$B$17,Paramètres!$A$1:$I$89,3,0)*0.475*44/12</f>
        <v>6.7559345602910694</v>
      </c>
      <c r="GO36" s="21">
        <f t="shared" si="27"/>
        <v>27.660112713203159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10.199999999999999</v>
      </c>
      <c r="GU36" s="12">
        <f>IF('Données projet'!$A$270&gt;35,GU35+GT36-HC35,IF(A36&lt;'Données projet'!$A$270,$GR$205^A36,IF(A36='Données projet'!$A$270,'Données projet'!$B$270,GU35+GT36-HC35)))</f>
        <v>148.59999999999994</v>
      </c>
      <c r="GV36" s="17">
        <f>GU36*VLOOKUP('Données projet'!$B$18,Paramètres!$A$1:$I$89,3,0)*VLOOKUP('Données projet'!$B$18,Paramètres!$A$1:$I$89,5,0)</f>
        <v>129.81695999999997</v>
      </c>
      <c r="GW36" s="13">
        <f t="shared" si="51"/>
        <v>33.954060694815986</v>
      </c>
      <c r="GX36" s="20">
        <f t="shared" si="28"/>
        <v>285.23452771013774</v>
      </c>
      <c r="GY36" s="59">
        <f t="shared" si="29"/>
        <v>578.56786104347111</v>
      </c>
      <c r="GZ36" s="59">
        <f ca="1">AVERAGE(OFFSET($GY$3,0,0,'Données projet'!$E$18+1,1))-AVERAGE(OFFSET($H$3,0,0,'Données projet'!$E$18+1,1))</f>
        <v>226.35975611953359</v>
      </c>
      <c r="HA36" s="59">
        <f t="shared" si="52"/>
        <v>271.65876694892461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10.389941288114914</v>
      </c>
      <c r="HI36" s="21">
        <f>EXP(-LN(2)/2)*HI35+(1-EXP(-LN(2)/2))/(LN(2)/2)*HC36*HF36*VLOOKUP('Données projet'!$B$18,Paramètres!$A$1:$I$89,3,0)*0.475*44/12</f>
        <v>4.1778036401464398</v>
      </c>
      <c r="HJ36" s="22">
        <f t="shared" si="30"/>
        <v>14.567744928261353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141.78846153846152</v>
      </c>
      <c r="L37" s="12">
        <f>VLOOKUP(A37,'Données projet'!$A$35:$I$55,9,0)</f>
        <v>8.3413461538461533</v>
      </c>
      <c r="M37" s="12">
        <f t="array" ref="M37">INDEX(L:L,MIN(IF(ISNUMBER(L37:L233),ROW(L37:L233),"")))</f>
        <v>8.3413461538461533</v>
      </c>
      <c r="N37" s="13">
        <f>IF('Données projet'!$A$36&gt;35,N36+M37-V36,IF(A37&lt;'Données projet'!$A$36,$K$205^A37,IF(A37='Données projet'!$A$36,'Données projet'!$B$36,N36+M37-V36)))</f>
        <v>141.78846153846155</v>
      </c>
      <c r="O37" s="13">
        <f>N37*VLOOKUP('Données projet'!$B$9,Paramètres!$A$1:$I$89,3,0)*VLOOKUP('Données projet'!$B$9,Paramètres!$A$1:$I$89,5,0)</f>
        <v>128.2902</v>
      </c>
      <c r="P37" s="13">
        <f t="shared" si="33"/>
        <v>33.600970839600329</v>
      </c>
      <c r="Q37" s="20">
        <f t="shared" si="53"/>
        <v>281.96045587897055</v>
      </c>
      <c r="R37" s="59">
        <f t="shared" si="0"/>
        <v>575.29378921230386</v>
      </c>
      <c r="S37" s="59">
        <f ca="1">AVERAGE(OFFSET($R$3,0,0,'Données projet'!$E$9+1,1))-AVERAGE(OFFSET($H$3,0,0,'Données projet'!$E$9+1,1))</f>
        <v>309.07357540707869</v>
      </c>
      <c r="T37" s="59">
        <f t="shared" si="34"/>
        <v>155.9593924683299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31.615384615384613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143.39999999999989</v>
      </c>
      <c r="AJ37" s="13">
        <f>AI37*VLOOKUP('Données projet'!$B$10,Paramètres!$A$1:$I$89,3,0)*VLOOKUP('Données projet'!$B$10,Paramètres!$A$1:$I$89,5,0)</f>
        <v>125.27423999999992</v>
      </c>
      <c r="AK37" s="13">
        <f t="shared" si="35"/>
        <v>32.902032783270968</v>
      </c>
      <c r="AL37" s="20">
        <f t="shared" si="4"/>
        <v>275.49034176419678</v>
      </c>
      <c r="AM37" s="59">
        <f t="shared" si="5"/>
        <v>568.8236750975301</v>
      </c>
      <c r="AN37" s="59">
        <f ca="1">AVERAGE(OFFSET($AM$3,0,0,'Données projet'!$E$10+1,1))-AVERAGE(OFFSET($H$3,0,0,'Données projet'!$E$10+1,1))</f>
        <v>210.07838338464626</v>
      </c>
      <c r="AO37" s="59">
        <f t="shared" si="36"/>
        <v>241.76003724236273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4.896551101807523</v>
      </c>
      <c r="AV37" s="21">
        <f>EXP(-LN(2)/25)*AV36+(1-EXP(-LN(2)/25))/(LN(2)/25)*Calculateur!AQ37*Calculateur!AS37*VLOOKUP('Données projet'!$B$10,Paramètres!$A$1:$I$89,3,0)*0.475*44/12</f>
        <v>12.136456660692142</v>
      </c>
      <c r="AW37" s="21">
        <f>EXP(-LN(2)/2)*AW36+(1-EXP(-LN(2)/2))/(LN(2)/2)*AQ37*AT37*VLOOKUP('Données projet'!$B$10,Paramètres!$A$1:$I$89,3,0)*0.475*44/12</f>
        <v>3.9928561177123103</v>
      </c>
      <c r="AX37" s="21">
        <f t="shared" si="6"/>
        <v>21.025863880211975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198.4</v>
      </c>
      <c r="BE37" s="13">
        <f>BD37*VLOOKUP('Données projet'!$B$11,Paramètres!$A$1:$I$89,3,0)*VLOOKUP('Données projet'!$B$11,Paramètres!$A$1:$I$89,5,0)</f>
        <v>108.32640000000001</v>
      </c>
      <c r="BF37" s="13">
        <f t="shared" si="37"/>
        <v>28.936320206966883</v>
      </c>
      <c r="BG37" s="20">
        <f t="shared" si="7"/>
        <v>239.06590436046736</v>
      </c>
      <c r="BH37" s="59">
        <f t="shared" si="8"/>
        <v>532.39923769380061</v>
      </c>
      <c r="BI37" s="59">
        <f ca="1">AVERAGE(OFFSET($BH$3,0,0,'Données projet'!$E$11+1,1))-AVERAGE(OFFSET($H$3,0,0,'Données projet'!$E$11+1,1))</f>
        <v>168.72306536277267</v>
      </c>
      <c r="BJ37" s="59">
        <f t="shared" si="38"/>
        <v>203.35476578922339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2.8103917471850393</v>
      </c>
      <c r="BQ37" s="21">
        <f>EXP(-LN(2)/25)*BQ36+(1-EXP(-LN(2)/25))/(LN(2)/25)*Calculateur!BL37*Calculateur!BN37*VLOOKUP('Données projet'!$B$11,Paramètres!$A$1:$I$89,3,0)*0.475*44/12</f>
        <v>20.572170539836883</v>
      </c>
      <c r="BR37" s="21">
        <f>EXP(-LN(2)/2)*BR36+(1-EXP(-LN(2)/2))/(LN(2)/2)*BL37*BO37*VLOOKUP('Données projet'!$B$11,Paramètres!$A$1:$I$89,3,0)*0.475*44/12</f>
        <v>5.0059616555223085</v>
      </c>
      <c r="BS37" s="22">
        <f t="shared" si="9"/>
        <v>28.388523942544232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16.131410256410259</v>
      </c>
      <c r="BY37" s="12">
        <f>IF('Données projet'!$A$114&gt;35,BY36+BX37-CG36,IF(A37&lt;'Données projet'!$A$114,$BV$205^A37,IF(A37='Données projet'!$A$114,'Données projet'!$B$114,BY36+BX37-CG36)))</f>
        <v>281.3179487179487</v>
      </c>
      <c r="BZ37" s="13">
        <f>BY37*VLOOKUP('Données projet'!$B$12,Paramètres!$A$1:$I$89,3,0)*VLOOKUP('Données projet'!$B$12,Paramètres!$A$1:$I$89,5,0)</f>
        <v>131.65679999999998</v>
      </c>
      <c r="CA37" s="13">
        <f t="shared" si="39"/>
        <v>34.378914540413547</v>
      </c>
      <c r="CB37" s="20">
        <f t="shared" si="10"/>
        <v>289.17886949122021</v>
      </c>
      <c r="CC37" s="59">
        <f t="shared" si="11"/>
        <v>582.51220282455347</v>
      </c>
      <c r="CD37" s="59">
        <f ca="1">AVERAGE(OFFSET($CC$3,0,0,'Données projet'!$E$12+1,1))-AVERAGE(OFFSET($H$3,0,0,'Données projet'!$E$12+1,1))</f>
        <v>158.58786357608489</v>
      </c>
      <c r="CE37" s="59">
        <f t="shared" si="40"/>
        <v>163.20074068819849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10.199999999999999</v>
      </c>
      <c r="CT37" s="12">
        <f>IF('Données projet'!$A$140&gt;35,CT36+CS37-DB36,IF(A37&lt;'Données projet'!$A$140,$CQ$205^A37,IF(A37='Données projet'!$A$140,'Données projet'!$B$140,CT36+CS37-DB36)))</f>
        <v>158.79999999999993</v>
      </c>
      <c r="CU37" s="17">
        <f>CT37*VLOOKUP('Données projet'!$B$13,Paramètres!$A$1:$I$89,3,0)*VLOOKUP('Données projet'!$B$13,Paramètres!$A$1:$I$89,5,0)</f>
        <v>116.43215999999995</v>
      </c>
      <c r="CV37" s="13">
        <f t="shared" si="41"/>
        <v>30.841403080279388</v>
      </c>
      <c r="CW37" s="20">
        <f t="shared" si="13"/>
        <v>256.50145569815317</v>
      </c>
      <c r="CX37" s="59">
        <f t="shared" si="14"/>
        <v>549.83478903148648</v>
      </c>
      <c r="CY37" s="59">
        <f ca="1">AVERAGE(OFFSET($CX$3,0,0,'Données projet'!$E$13+1,1))-AVERAGE(OFFSET($H$3,0,0,'Données projet'!$E$13+1,1))</f>
        <v>178.12968684094687</v>
      </c>
      <c r="CZ37" s="59">
        <f t="shared" si="42"/>
        <v>219.36004077210373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6.8813605047700985</v>
      </c>
      <c r="DH37" s="21">
        <f>EXP(-LN(2)/2)*DH36+(1-EXP(-LN(2)/2))/(LN(2)/2)*DB37*DE37*VLOOKUP('Données projet'!$B$13,Paramètres!$A$1:$I$89,3,0)*0.475*44/12</f>
        <v>2.4793786494183814</v>
      </c>
      <c r="DI37" s="22">
        <f t="shared" si="15"/>
        <v>9.3607391541884795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5.2</v>
      </c>
      <c r="DO37" s="12">
        <f>IF('Données projet'!$A$166&gt;35,DO36+DN37-DW36,IF(A37&lt;'Données projet'!$A$166,$DL$205^A37,IF(A37='Données projet'!$A$166,'Données projet'!$B$166,DO36+DN37-DW36)))</f>
        <v>222.79999999999993</v>
      </c>
      <c r="DP37" s="17">
        <f>DO37*VLOOKUP('Données projet'!$B$14,Paramètres!$A$1:$I$89,3,0)*VLOOKUP('Données projet'!$B$14,Paramètres!$A$1:$I$89,5,0)</f>
        <v>201.58943999999994</v>
      </c>
      <c r="DQ37" s="13">
        <f t="shared" si="43"/>
        <v>50.093317439945402</v>
      </c>
      <c r="DR37" s="20">
        <f t="shared" si="16"/>
        <v>438.34746920790479</v>
      </c>
      <c r="DS37" s="59">
        <f t="shared" si="17"/>
        <v>731.68080254123811</v>
      </c>
      <c r="DT37" s="59">
        <f ca="1">AVERAGE(OFFSET($DS$3,0,0,'Données projet'!$E$14+1,1))-AVERAGE(OFFSET($H$3,0,0,'Données projet'!$E$14+1,1))</f>
        <v>225.28075317732998</v>
      </c>
      <c r="DU37" s="59">
        <f t="shared" si="44"/>
        <v>358.43407531256207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2.0726563827187801</v>
      </c>
      <c r="EB37" s="21">
        <f>EXP(-LN(2)/25)*EB36+(1-EXP(-LN(2)/25))/(LN(2)/25)*Calculateur!DW37*Calculateur!DY37*VLOOKUP('Données projet'!$B$14,Paramètres!$A$1:$I$89,3,0)*0.475*44/12</f>
        <v>7.4036981167920031</v>
      </c>
      <c r="EC37" s="21">
        <f>EXP(-LN(2)/2)*EC36+(1-EXP(-LN(2)/2))/(LN(2)/2)*DW37*DZ37*VLOOKUP('Données projet'!$B$14,Paramètres!$A$1:$I$89,3,0)*0.475*44/12</f>
        <v>1.1035052787423805</v>
      </c>
      <c r="ED37" s="22">
        <f t="shared" si="18"/>
        <v>10.579859778253164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>
        <f>VLOOKUP(A37,'Données projet'!$A$191:$I$211,2,0)</f>
        <v>141.78846153846152</v>
      </c>
      <c r="EH37" s="12">
        <f>VLOOKUP(A37,'Données projet'!$A$191:$I$211,9,0)</f>
        <v>8.3413461538461533</v>
      </c>
      <c r="EI37" s="12">
        <f t="array" ref="EI37">INDEX(EH:EH,MIN(IF(ISNUMBER(EH37:EH233),ROW(EH37:EH233),"")))</f>
        <v>8.3413461538461533</v>
      </c>
      <c r="EJ37" s="12">
        <f>IF('Données projet'!$A$192&gt;35,EJ36+EI37-ER36,IF(A37&lt;'Données projet'!$A$192,$EG$205^A37,IF(A37='Données projet'!$A$192,'Données projet'!$B$192,EJ36+EI37-ER36)))</f>
        <v>141.78846153846155</v>
      </c>
      <c r="EK37" s="17">
        <f>EJ37*VLOOKUP('Données projet'!$B$15,Paramètres!$A$1:$I$89,3,0)*VLOOKUP('Données projet'!$B$15,Paramètres!$A$1:$I$89,5,0)</f>
        <v>143.77350000000001</v>
      </c>
      <c r="EL37" s="13">
        <f t="shared" si="45"/>
        <v>37.160118696765238</v>
      </c>
      <c r="EM37" s="20">
        <f t="shared" si="19"/>
        <v>315.12605256353282</v>
      </c>
      <c r="EN37" s="59">
        <f t="shared" si="20"/>
        <v>608.45938589686614</v>
      </c>
      <c r="EO37" s="59">
        <f ca="1">AVERAGE(OFFSET($EN$3,0,0,'Données projet'!$E$15+1,1))-AVERAGE(OFFSET($H$3,0,0,'Données projet'!$E$15+1,1))</f>
        <v>363.98308691765931</v>
      </c>
      <c r="EP37" s="59">
        <f t="shared" si="46"/>
        <v>181.47089407988187</v>
      </c>
      <c r="EQ37" s="15">
        <f>IF(ISNA(VLOOKUP(A37,'Données projet'!$A$191:$I$211,3,0)),0,VLOOKUP(A37,'Données projet'!$A$191:$I$211,3,0))</f>
        <v>1</v>
      </c>
      <c r="ER37" s="15">
        <f>IF(ISNA(VLOOKUP(A37,'Données projet'!$A$191:$I$211,4,0)),0,VLOOKUP(A37,'Données projet'!$A$191:$I$211,4,0))</f>
        <v>31.615384615384613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>
        <f>VLOOKUP(A37,'Données projet'!$A$217:$I$237,2,0)</f>
        <v>141.78846153846152</v>
      </c>
      <c r="FC37" s="12">
        <f>VLOOKUP(A37,'Données projet'!$A$217:$I$237,9,0)</f>
        <v>8.3413461538461533</v>
      </c>
      <c r="FD37" s="12">
        <f t="array" ref="FD37">INDEX(FC:FC,MIN(IF(ISNUMBER(FC37:FC233),ROW(FC37:FC233),"")))</f>
        <v>8.3413461538461533</v>
      </c>
      <c r="FE37" s="12">
        <f>IF('Données projet'!$A$218&gt;35,FE36+FD37-FM36,IF(A37&lt;'Données projet'!$A$218,$FB$205^A37,IF(A37='Données projet'!$A$218,'Données projet'!$B$218,FE36+FD37-FM36)))</f>
        <v>141.78846153846155</v>
      </c>
      <c r="FF37" s="17">
        <f>FE37*VLOOKUP('Données projet'!$B$16,Paramètres!$A$1:$I$89,3,0)*VLOOKUP('Données projet'!$B$16,Paramètres!$A$1:$I$89,5,0)</f>
        <v>152.62109999999998</v>
      </c>
      <c r="FG37" s="13">
        <f t="shared" si="47"/>
        <v>39.173638131776983</v>
      </c>
      <c r="FH37" s="20">
        <f t="shared" si="22"/>
        <v>334.04250224617823</v>
      </c>
      <c r="FI37" s="59">
        <f t="shared" si="23"/>
        <v>627.37583557951154</v>
      </c>
      <c r="FJ37" s="59">
        <f ca="1">AVERAGE(OFFSET($FI$3,0,0,'Données projet'!$E$16+1,1))-AVERAGE(OFFSET($H$3,0,0,'Données projet'!$E$16+1,1))</f>
        <v>395.30533160963489</v>
      </c>
      <c r="FK37" s="59">
        <f t="shared" si="48"/>
        <v>196.02102977695085</v>
      </c>
      <c r="FL37" s="15">
        <f>IF(ISNA(VLOOKUP(A37,'Données projet'!$A$217:$I$237,3,0)),0,VLOOKUP(A37,'Données projet'!$A$217:$I$237,3,0))</f>
        <v>1</v>
      </c>
      <c r="FM37" s="15">
        <f>IF(ISNA(VLOOKUP(A37,'Données projet'!$A$217:$I$237,4,0)),0,VLOOKUP(A37,'Données projet'!$A$217:$I$237,4,0))</f>
        <v>31.615384615384613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8.1</v>
      </c>
      <c r="FZ37" s="12">
        <f>IF('Données projet'!$A$244&gt;35,FZ36+FY37-GH36,IF(A37&lt;'Données projet'!$A$244,$FW$205^A37,IF(A37='Données projet'!$A$244,'Données projet'!$B$244,FZ36+FY37-GH36)))</f>
        <v>143.39999999999989</v>
      </c>
      <c r="GA37" s="17">
        <f>FZ37*VLOOKUP('Données projet'!$B$17,Paramètres!$A$1:$I$89,3,0)*VLOOKUP('Données projet'!$B$17,Paramètres!$A$1:$I$89,5,0)</f>
        <v>149.8816799999999</v>
      </c>
      <c r="GB37" s="13">
        <f t="shared" si="49"/>
        <v>38.551695741507764</v>
      </c>
      <c r="GC37" s="20">
        <f t="shared" si="25"/>
        <v>328.18812941645916</v>
      </c>
      <c r="GD37" s="59">
        <f t="shared" si="26"/>
        <v>621.52146274979248</v>
      </c>
      <c r="GE37" s="59">
        <f ca="1">AVERAGE(OFFSET($GD$3,0,0,'Données projet'!$E$17+1,1))-AVERAGE(OFFSET($H$3,0,0,'Données projet'!$E$17+1,1))</f>
        <v>269.41185214595805</v>
      </c>
      <c r="GF37" s="59">
        <f t="shared" si="50"/>
        <v>299.70148160580993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5.8583736396625703</v>
      </c>
      <c r="GM37" s="21">
        <f>EXP(-LN(2)/25)*GM36+(1-EXP(-LN(2)/25))/(LN(2)/25)*Calculateur!GH37*Calculateur!GJ37*VLOOKUP('Données projet'!$B$17,Paramètres!$A$1:$I$89,3,0)*0.475*44/12</f>
        <v>14.52040350475667</v>
      </c>
      <c r="GN37" s="21">
        <f>EXP(-LN(2)/2)*GN36+(1-EXP(-LN(2)/2))/(LN(2)/2)*GH37*GK37*VLOOKUP('Données projet'!$B$17,Paramètres!$A$1:$I$89,3,0)*0.475*44/12</f>
        <v>4.7771671408343721</v>
      </c>
      <c r="GO37" s="21">
        <f t="shared" si="27"/>
        <v>25.155944285253611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10.199999999999999</v>
      </c>
      <c r="GU37" s="12">
        <f>IF('Données projet'!$A$270&gt;35,GU36+GT37-HC36,IF(A37&lt;'Données projet'!$A$270,$GR$205^A37,IF(A37='Données projet'!$A$270,'Données projet'!$B$270,GU36+GT37-HC36)))</f>
        <v>158.79999999999993</v>
      </c>
      <c r="GV37" s="17">
        <f>GU37*VLOOKUP('Données projet'!$B$18,Paramètres!$A$1:$I$89,3,0)*VLOOKUP('Données projet'!$B$18,Paramètres!$A$1:$I$89,5,0)</f>
        <v>138.72767999999996</v>
      </c>
      <c r="GW37" s="13">
        <f t="shared" si="51"/>
        <v>36.005380160492741</v>
      </c>
      <c r="GX37" s="20">
        <f t="shared" si="28"/>
        <v>304.32674644619146</v>
      </c>
      <c r="GY37" s="59">
        <f t="shared" si="29"/>
        <v>597.66007977952472</v>
      </c>
      <c r="GZ37" s="59">
        <f ca="1">AVERAGE(OFFSET($GY$3,0,0,'Données projet'!$E$18+1,1))-AVERAGE(OFFSET($H$3,0,0,'Données projet'!$E$18+1,1))</f>
        <v>226.35975611953359</v>
      </c>
      <c r="HA37" s="59">
        <f t="shared" si="52"/>
        <v>271.65876694892461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10.105827797208146</v>
      </c>
      <c r="HI37" s="21">
        <f>EXP(-LN(2)/2)*HI36+(1-EXP(-LN(2)/2))/(LN(2)/2)*HC37*HF37*VLOOKUP('Données projet'!$B$18,Paramètres!$A$1:$I$89,3,0)*0.475*44/12</f>
        <v>2.9541532844133904</v>
      </c>
      <c r="HJ37" s="22">
        <f t="shared" si="30"/>
        <v>13.059981081621537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9.8108974358974379</v>
      </c>
      <c r="N38" s="13">
        <f>IF('Données projet'!$A$36&gt;35,N37+M38-V37,IF(A38&lt;'Données projet'!$A$36,$K$205^A38,IF(A38='Données projet'!$A$36,'Données projet'!$B$36,N37+M38-V37)))</f>
        <v>119.98397435897436</v>
      </c>
      <c r="O38" s="13">
        <f>N38*VLOOKUP('Données projet'!$B$9,Paramètres!$A$1:$I$89,3,0)*VLOOKUP('Données projet'!$B$9,Paramètres!$A$1:$I$89,5,0)</f>
        <v>108.56150000000001</v>
      </c>
      <c r="P38" s="13">
        <f t="shared" si="33"/>
        <v>28.9918035361205</v>
      </c>
      <c r="Q38" s="20">
        <f t="shared" si="53"/>
        <v>239.57200365874317</v>
      </c>
      <c r="R38" s="59">
        <f t="shared" si="0"/>
        <v>532.90533699207651</v>
      </c>
      <c r="S38" s="59">
        <f ca="1">AVERAGE(OFFSET($R$3,0,0,'Données projet'!$E$9+1,1))-AVERAGE(OFFSET($H$3,0,0,'Données projet'!$E$9+1,1))</f>
        <v>309.07357540707869</v>
      </c>
      <c r="T38" s="59">
        <f t="shared" si="34"/>
        <v>155.9593924683299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151.49999999999989</v>
      </c>
      <c r="AJ38" s="13">
        <f>AI38*VLOOKUP('Données projet'!$B$10,Paramètres!$A$1:$I$89,3,0)*VLOOKUP('Données projet'!$B$10,Paramètres!$A$1:$I$89,5,0)</f>
        <v>132.35039999999992</v>
      </c>
      <c r="AK38" s="13">
        <f t="shared" si="35"/>
        <v>34.538900082505833</v>
      </c>
      <c r="AL38" s="20">
        <f t="shared" si="4"/>
        <v>290.66553097703087</v>
      </c>
      <c r="AM38" s="59">
        <f t="shared" si="5"/>
        <v>583.99886431036418</v>
      </c>
      <c r="AN38" s="59">
        <f ca="1">AVERAGE(OFFSET($AM$3,0,0,'Données projet'!$E$10+1,1))-AVERAGE(OFFSET($H$3,0,0,'Données projet'!$E$10+1,1))</f>
        <v>210.07838338464626</v>
      </c>
      <c r="AO38" s="59">
        <f t="shared" si="36"/>
        <v>241.76003724236273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4.8005327213023472</v>
      </c>
      <c r="AV38" s="21">
        <f>EXP(-LN(2)/25)*AV37+(1-EXP(-LN(2)/25))/(LN(2)/25)*Calculateur!AQ38*Calculateur!AS38*VLOOKUP('Données projet'!$B$10,Paramètres!$A$1:$I$89,3,0)*0.475*44/12</f>
        <v>11.804584615076998</v>
      </c>
      <c r="AW38" s="21">
        <f>EXP(-LN(2)/2)*AW37+(1-EXP(-LN(2)/2))/(LN(2)/2)*AQ38*AT38*VLOOKUP('Données projet'!$B$10,Paramètres!$A$1:$I$89,3,0)*0.475*44/12</f>
        <v>2.8233756371365666</v>
      </c>
      <c r="AX38" s="21">
        <f t="shared" si="6"/>
        <v>19.428492973515912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210.5</v>
      </c>
      <c r="BE38" s="13">
        <f>BD38*VLOOKUP('Données projet'!$B$11,Paramètres!$A$1:$I$89,3,0)*VLOOKUP('Données projet'!$B$11,Paramètres!$A$1:$I$89,5,0)</f>
        <v>114.93299999999999</v>
      </c>
      <c r="BF38" s="13">
        <f t="shared" si="37"/>
        <v>30.490253816842159</v>
      </c>
      <c r="BG38" s="20">
        <f t="shared" si="7"/>
        <v>253.27883373100008</v>
      </c>
      <c r="BH38" s="59">
        <f t="shared" si="8"/>
        <v>546.61216706433333</v>
      </c>
      <c r="BI38" s="59">
        <f ca="1">AVERAGE(OFFSET($BH$3,0,0,'Données projet'!$E$11+1,1))-AVERAGE(OFFSET($H$3,0,0,'Données projet'!$E$11+1,1))</f>
        <v>168.72306536277267</v>
      </c>
      <c r="BJ38" s="59">
        <f t="shared" si="38"/>
        <v>203.35476578922339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2.7552816791924464</v>
      </c>
      <c r="BQ38" s="21">
        <f>EXP(-LN(2)/25)*BQ37+(1-EXP(-LN(2)/25))/(LN(2)/25)*Calculateur!BL38*Calculateur!BN38*VLOOKUP('Données projet'!$B$11,Paramètres!$A$1:$I$89,3,0)*0.475*44/12</f>
        <v>20.009623454581611</v>
      </c>
      <c r="BR38" s="21">
        <f>EXP(-LN(2)/2)*BR37+(1-EXP(-LN(2)/2))/(LN(2)/2)*BL38*BO38*VLOOKUP('Données projet'!$B$11,Paramètres!$A$1:$I$89,3,0)*0.475*44/12</f>
        <v>3.5397494329796606</v>
      </c>
      <c r="BS38" s="22">
        <f t="shared" si="9"/>
        <v>26.304654566753719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16.131410256410259</v>
      </c>
      <c r="BY38" s="12">
        <f>IF('Données projet'!$A$114&gt;35,BY37+BX38-CG37,IF(A38&lt;'Données projet'!$A$114,$BV$205^A38,IF(A38='Données projet'!$A$114,'Données projet'!$B$114,BY37+BX38-CG37)))</f>
        <v>297.44935897435897</v>
      </c>
      <c r="BZ38" s="13">
        <f>BY38*VLOOKUP('Données projet'!$B$12,Paramètres!$A$1:$I$89,3,0)*VLOOKUP('Données projet'!$B$12,Paramètres!$A$1:$I$89,5,0)</f>
        <v>139.2063</v>
      </c>
      <c r="CA38" s="13">
        <f t="shared" si="39"/>
        <v>36.115119849784641</v>
      </c>
      <c r="CB38" s="20">
        <f t="shared" si="10"/>
        <v>305.35147290504159</v>
      </c>
      <c r="CC38" s="59">
        <f t="shared" si="11"/>
        <v>598.6848062383749</v>
      </c>
      <c r="CD38" s="59">
        <f ca="1">AVERAGE(OFFSET($CC$3,0,0,'Données projet'!$E$12+1,1))-AVERAGE(OFFSET($H$3,0,0,'Données projet'!$E$12+1,1))</f>
        <v>158.58786357608489</v>
      </c>
      <c r="CE38" s="59">
        <f t="shared" si="40"/>
        <v>163.20074068819849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10.199999999999999</v>
      </c>
      <c r="CT38" s="12">
        <f>IF('Données projet'!$A$140&gt;35,CT37+CS38-DB37,IF(A38&lt;'Données projet'!$A$140,$CQ$205^A38,IF(A38='Données projet'!$A$140,'Données projet'!$B$140,CT37+CS38-DB37)))</f>
        <v>168.99999999999991</v>
      </c>
      <c r="CU38" s="17">
        <f>CT38*VLOOKUP('Données projet'!$B$13,Paramètres!$A$1:$I$89,3,0)*VLOOKUP('Données projet'!$B$13,Paramètres!$A$1:$I$89,5,0)</f>
        <v>123.91079999999992</v>
      </c>
      <c r="CV38" s="13">
        <f t="shared" si="41"/>
        <v>32.585419727488834</v>
      </c>
      <c r="CW38" s="20">
        <f t="shared" si="13"/>
        <v>272.56424935870956</v>
      </c>
      <c r="CX38" s="59">
        <f t="shared" si="14"/>
        <v>565.89758269204287</v>
      </c>
      <c r="CY38" s="59">
        <f ca="1">AVERAGE(OFFSET($CX$3,0,0,'Données projet'!$E$13+1,1))-AVERAGE(OFFSET($H$3,0,0,'Données projet'!$E$13+1,1))</f>
        <v>178.12968684094687</v>
      </c>
      <c r="CZ38" s="59">
        <f t="shared" si="42"/>
        <v>219.36004077210373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6.6931893398921387</v>
      </c>
      <c r="DH38" s="21">
        <f>EXP(-LN(2)/2)*DH37+(1-EXP(-LN(2)/2))/(LN(2)/2)*DB38*DE38*VLOOKUP('Données projet'!$B$13,Paramètres!$A$1:$I$89,3,0)*0.475*44/12</f>
        <v>1.7531854561328812</v>
      </c>
      <c r="DI38" s="22">
        <f t="shared" si="15"/>
        <v>8.4463747960250206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228</v>
      </c>
      <c r="DM38" s="12">
        <f>VLOOKUP(A38,'Données projet'!$A$165:$I$185,9,0)</f>
        <v>5.2</v>
      </c>
      <c r="DN38" s="12">
        <f t="array" ref="DN38">INDEX(DM:DM,MIN(IF(ISNUMBER(DM38:DM234),ROW(DM38:DM234),"")))</f>
        <v>5.2</v>
      </c>
      <c r="DO38" s="12">
        <f>IF('Données projet'!$A$166&gt;35,DO37+DN38-DW37,IF(A38&lt;'Données projet'!$A$166,$DL$205^A38,IF(A38='Données projet'!$A$166,'Données projet'!$B$166,DO37+DN38-DW37)))</f>
        <v>227.99999999999991</v>
      </c>
      <c r="DP38" s="17">
        <f>DO38*VLOOKUP('Données projet'!$B$14,Paramètres!$A$1:$I$89,3,0)*VLOOKUP('Données projet'!$B$14,Paramètres!$A$1:$I$89,5,0)</f>
        <v>206.29439999999994</v>
      </c>
      <c r="DQ38" s="13">
        <f t="shared" si="43"/>
        <v>51.124981739560724</v>
      </c>
      <c r="DR38" s="20">
        <f t="shared" si="16"/>
        <v>448.33875652973478</v>
      </c>
      <c r="DS38" s="59">
        <f t="shared" si="17"/>
        <v>741.67208986306809</v>
      </c>
      <c r="DT38" s="59">
        <f ca="1">AVERAGE(OFFSET($DS$3,0,0,'Données projet'!$E$14+1,1))-AVERAGE(OFFSET($H$3,0,0,'Données projet'!$E$14+1,1))</f>
        <v>225.28075317732998</v>
      </c>
      <c r="DU38" s="59">
        <f t="shared" si="44"/>
        <v>358.43407531256207</v>
      </c>
      <c r="DV38" s="15">
        <f>IF(ISNA(VLOOKUP(A38,'Données projet'!$A$165:$I$185,3,0)),0,VLOOKUP(A38,'Données projet'!$A$165:$I$185,3,0))</f>
        <v>7</v>
      </c>
      <c r="DW38" s="15">
        <f>IF(ISNA(VLOOKUP(A38,'Données projet'!$A$165:$I$185,4,0)),0,VLOOKUP(A38,'Données projet'!$A$165:$I$185,4,0))</f>
        <v>228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2.0320128552492291</v>
      </c>
      <c r="EB38" s="21">
        <f>EXP(-LN(2)/25)*EB37+(1-EXP(-LN(2)/25))/(LN(2)/25)*Calculateur!DW38*Calculateur!DY38*VLOOKUP('Données projet'!$B$14,Paramètres!$A$1:$I$89,3,0)*0.475*44/12</f>
        <v>7.2012436024447632</v>
      </c>
      <c r="EC38" s="21">
        <f>EXP(-LN(2)/2)*EC37+(1-EXP(-LN(2)/2))/(LN(2)/2)*DW38*DZ38*VLOOKUP('Données projet'!$B$14,Paramètres!$A$1:$I$89,3,0)*0.475*44/12</f>
        <v>0.78029606567388865</v>
      </c>
      <c r="ED38" s="22">
        <f t="shared" si="18"/>
        <v>10.013552523367881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9.8108974358974379</v>
      </c>
      <c r="EJ38" s="12">
        <f>IF('Données projet'!$A$192&gt;35,EJ37+EI38-ER37,IF(A38&lt;'Données projet'!$A$192,$EG$205^A38,IF(A38='Données projet'!$A$192,'Données projet'!$B$192,EJ37+EI38-ER37)))</f>
        <v>119.98397435897436</v>
      </c>
      <c r="EK38" s="17">
        <f>EJ38*VLOOKUP('Données projet'!$B$15,Paramètres!$A$1:$I$89,3,0)*VLOOKUP('Données projet'!$B$15,Paramètres!$A$1:$I$89,5,0)</f>
        <v>121.66375000000002</v>
      </c>
      <c r="EL38" s="13">
        <f t="shared" si="45"/>
        <v>32.062730144863565</v>
      </c>
      <c r="EM38" s="20">
        <f t="shared" si="19"/>
        <v>267.74028625230409</v>
      </c>
      <c r="EN38" s="59">
        <f t="shared" si="20"/>
        <v>561.0736195856374</v>
      </c>
      <c r="EO38" s="59">
        <f ca="1">AVERAGE(OFFSET($EN$3,0,0,'Données projet'!$E$15+1,1))-AVERAGE(OFFSET($H$3,0,0,'Données projet'!$E$15+1,1))</f>
        <v>363.98308691765931</v>
      </c>
      <c r="EP38" s="59">
        <f t="shared" si="46"/>
        <v>181.47089407988187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9.8108974358974379</v>
      </c>
      <c r="FE38" s="12">
        <f>IF('Données projet'!$A$218&gt;35,FE37+FD38-FM37,IF(A38&lt;'Données projet'!$A$218,$FB$205^A38,IF(A38='Données projet'!$A$218,'Données projet'!$B$218,FE37+FD38-FM37)))</f>
        <v>119.98397435897436</v>
      </c>
      <c r="FF38" s="17">
        <f>FE38*VLOOKUP('Données projet'!$B$16,Paramètres!$A$1:$I$89,3,0)*VLOOKUP('Données projet'!$B$16,Paramètres!$A$1:$I$89,5,0)</f>
        <v>129.15075000000002</v>
      </c>
      <c r="FG38" s="13">
        <f t="shared" si="47"/>
        <v>33.8000478001982</v>
      </c>
      <c r="FH38" s="20">
        <f t="shared" si="22"/>
        <v>283.80597283534524</v>
      </c>
      <c r="FI38" s="59">
        <f t="shared" si="23"/>
        <v>577.13930616867856</v>
      </c>
      <c r="FJ38" s="59">
        <f ca="1">AVERAGE(OFFSET($FI$3,0,0,'Données projet'!$E$16+1,1))-AVERAGE(OFFSET($H$3,0,0,'Données projet'!$E$16+1,1))</f>
        <v>395.30533160963489</v>
      </c>
      <c r="FK38" s="59">
        <f t="shared" si="48"/>
        <v>196.02102977695085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8.1</v>
      </c>
      <c r="FZ38" s="12">
        <f>IF('Données projet'!$A$244&gt;35,FZ37+FY38-GH37,IF(A38&lt;'Données projet'!$A$244,$FW$205^A38,IF(A38='Données projet'!$A$244,'Données projet'!$B$244,FZ37+FY38-GH37)))</f>
        <v>151.49999999999989</v>
      </c>
      <c r="GA38" s="17">
        <f>FZ38*VLOOKUP('Données projet'!$B$17,Paramètres!$A$1:$I$89,3,0)*VLOOKUP('Données projet'!$B$17,Paramètres!$A$1:$I$89,5,0)</f>
        <v>158.34779999999989</v>
      </c>
      <c r="GB38" s="13">
        <f t="shared" si="49"/>
        <v>40.469632256403315</v>
      </c>
      <c r="GC38" s="20">
        <f t="shared" si="25"/>
        <v>346.27369451323557</v>
      </c>
      <c r="GD38" s="59">
        <f t="shared" si="26"/>
        <v>639.60702784656883</v>
      </c>
      <c r="GE38" s="59">
        <f ca="1">AVERAGE(OFFSET($GD$3,0,0,'Données projet'!$E$17+1,1))-AVERAGE(OFFSET($H$3,0,0,'Données projet'!$E$17+1,1))</f>
        <v>269.41185214595805</v>
      </c>
      <c r="GF38" s="59">
        <f t="shared" si="50"/>
        <v>299.70148160580993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5.743494505843878</v>
      </c>
      <c r="GM38" s="21">
        <f>EXP(-LN(2)/25)*GM37+(1-EXP(-LN(2)/25))/(LN(2)/25)*Calculateur!GH38*Calculateur!GJ38*VLOOKUP('Données projet'!$B$17,Paramètres!$A$1:$I$89,3,0)*0.475*44/12</f>
        <v>14.123342307324265</v>
      </c>
      <c r="GN38" s="21">
        <f>EXP(-LN(2)/2)*GN37+(1-EXP(-LN(2)/2))/(LN(2)/2)*GH38*GK38*VLOOKUP('Données projet'!$B$17,Paramètres!$A$1:$I$89,3,0)*0.475*44/12</f>
        <v>3.3779672801455356</v>
      </c>
      <c r="GO38" s="21">
        <f t="shared" si="27"/>
        <v>23.244804093313679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10.199999999999999</v>
      </c>
      <c r="GU38" s="12">
        <f>IF('Données projet'!$A$270&gt;35,GU37+GT38-HC37,IF(A38&lt;'Données projet'!$A$270,$GR$205^A38,IF(A38='Données projet'!$A$270,'Données projet'!$B$270,GU37+GT38-HC37)))</f>
        <v>168.99999999999991</v>
      </c>
      <c r="GV38" s="17">
        <f>GU38*VLOOKUP('Données projet'!$B$18,Paramètres!$A$1:$I$89,3,0)*VLOOKUP('Données projet'!$B$18,Paramètres!$A$1:$I$89,5,0)</f>
        <v>147.63839999999993</v>
      </c>
      <c r="GW38" s="13">
        <f t="shared" si="51"/>
        <v>38.041408878951295</v>
      </c>
      <c r="GX38" s="20">
        <f t="shared" si="28"/>
        <v>323.39233379750675</v>
      </c>
      <c r="GY38" s="59">
        <f t="shared" si="29"/>
        <v>616.72566713084007</v>
      </c>
      <c r="GZ38" s="59">
        <f ca="1">AVERAGE(OFFSET($GY$3,0,0,'Données projet'!$E$18+1,1))-AVERAGE(OFFSET($H$3,0,0,'Données projet'!$E$18+1,1))</f>
        <v>226.35975611953359</v>
      </c>
      <c r="HA38" s="59">
        <f t="shared" si="52"/>
        <v>271.65876694892461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9.8294834046511035</v>
      </c>
      <c r="HI38" s="21">
        <f>EXP(-LN(2)/2)*HI37+(1-EXP(-LN(2)/2))/(LN(2)/2)*HC38*HF38*VLOOKUP('Données projet'!$B$18,Paramètres!$A$1:$I$89,3,0)*0.475*44/12</f>
        <v>2.0889018200732199</v>
      </c>
      <c r="HJ38" s="22">
        <f t="shared" si="30"/>
        <v>11.918385224724323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9.8108974358974379</v>
      </c>
      <c r="N39" s="13">
        <f>IF('Données projet'!$A$36&gt;35,N38+M39-V38,IF(A39&lt;'Données projet'!$A$36,$K$205^A39,IF(A39='Données projet'!$A$36,'Données projet'!$B$36,N38+M39-V38)))</f>
        <v>129.7948717948718</v>
      </c>
      <c r="O39" s="13">
        <f>N39*VLOOKUP('Données projet'!$B$9,Paramètres!$A$1:$I$89,3,0)*VLOOKUP('Données projet'!$B$9,Paramètres!$A$1:$I$89,5,0)</f>
        <v>117.4384</v>
      </c>
      <c r="P39" s="13">
        <f t="shared" si="33"/>
        <v>31.076799937563745</v>
      </c>
      <c r="Q39" s="20">
        <f t="shared" si="53"/>
        <v>258.66397322459017</v>
      </c>
      <c r="R39" s="59">
        <f t="shared" si="0"/>
        <v>551.99730655792348</v>
      </c>
      <c r="S39" s="59">
        <f ca="1">AVERAGE(OFFSET($R$3,0,0,'Données projet'!$E$9+1,1))-AVERAGE(OFFSET($H$3,0,0,'Données projet'!$E$9+1,1))</f>
        <v>309.07357540707869</v>
      </c>
      <c r="T39" s="59">
        <f t="shared" si="34"/>
        <v>155.9593924683299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159.59999999999988</v>
      </c>
      <c r="AJ39" s="13">
        <f>AI39*VLOOKUP('Données projet'!$B$10,Paramètres!$A$1:$I$89,3,0)*VLOOKUP('Données projet'!$B$10,Paramètres!$A$1:$I$89,5,0)</f>
        <v>139.42655999999991</v>
      </c>
      <c r="AK39" s="13">
        <f t="shared" si="35"/>
        <v>36.165607079455789</v>
      </c>
      <c r="AL39" s="20">
        <f t="shared" si="4"/>
        <v>305.82302433005196</v>
      </c>
      <c r="AM39" s="59">
        <f t="shared" si="5"/>
        <v>599.15635766338528</v>
      </c>
      <c r="AN39" s="59">
        <f ca="1">AVERAGE(OFFSET($AM$3,0,0,'Données projet'!$E$10+1,1))-AVERAGE(OFFSET($H$3,0,0,'Données projet'!$E$10+1,1))</f>
        <v>210.07838338464626</v>
      </c>
      <c r="AO39" s="59">
        <f t="shared" si="36"/>
        <v>241.76003724236273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4.7063972026734486</v>
      </c>
      <c r="AV39" s="21">
        <f>EXP(-LN(2)/25)*AV38+(1-EXP(-LN(2)/25))/(LN(2)/25)*Calculateur!AQ39*Calculateur!AS39*VLOOKUP('Données projet'!$B$10,Paramètres!$A$1:$I$89,3,0)*0.475*44/12</f>
        <v>11.481787628001593</v>
      </c>
      <c r="AW39" s="21">
        <f>EXP(-LN(2)/2)*AW38+(1-EXP(-LN(2)/2))/(LN(2)/2)*AQ39*AT39*VLOOKUP('Données projet'!$B$10,Paramètres!$A$1:$I$89,3,0)*0.475*44/12</f>
        <v>1.9964280588561556</v>
      </c>
      <c r="AX39" s="21">
        <f t="shared" si="6"/>
        <v>18.184612889531198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222.6</v>
      </c>
      <c r="BE39" s="13">
        <f>BD39*VLOOKUP('Données projet'!$B$11,Paramètres!$A$1:$I$89,3,0)*VLOOKUP('Données projet'!$B$11,Paramètres!$A$1:$I$89,5,0)</f>
        <v>121.53959999999999</v>
      </c>
      <c r="BF39" s="13">
        <f t="shared" si="37"/>
        <v>32.03381885060562</v>
      </c>
      <c r="BG39" s="20">
        <f t="shared" si="7"/>
        <v>267.47370449813809</v>
      </c>
      <c r="BH39" s="59">
        <f t="shared" si="8"/>
        <v>560.80703783147146</v>
      </c>
      <c r="BI39" s="59">
        <f ca="1">AVERAGE(OFFSET($BH$3,0,0,'Données projet'!$E$11+1,1))-AVERAGE(OFFSET($H$3,0,0,'Données projet'!$E$11+1,1))</f>
        <v>168.72306536277267</v>
      </c>
      <c r="BJ39" s="59">
        <f t="shared" si="38"/>
        <v>203.35476578922339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2.7012522860193657</v>
      </c>
      <c r="BQ39" s="21">
        <f>EXP(-LN(2)/25)*BQ38+(1-EXP(-LN(2)/25))/(LN(2)/25)*Calculateur!BL39*Calculateur!BN39*VLOOKUP('Données projet'!$B$11,Paramètres!$A$1:$I$89,3,0)*0.475*44/12</f>
        <v>19.46245924895571</v>
      </c>
      <c r="BR39" s="21">
        <f>EXP(-LN(2)/2)*BR38+(1-EXP(-LN(2)/2))/(LN(2)/2)*BL39*BO39*VLOOKUP('Données projet'!$B$11,Paramètres!$A$1:$I$89,3,0)*0.475*44/12</f>
        <v>2.5029808277611547</v>
      </c>
      <c r="BS39" s="22">
        <f t="shared" si="9"/>
        <v>24.666692362736228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16.131410256410259</v>
      </c>
      <c r="BY39" s="12">
        <f>IF('Données projet'!$A$114&gt;35,BY38+BX39-CG38,IF(A39&lt;'Données projet'!$A$114,$BV$205^A39,IF(A39='Données projet'!$A$114,'Données projet'!$B$114,BY38+BX39-CG38)))</f>
        <v>313.58076923076925</v>
      </c>
      <c r="BZ39" s="13">
        <f>BY39*VLOOKUP('Données projet'!$B$12,Paramètres!$A$1:$I$89,3,0)*VLOOKUP('Données projet'!$B$12,Paramètres!$A$1:$I$89,5,0)</f>
        <v>146.75580000000002</v>
      </c>
      <c r="CA39" s="13">
        <f t="shared" si="39"/>
        <v>37.840393952855997</v>
      </c>
      <c r="CB39" s="20">
        <f t="shared" si="10"/>
        <v>321.5050378012242</v>
      </c>
      <c r="CC39" s="59">
        <f t="shared" si="11"/>
        <v>614.83837113455752</v>
      </c>
      <c r="CD39" s="59">
        <f ca="1">AVERAGE(OFFSET($CC$3,0,0,'Données projet'!$E$12+1,1))-AVERAGE(OFFSET($H$3,0,0,'Données projet'!$E$12+1,1))</f>
        <v>158.58786357608489</v>
      </c>
      <c r="CE39" s="59">
        <f t="shared" si="40"/>
        <v>163.20074068819849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10.199999999999999</v>
      </c>
      <c r="CT39" s="12">
        <f>IF('Données projet'!$A$140&gt;35,CT38+CS39-DB38,IF(A39&lt;'Données projet'!$A$140,$CQ$205^A39,IF(A39='Données projet'!$A$140,'Données projet'!$B$140,CT38+CS39-DB38)))</f>
        <v>179.1999999999999</v>
      </c>
      <c r="CU39" s="17">
        <f>CT39*VLOOKUP('Données projet'!$B$13,Paramètres!$A$1:$I$89,3,0)*VLOOKUP('Données projet'!$B$13,Paramètres!$A$1:$I$89,5,0)</f>
        <v>131.38943999999992</v>
      </c>
      <c r="CV39" s="13">
        <f t="shared" si="41"/>
        <v>34.317219199328726</v>
      </c>
      <c r="CW39" s="20">
        <f t="shared" si="13"/>
        <v>288.60576477216404</v>
      </c>
      <c r="CX39" s="59">
        <f t="shared" si="14"/>
        <v>581.93909810549735</v>
      </c>
      <c r="CY39" s="59">
        <f ca="1">AVERAGE(OFFSET($CX$3,0,0,'Données projet'!$E$13+1,1))-AVERAGE(OFFSET($H$3,0,0,'Données projet'!$E$13+1,1))</f>
        <v>178.12968684094687</v>
      </c>
      <c r="CZ39" s="59">
        <f t="shared" si="42"/>
        <v>219.36004077210373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6.5101637254132587</v>
      </c>
      <c r="DH39" s="21">
        <f>EXP(-LN(2)/2)*DH38+(1-EXP(-LN(2)/2))/(LN(2)/2)*DB39*DE39*VLOOKUP('Données projet'!$B$13,Paramètres!$A$1:$I$89,3,0)*0.475*44/12</f>
        <v>1.2396893247091909</v>
      </c>
      <c r="DI39" s="22">
        <f t="shared" si="15"/>
        <v>7.7498530501224501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-8.5265128291212022E-14</v>
      </c>
      <c r="DP39" s="17">
        <f>DO39*VLOOKUP('Données projet'!$B$14,Paramètres!$A$1:$I$89,3,0)*VLOOKUP('Données projet'!$B$14,Paramètres!$A$1:$I$89,5,0)</f>
        <v>-7.7147888077888636E-14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225.28075317732998</v>
      </c>
      <c r="DU39" s="59">
        <f t="shared" si="44"/>
        <v>358.43407531256207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1.9921663225632524</v>
      </c>
      <c r="EB39" s="21">
        <f>EXP(-LN(2)/25)*EB38+(1-EXP(-LN(2)/25))/(LN(2)/25)*Calculateur!DW39*Calculateur!DY39*VLOOKUP('Données projet'!$B$14,Paramètres!$A$1:$I$89,3,0)*0.475*44/12</f>
        <v>7.0043252174389687</v>
      </c>
      <c r="EC39" s="21">
        <f>EXP(-LN(2)/2)*EC38+(1-EXP(-LN(2)/2))/(LN(2)/2)*DW39*DZ39*VLOOKUP('Données projet'!$B$14,Paramètres!$A$1:$I$89,3,0)*0.475*44/12</f>
        <v>0.55175263937119035</v>
      </c>
      <c r="ED39" s="22">
        <f t="shared" si="18"/>
        <v>9.5482441793734125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9.8108974358974379</v>
      </c>
      <c r="EJ39" s="12">
        <f>IF('Données projet'!$A$192&gt;35,EJ38+EI39-ER38,IF(A39&lt;'Données projet'!$A$192,$EG$205^A39,IF(A39='Données projet'!$A$192,'Données projet'!$B$192,EJ38+EI39-ER38)))</f>
        <v>129.7948717948718</v>
      </c>
      <c r="EK39" s="17">
        <f>EJ39*VLOOKUP('Données projet'!$B$15,Paramètres!$A$1:$I$89,3,0)*VLOOKUP('Données projet'!$B$15,Paramètres!$A$1:$I$89,5,0)</f>
        <v>131.61200000000002</v>
      </c>
      <c r="EL39" s="13">
        <f t="shared" si="45"/>
        <v>34.368577619623039</v>
      </c>
      <c r="EM39" s="20">
        <f t="shared" si="19"/>
        <v>289.08283935417683</v>
      </c>
      <c r="EN39" s="59">
        <f t="shared" si="20"/>
        <v>582.4161726875102</v>
      </c>
      <c r="EO39" s="59">
        <f ca="1">AVERAGE(OFFSET($EN$3,0,0,'Données projet'!$E$15+1,1))-AVERAGE(OFFSET($H$3,0,0,'Données projet'!$E$15+1,1))</f>
        <v>363.98308691765931</v>
      </c>
      <c r="EP39" s="59">
        <f t="shared" si="46"/>
        <v>181.47089407988187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9.8108974358974379</v>
      </c>
      <c r="FE39" s="12">
        <f>IF('Données projet'!$A$218&gt;35,FE38+FD39-FM38,IF(A39&lt;'Données projet'!$A$218,$FB$205^A39,IF(A39='Données projet'!$A$218,'Données projet'!$B$218,FE38+FD39-FM38)))</f>
        <v>129.7948717948718</v>
      </c>
      <c r="FF39" s="17">
        <f>FE39*VLOOKUP('Données projet'!$B$16,Paramètres!$A$1:$I$89,3,0)*VLOOKUP('Données projet'!$B$16,Paramètres!$A$1:$I$89,5,0)</f>
        <v>139.71119999999999</v>
      </c>
      <c r="FG39" s="13">
        <f t="shared" si="47"/>
        <v>36.230837521307528</v>
      </c>
      <c r="FH39" s="20">
        <f t="shared" si="22"/>
        <v>306.43238201627724</v>
      </c>
      <c r="FI39" s="59">
        <f t="shared" si="23"/>
        <v>599.76571534961056</v>
      </c>
      <c r="FJ39" s="59">
        <f ca="1">AVERAGE(OFFSET($FI$3,0,0,'Données projet'!$E$16+1,1))-AVERAGE(OFFSET($H$3,0,0,'Données projet'!$E$16+1,1))</f>
        <v>395.30533160963489</v>
      </c>
      <c r="FK39" s="59">
        <f t="shared" si="48"/>
        <v>196.02102977695085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8.1</v>
      </c>
      <c r="FZ39" s="12">
        <f>IF('Données projet'!$A$244&gt;35,FZ38+FY39-GH38,IF(A39&lt;'Données projet'!$A$244,$FW$205^A39,IF(A39='Données projet'!$A$244,'Données projet'!$B$244,FZ38+FY39-GH38)))</f>
        <v>159.59999999999988</v>
      </c>
      <c r="GA39" s="17">
        <f>FZ39*VLOOKUP('Données projet'!$B$17,Paramètres!$A$1:$I$89,3,0)*VLOOKUP('Données projet'!$B$17,Paramètres!$A$1:$I$89,5,0)</f>
        <v>166.81391999999991</v>
      </c>
      <c r="GB39" s="13">
        <f t="shared" si="49"/>
        <v>42.375663826552454</v>
      </c>
      <c r="GC39" s="20">
        <f t="shared" si="25"/>
        <v>364.33852516457864</v>
      </c>
      <c r="GD39" s="59">
        <f t="shared" si="26"/>
        <v>657.6718584979119</v>
      </c>
      <c r="GE39" s="59">
        <f ca="1">AVERAGE(OFFSET($GD$3,0,0,'Données projet'!$E$17+1,1))-AVERAGE(OFFSET($H$3,0,0,'Données projet'!$E$17+1,1))</f>
        <v>269.41185214595805</v>
      </c>
      <c r="GF39" s="59">
        <f t="shared" si="50"/>
        <v>299.70148160580993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5.630868081770017</v>
      </c>
      <c r="GM39" s="21">
        <f>EXP(-LN(2)/25)*GM38+(1-EXP(-LN(2)/25))/(LN(2)/25)*Calculateur!GH39*Calculateur!GJ39*VLOOKUP('Données projet'!$B$17,Paramètres!$A$1:$I$89,3,0)*0.475*44/12</f>
        <v>13.737138769216189</v>
      </c>
      <c r="GN39" s="21">
        <f>EXP(-LN(2)/2)*GN38+(1-EXP(-LN(2)/2))/(LN(2)/2)*GH39*GK39*VLOOKUP('Données projet'!$B$17,Paramètres!$A$1:$I$89,3,0)*0.475*44/12</f>
        <v>2.3885835704171865</v>
      </c>
      <c r="GO39" s="21">
        <f t="shared" si="27"/>
        <v>21.756590421403391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10.199999999999999</v>
      </c>
      <c r="GU39" s="12">
        <f>IF('Données projet'!$A$270&gt;35,GU38+GT39-HC38,IF(A39&lt;'Données projet'!$A$270,$GR$205^A39,IF(A39='Données projet'!$A$270,'Données projet'!$B$270,GU38+GT39-HC38)))</f>
        <v>179.1999999999999</v>
      </c>
      <c r="GV39" s="17">
        <f>GU39*VLOOKUP('Données projet'!$B$18,Paramètres!$A$1:$I$89,3,0)*VLOOKUP('Données projet'!$B$18,Paramètres!$A$1:$I$89,5,0)</f>
        <v>156.54911999999993</v>
      </c>
      <c r="GW39" s="13">
        <f t="shared" si="51"/>
        <v>40.063174820761041</v>
      </c>
      <c r="GX39" s="20">
        <f t="shared" si="28"/>
        <v>342.43308014615872</v>
      </c>
      <c r="GY39" s="59">
        <f t="shared" si="29"/>
        <v>635.76641347949203</v>
      </c>
      <c r="GZ39" s="59">
        <f ca="1">AVERAGE(OFFSET($GY$3,0,0,'Données projet'!$E$18+1,1))-AVERAGE(OFFSET($H$3,0,0,'Données projet'!$E$18+1,1))</f>
        <v>226.35975611953359</v>
      </c>
      <c r="HA39" s="59">
        <f t="shared" si="52"/>
        <v>271.65876694892461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9.5606956640408516</v>
      </c>
      <c r="HI39" s="21">
        <f>EXP(-LN(2)/2)*HI38+(1-EXP(-LN(2)/2))/(LN(2)/2)*HC39*HF39*VLOOKUP('Données projet'!$B$18,Paramètres!$A$1:$I$89,3,0)*0.475*44/12</f>
        <v>1.4770766422066952</v>
      </c>
      <c r="HJ39" s="22">
        <f t="shared" si="30"/>
        <v>11.037772306247547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9.8108974358974379</v>
      </c>
      <c r="N40" s="13">
        <f>IF('Données projet'!$A$36&gt;35,N39+M40-V39,IF(A40&lt;'Données projet'!$A$36,$K$205^A40,IF(A40='Données projet'!$A$36,'Données projet'!$B$36,N39+M40-V39)))</f>
        <v>139.60576923076923</v>
      </c>
      <c r="O40" s="13">
        <f>N40*VLOOKUP('Données projet'!$B$9,Paramètres!$A$1:$I$89,3,0)*VLOOKUP('Données projet'!$B$9,Paramètres!$A$1:$I$89,5,0)</f>
        <v>126.31529999999998</v>
      </c>
      <c r="P40" s="13">
        <f t="shared" si="33"/>
        <v>33.143513784775976</v>
      </c>
      <c r="Q40" s="20">
        <f t="shared" si="53"/>
        <v>277.72410067515142</v>
      </c>
      <c r="R40" s="59">
        <f t="shared" si="0"/>
        <v>571.05743400848473</v>
      </c>
      <c r="S40" s="59">
        <f ca="1">AVERAGE(OFFSET($R$3,0,0,'Données projet'!$E$9+1,1))-AVERAGE(OFFSET($H$3,0,0,'Données projet'!$E$9+1,1))</f>
        <v>309.07357540707869</v>
      </c>
      <c r="T40" s="59">
        <f t="shared" si="34"/>
        <v>155.9593924683299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167.69999999999987</v>
      </c>
      <c r="AJ40" s="13">
        <f>AI40*VLOOKUP('Données projet'!$B$10,Paramètres!$A$1:$I$89,3,0)*VLOOKUP('Données projet'!$B$10,Paramètres!$A$1:$I$89,5,0)</f>
        <v>146.5027199999999</v>
      </c>
      <c r="AK40" s="13">
        <f t="shared" si="35"/>
        <v>37.782728258994219</v>
      </c>
      <c r="AL40" s="20">
        <f t="shared" si="4"/>
        <v>320.9638223844147</v>
      </c>
      <c r="AM40" s="59">
        <f t="shared" si="5"/>
        <v>614.29715571774796</v>
      </c>
      <c r="AN40" s="59">
        <f ca="1">AVERAGE(OFFSET($AM$3,0,0,'Données projet'!$E$10+1,1))-AVERAGE(OFFSET($H$3,0,0,'Données projet'!$E$10+1,1))</f>
        <v>210.07838338464626</v>
      </c>
      <c r="AO40" s="59">
        <f t="shared" si="36"/>
        <v>241.76003724236273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4.6141076241478656</v>
      </c>
      <c r="AV40" s="21">
        <f>EXP(-LN(2)/25)*AV39+(1-EXP(-LN(2)/25))/(LN(2)/25)*Calculateur!AQ40*Calculateur!AS40*VLOOKUP('Données projet'!$B$10,Paramètres!$A$1:$I$89,3,0)*0.475*44/12</f>
        <v>11.167817541512919</v>
      </c>
      <c r="AW40" s="21">
        <f>EXP(-LN(2)/2)*AW39+(1-EXP(-LN(2)/2))/(LN(2)/2)*AQ40*AT40*VLOOKUP('Données projet'!$B$10,Paramètres!$A$1:$I$89,3,0)*0.475*44/12</f>
        <v>1.4116878185682835</v>
      </c>
      <c r="AX40" s="21">
        <f t="shared" si="6"/>
        <v>17.193612984229066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234.7</v>
      </c>
      <c r="BE40" s="13">
        <f>BD40*VLOOKUP('Données projet'!$B$11,Paramètres!$A$1:$I$89,3,0)*VLOOKUP('Données projet'!$B$11,Paramètres!$A$1:$I$89,5,0)</f>
        <v>128.14619999999999</v>
      </c>
      <c r="BF40" s="13">
        <f t="shared" si="37"/>
        <v>33.567643171710863</v>
      </c>
      <c r="BG40" s="20">
        <f t="shared" si="7"/>
        <v>281.65161019072974</v>
      </c>
      <c r="BH40" s="59">
        <f t="shared" si="8"/>
        <v>574.98494352406306</v>
      </c>
      <c r="BI40" s="59">
        <f ca="1">AVERAGE(OFFSET($BH$3,0,0,'Données projet'!$E$11+1,1))-AVERAGE(OFFSET($H$3,0,0,'Données projet'!$E$11+1,1))</f>
        <v>168.72306536277267</v>
      </c>
      <c r="BJ40" s="59">
        <f t="shared" si="38"/>
        <v>203.35476578922339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2.6482823762917334</v>
      </c>
      <c r="BQ40" s="21">
        <f>EXP(-LN(2)/25)*BQ39+(1-EXP(-LN(2)/25))/(LN(2)/25)*Calculateur!BL40*Calculateur!BN40*VLOOKUP('Données projet'!$B$11,Paramètres!$A$1:$I$89,3,0)*0.475*44/12</f>
        <v>18.930257277306765</v>
      </c>
      <c r="BR40" s="21">
        <f>EXP(-LN(2)/2)*BR39+(1-EXP(-LN(2)/2))/(LN(2)/2)*BL40*BO40*VLOOKUP('Données projet'!$B$11,Paramètres!$A$1:$I$89,3,0)*0.475*44/12</f>
        <v>1.7698747164898305</v>
      </c>
      <c r="BS40" s="22">
        <f t="shared" si="9"/>
        <v>23.348414370088328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16.131410256410259</v>
      </c>
      <c r="BY40" s="12">
        <f>IF('Données projet'!$A$114&gt;35,BY39+BX40-CG39,IF(A40&lt;'Données projet'!$A$114,$BV$205^A40,IF(A40='Données projet'!$A$114,'Données projet'!$B$114,BY39+BX40-CG39)))</f>
        <v>329.71217948717953</v>
      </c>
      <c r="BZ40" s="13">
        <f>BY40*VLOOKUP('Données projet'!$B$12,Paramètres!$A$1:$I$89,3,0)*VLOOKUP('Données projet'!$B$12,Paramètres!$A$1:$I$89,5,0)</f>
        <v>154.30530000000002</v>
      </c>
      <c r="CA40" s="13">
        <f t="shared" si="39"/>
        <v>39.555363325024224</v>
      </c>
      <c r="CB40" s="20">
        <f t="shared" si="10"/>
        <v>337.64065529108387</v>
      </c>
      <c r="CC40" s="59">
        <f t="shared" si="11"/>
        <v>630.97398862441719</v>
      </c>
      <c r="CD40" s="59">
        <f ca="1">AVERAGE(OFFSET($CC$3,0,0,'Données projet'!$E$12+1,1))-AVERAGE(OFFSET($H$3,0,0,'Données projet'!$E$12+1,1))</f>
        <v>158.58786357608489</v>
      </c>
      <c r="CE40" s="59">
        <f t="shared" si="40"/>
        <v>163.20074068819849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10.199999999999999</v>
      </c>
      <c r="CT40" s="12">
        <f>IF('Données projet'!$A$140&gt;35,CT39+CS40-DB39,IF(A40&lt;'Données projet'!$A$140,$CQ$205^A40,IF(A40='Données projet'!$A$140,'Données projet'!$B$140,CT39+CS40-DB39)))</f>
        <v>189.39999999999989</v>
      </c>
      <c r="CU40" s="17">
        <f>CT40*VLOOKUP('Données projet'!$B$13,Paramètres!$A$1:$I$89,3,0)*VLOOKUP('Données projet'!$B$13,Paramètres!$A$1:$I$89,5,0)</f>
        <v>138.86807999999991</v>
      </c>
      <c r="CV40" s="13">
        <f t="shared" si="41"/>
        <v>36.037576130973861</v>
      </c>
      <c r="CW40" s="20">
        <f t="shared" si="13"/>
        <v>304.62735109477933</v>
      </c>
      <c r="CX40" s="59">
        <f t="shared" si="14"/>
        <v>597.9606844281127</v>
      </c>
      <c r="CY40" s="59">
        <f ca="1">AVERAGE(OFFSET($CX$3,0,0,'Données projet'!$E$13+1,1))-AVERAGE(OFFSET($H$3,0,0,'Données projet'!$E$13+1,1))</f>
        <v>178.12968684094687</v>
      </c>
      <c r="CZ40" s="59">
        <f t="shared" si="42"/>
        <v>219.36004077210373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6.3321429559872024</v>
      </c>
      <c r="DH40" s="21">
        <f>EXP(-LN(2)/2)*DH39+(1-EXP(-LN(2)/2))/(LN(2)/2)*DB40*DE40*VLOOKUP('Données projet'!$B$13,Paramètres!$A$1:$I$89,3,0)*0.475*44/12</f>
        <v>0.87659272806644073</v>
      </c>
      <c r="DI40" s="22">
        <f t="shared" si="15"/>
        <v>7.208735684053643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-8.5265128291212022E-14</v>
      </c>
      <c r="DP40" s="17">
        <f>DO40*VLOOKUP('Données projet'!$B$14,Paramètres!$A$1:$I$89,3,0)*VLOOKUP('Données projet'!$B$14,Paramètres!$A$1:$I$89,5,0)</f>
        <v>-7.7147888077888636E-14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225.28075317732998</v>
      </c>
      <c r="DU40" s="59">
        <f t="shared" si="44"/>
        <v>358.43407531256207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1.9531011560792626</v>
      </c>
      <c r="EB40" s="21">
        <f>EXP(-LN(2)/25)*EB39+(1-EXP(-LN(2)/25))/(LN(2)/25)*Calculateur!DW40*Calculateur!DY40*VLOOKUP('Données projet'!$B$14,Paramètres!$A$1:$I$89,3,0)*0.475*44/12</f>
        <v>6.8127915760266458</v>
      </c>
      <c r="EC40" s="21">
        <f>EXP(-LN(2)/2)*EC39+(1-EXP(-LN(2)/2))/(LN(2)/2)*DW40*DZ40*VLOOKUP('Données projet'!$B$14,Paramètres!$A$1:$I$89,3,0)*0.475*44/12</f>
        <v>0.39014803283694438</v>
      </c>
      <c r="ED40" s="22">
        <f t="shared" si="18"/>
        <v>9.1560407649428512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9.8108974358974379</v>
      </c>
      <c r="EJ40" s="12">
        <f>IF('Données projet'!$A$192&gt;35,EJ39+EI40-ER39,IF(A40&lt;'Données projet'!$A$192,$EG$205^A40,IF(A40='Données projet'!$A$192,'Données projet'!$B$192,EJ39+EI40-ER39)))</f>
        <v>139.60576923076923</v>
      </c>
      <c r="EK40" s="17">
        <f>EJ40*VLOOKUP('Données projet'!$B$15,Paramètres!$A$1:$I$89,3,0)*VLOOKUP('Données projet'!$B$15,Paramètres!$A$1:$I$89,5,0)</f>
        <v>141.56025000000002</v>
      </c>
      <c r="EL40" s="13">
        <f t="shared" si="45"/>
        <v>36.65420597962698</v>
      </c>
      <c r="EM40" s="20">
        <f t="shared" si="19"/>
        <v>310.39017749785035</v>
      </c>
      <c r="EN40" s="59">
        <f t="shared" si="20"/>
        <v>603.7235108311836</v>
      </c>
      <c r="EO40" s="59">
        <f ca="1">AVERAGE(OFFSET($EN$3,0,0,'Données projet'!$E$15+1,1))-AVERAGE(OFFSET($H$3,0,0,'Données projet'!$E$15+1,1))</f>
        <v>363.98308691765931</v>
      </c>
      <c r="EP40" s="59">
        <f t="shared" si="46"/>
        <v>181.47089407988187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9.8108974358974379</v>
      </c>
      <c r="FE40" s="12">
        <f>IF('Données projet'!$A$218&gt;35,FE39+FD40-FM39,IF(A40&lt;'Données projet'!$A$218,$FB$205^A40,IF(A40='Données projet'!$A$218,'Données projet'!$B$218,FE39+FD40-FM39)))</f>
        <v>139.60576923076923</v>
      </c>
      <c r="FF40" s="17">
        <f>FE40*VLOOKUP('Données projet'!$B$16,Paramètres!$A$1:$I$89,3,0)*VLOOKUP('Données projet'!$B$16,Paramètres!$A$1:$I$89,5,0)</f>
        <v>150.27164999999999</v>
      </c>
      <c r="FG40" s="13">
        <f t="shared" si="47"/>
        <v>38.640312555796996</v>
      </c>
      <c r="FH40" s="20">
        <f t="shared" si="22"/>
        <v>329.02166811801311</v>
      </c>
      <c r="FI40" s="59">
        <f t="shared" si="23"/>
        <v>622.35500145134642</v>
      </c>
      <c r="FJ40" s="59">
        <f ca="1">AVERAGE(OFFSET($FI$3,0,0,'Données projet'!$E$16+1,1))-AVERAGE(OFFSET($H$3,0,0,'Données projet'!$E$16+1,1))</f>
        <v>395.30533160963489</v>
      </c>
      <c r="FK40" s="59">
        <f t="shared" si="48"/>
        <v>196.02102977695085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8.1</v>
      </c>
      <c r="FZ40" s="12">
        <f>IF('Données projet'!$A$244&gt;35,FZ39+FY40-GH39,IF(A40&lt;'Données projet'!$A$244,$FW$205^A40,IF(A40='Données projet'!$A$244,'Données projet'!$B$244,FZ39+FY40-GH39)))</f>
        <v>167.69999999999987</v>
      </c>
      <c r="GA40" s="17">
        <f>FZ40*VLOOKUP('Données projet'!$B$17,Paramètres!$A$1:$I$89,3,0)*VLOOKUP('Données projet'!$B$17,Paramètres!$A$1:$I$89,5,0)</f>
        <v>175.2800399999999</v>
      </c>
      <c r="GB40" s="13">
        <f t="shared" si="49"/>
        <v>44.270463582584874</v>
      </c>
      <c r="GC40" s="20">
        <f t="shared" si="25"/>
        <v>382.38379373966842</v>
      </c>
      <c r="GD40" s="59">
        <f t="shared" si="26"/>
        <v>675.71712707300173</v>
      </c>
      <c r="GE40" s="59">
        <f ca="1">AVERAGE(OFFSET($GD$3,0,0,'Données projet'!$E$17+1,1))-AVERAGE(OFFSET($H$3,0,0,'Données projet'!$E$17+1,1))</f>
        <v>269.41185214595805</v>
      </c>
      <c r="GF40" s="59">
        <f t="shared" si="50"/>
        <v>299.70148160580993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5.5204501931769094</v>
      </c>
      <c r="GM40" s="21">
        <f>EXP(-LN(2)/25)*GM39+(1-EXP(-LN(2)/25))/(LN(2)/25)*Calculateur!GH40*Calculateur!GJ40*VLOOKUP('Données projet'!$B$17,Paramètres!$A$1:$I$89,3,0)*0.475*44/12</f>
        <v>13.361495987167242</v>
      </c>
      <c r="GN40" s="21">
        <f>EXP(-LN(2)/2)*GN39+(1-EXP(-LN(2)/2))/(LN(2)/2)*GH40*GK40*VLOOKUP('Données projet'!$B$17,Paramètres!$A$1:$I$89,3,0)*0.475*44/12</f>
        <v>1.688983640072768</v>
      </c>
      <c r="GO40" s="21">
        <f t="shared" si="27"/>
        <v>20.570929820416918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10.199999999999999</v>
      </c>
      <c r="GU40" s="12">
        <f>IF('Données projet'!$A$270&gt;35,GU39+GT40-HC39,IF(A40&lt;'Données projet'!$A$270,$GR$205^A40,IF(A40='Données projet'!$A$270,'Données projet'!$B$270,GU39+GT40-HC39)))</f>
        <v>189.39999999999989</v>
      </c>
      <c r="GV40" s="17">
        <f>GU40*VLOOKUP('Données projet'!$B$18,Paramètres!$A$1:$I$89,3,0)*VLOOKUP('Données projet'!$B$18,Paramètres!$A$1:$I$89,5,0)</f>
        <v>165.45983999999993</v>
      </c>
      <c r="GW40" s="13">
        <f t="shared" si="51"/>
        <v>42.071582323311688</v>
      </c>
      <c r="GX40" s="20">
        <f t="shared" si="28"/>
        <v>361.45056054643442</v>
      </c>
      <c r="GY40" s="59">
        <f t="shared" si="29"/>
        <v>654.78389387976767</v>
      </c>
      <c r="GZ40" s="59">
        <f ca="1">AVERAGE(OFFSET($GY$3,0,0,'Données projet'!$E$18+1,1))-AVERAGE(OFFSET($H$3,0,0,'Données projet'!$E$18+1,1))</f>
        <v>226.35975611953359</v>
      </c>
      <c r="HA40" s="59">
        <f t="shared" si="52"/>
        <v>271.65876694892461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9.29925793833252</v>
      </c>
      <c r="HI40" s="21">
        <f>EXP(-LN(2)/2)*HI39+(1-EXP(-LN(2)/2))/(LN(2)/2)*HC40*HF40*VLOOKUP('Données projet'!$B$18,Paramètres!$A$1:$I$89,3,0)*0.475*44/12</f>
        <v>1.0444509100366099</v>
      </c>
      <c r="HJ40" s="22">
        <f t="shared" si="30"/>
        <v>10.343708848369129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9.8108974358974379</v>
      </c>
      <c r="N41" s="13">
        <f>IF('Données projet'!$A$36&gt;35,N40+M41-V40,IF(A41&lt;'Données projet'!$A$36,$K$205^A41,IF(A41='Données projet'!$A$36,'Données projet'!$B$36,N40+M41-V40)))</f>
        <v>149.41666666666666</v>
      </c>
      <c r="O41" s="13">
        <f>N41*VLOOKUP('Données projet'!$B$9,Paramètres!$A$1:$I$89,3,0)*VLOOKUP('Données projet'!$B$9,Paramètres!$A$1:$I$89,5,0)</f>
        <v>135.19219999999999</v>
      </c>
      <c r="P41" s="13">
        <f t="shared" si="33"/>
        <v>35.193376038491699</v>
      </c>
      <c r="Q41" s="20">
        <f t="shared" si="53"/>
        <v>296.75487826703966</v>
      </c>
      <c r="R41" s="59">
        <f t="shared" si="0"/>
        <v>590.08821160037292</v>
      </c>
      <c r="S41" s="59">
        <f ca="1">AVERAGE(OFFSET($R$3,0,0,'Données projet'!$E$9+1,1))-AVERAGE(OFFSET($H$3,0,0,'Données projet'!$E$9+1,1))</f>
        <v>309.07357540707869</v>
      </c>
      <c r="T41" s="59">
        <f t="shared" si="34"/>
        <v>155.9593924683299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175.79999999999987</v>
      </c>
      <c r="AJ41" s="13">
        <f>AI41*VLOOKUP('Données projet'!$B$10,Paramètres!$A$1:$I$89,3,0)*VLOOKUP('Données projet'!$B$10,Paramètres!$A$1:$I$89,5,0)</f>
        <v>153.57887999999991</v>
      </c>
      <c r="AK41" s="13">
        <f t="shared" si="35"/>
        <v>39.390779474606113</v>
      </c>
      <c r="AL41" s="20">
        <f t="shared" si="4"/>
        <v>336.08882358493878</v>
      </c>
      <c r="AM41" s="59">
        <f t="shared" si="5"/>
        <v>629.42215691827209</v>
      </c>
      <c r="AN41" s="59">
        <f ca="1">AVERAGE(OFFSET($AM$3,0,0,'Données projet'!$E$10+1,1))-AVERAGE(OFFSET($H$3,0,0,'Données projet'!$E$10+1,1))</f>
        <v>210.07838338464626</v>
      </c>
      <c r="AO41" s="59">
        <f t="shared" si="36"/>
        <v>241.76003724236273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4.5236277879660847</v>
      </c>
      <c r="AV41" s="21">
        <f>EXP(-LN(2)/25)*AV40+(1-EXP(-LN(2)/25))/(LN(2)/25)*Calculateur!AQ41*Calculateur!AS41*VLOOKUP('Données projet'!$B$10,Paramètres!$A$1:$I$89,3,0)*0.475*44/12</f>
        <v>10.862432983550248</v>
      </c>
      <c r="AW41" s="21">
        <f>EXP(-LN(2)/2)*AW40+(1-EXP(-LN(2)/2))/(LN(2)/2)*AQ41*AT41*VLOOKUP('Données projet'!$B$10,Paramètres!$A$1:$I$89,3,0)*0.475*44/12</f>
        <v>0.99821402942807791</v>
      </c>
      <c r="AX41" s="21">
        <f t="shared" si="6"/>
        <v>16.384274800944411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246.79999999999998</v>
      </c>
      <c r="BE41" s="13">
        <f>BD41*VLOOKUP('Données projet'!$B$11,Paramètres!$A$1:$I$89,3,0)*VLOOKUP('Données projet'!$B$11,Paramètres!$A$1:$I$89,5,0)</f>
        <v>134.75280000000001</v>
      </c>
      <c r="BF41" s="13">
        <f t="shared" si="37"/>
        <v>35.092286247742877</v>
      </c>
      <c r="BG41" s="20">
        <f t="shared" si="7"/>
        <v>295.81352521481881</v>
      </c>
      <c r="BH41" s="59">
        <f t="shared" si="8"/>
        <v>589.14685854815207</v>
      </c>
      <c r="BI41" s="59">
        <f ca="1">AVERAGE(OFFSET($BH$3,0,0,'Données projet'!$E$11+1,1))-AVERAGE(OFFSET($H$3,0,0,'Données projet'!$E$11+1,1))</f>
        <v>168.72306536277267</v>
      </c>
      <c r="BJ41" s="59">
        <f t="shared" si="38"/>
        <v>203.35476578922339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2.5963511741854051</v>
      </c>
      <c r="BQ41" s="21">
        <f>EXP(-LN(2)/25)*BQ40+(1-EXP(-LN(2)/25))/(LN(2)/25)*Calculateur!BL41*Calculateur!BN41*VLOOKUP('Données projet'!$B$11,Paramètres!$A$1:$I$89,3,0)*0.475*44/12</f>
        <v>18.412608396559847</v>
      </c>
      <c r="BR41" s="21">
        <f>EXP(-LN(2)/2)*BR40+(1-EXP(-LN(2)/2))/(LN(2)/2)*BL41*BO41*VLOOKUP('Données projet'!$B$11,Paramètres!$A$1:$I$89,3,0)*0.475*44/12</f>
        <v>1.2514904138805776</v>
      </c>
      <c r="BS41" s="22">
        <f t="shared" si="9"/>
        <v>22.260449984625829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16.131410256410259</v>
      </c>
      <c r="BY41" s="12">
        <f>IF('Données projet'!$A$114&gt;35,BY40+BX41-CG40,IF(A41&lt;'Données projet'!$A$114,$BV$205^A41,IF(A41='Données projet'!$A$114,'Données projet'!$B$114,BY40+BX41-CG40)))</f>
        <v>345.8435897435898</v>
      </c>
      <c r="BZ41" s="13">
        <f>BY41*VLOOKUP('Données projet'!$B$12,Paramètres!$A$1:$I$89,3,0)*VLOOKUP('Données projet'!$B$12,Paramètres!$A$1:$I$89,5,0)</f>
        <v>161.85480000000001</v>
      </c>
      <c r="CA41" s="13">
        <f t="shared" si="39"/>
        <v>41.260589676862445</v>
      </c>
      <c r="CB41" s="20">
        <f t="shared" si="10"/>
        <v>353.75930368720213</v>
      </c>
      <c r="CC41" s="59">
        <f t="shared" si="11"/>
        <v>647.09263702053545</v>
      </c>
      <c r="CD41" s="59">
        <f ca="1">AVERAGE(OFFSET($CC$3,0,0,'Données projet'!$E$12+1,1))-AVERAGE(OFFSET($H$3,0,0,'Données projet'!$E$12+1,1))</f>
        <v>158.58786357608489</v>
      </c>
      <c r="CE41" s="59">
        <f t="shared" si="40"/>
        <v>163.20074068819849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10.199999999999999</v>
      </c>
      <c r="CT41" s="12">
        <f>IF('Données projet'!$A$140&gt;35,CT40+CS41-DB40,IF(A41&lt;'Données projet'!$A$140,$CQ$205^A41,IF(A41='Données projet'!$A$140,'Données projet'!$B$140,CT40+CS41-DB40)))</f>
        <v>199.59999999999988</v>
      </c>
      <c r="CU41" s="17">
        <f>CT41*VLOOKUP('Données projet'!$B$13,Paramètres!$A$1:$I$89,3,0)*VLOOKUP('Données projet'!$B$13,Paramètres!$A$1:$I$89,5,0)</f>
        <v>146.34671999999992</v>
      </c>
      <c r="CV41" s="13">
        <f t="shared" si="41"/>
        <v>37.747177010522925</v>
      </c>
      <c r="CW41" s="20">
        <f t="shared" si="13"/>
        <v>320.63020395999393</v>
      </c>
      <c r="CX41" s="59">
        <f t="shared" si="14"/>
        <v>613.96353729332725</v>
      </c>
      <c r="CY41" s="59">
        <f ca="1">AVERAGE(OFFSET($CX$3,0,0,'Données projet'!$E$13+1,1))-AVERAGE(OFFSET($H$3,0,0,'Données projet'!$E$13+1,1))</f>
        <v>178.12968684094687</v>
      </c>
      <c r="CZ41" s="59">
        <f t="shared" si="42"/>
        <v>219.36004077210373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6.158990173862807</v>
      </c>
      <c r="DH41" s="21">
        <f>EXP(-LN(2)/2)*DH40+(1-EXP(-LN(2)/2))/(LN(2)/2)*DB41*DE41*VLOOKUP('Données projet'!$B$13,Paramètres!$A$1:$I$89,3,0)*0.475*44/12</f>
        <v>0.61984466235459545</v>
      </c>
      <c r="DI41" s="22">
        <f t="shared" si="15"/>
        <v>6.7788348362174027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-8.5265128291212022E-14</v>
      </c>
      <c r="DP41" s="17">
        <f>DO41*VLOOKUP('Données projet'!$B$14,Paramètres!$A$1:$I$89,3,0)*VLOOKUP('Données projet'!$B$14,Paramètres!$A$1:$I$89,5,0)</f>
        <v>-7.7147888077888636E-14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225.28075317732998</v>
      </c>
      <c r="DU41" s="59">
        <f t="shared" si="44"/>
        <v>358.43407531256207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1.914802033682625</v>
      </c>
      <c r="EB41" s="21">
        <f>EXP(-LN(2)/25)*EB40+(1-EXP(-LN(2)/25))/(LN(2)/25)*Calculateur!DW41*Calculateur!DY41*VLOOKUP('Données projet'!$B$14,Paramètres!$A$1:$I$89,3,0)*0.475*44/12</f>
        <v>6.6264954321110592</v>
      </c>
      <c r="EC41" s="21">
        <f>EXP(-LN(2)/2)*EC40+(1-EXP(-LN(2)/2))/(LN(2)/2)*DW41*DZ41*VLOOKUP('Données projet'!$B$14,Paramètres!$A$1:$I$89,3,0)*0.475*44/12</f>
        <v>0.27587631968559523</v>
      </c>
      <c r="ED41" s="22">
        <f t="shared" si="18"/>
        <v>8.8171737854792802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9.8108974358974379</v>
      </c>
      <c r="EJ41" s="12">
        <f>IF('Données projet'!$A$192&gt;35,EJ40+EI41-ER40,IF(A41&lt;'Données projet'!$A$192,$EG$205^A41,IF(A41='Données projet'!$A$192,'Données projet'!$B$192,EJ40+EI41-ER40)))</f>
        <v>149.41666666666666</v>
      </c>
      <c r="EK41" s="17">
        <f>EJ41*VLOOKUP('Données projet'!$B$15,Paramètres!$A$1:$I$89,3,0)*VLOOKUP('Données projet'!$B$15,Paramètres!$A$1:$I$89,5,0)</f>
        <v>151.5085</v>
      </c>
      <c r="EL41" s="13">
        <f t="shared" si="45"/>
        <v>38.921197758636005</v>
      </c>
      <c r="EM41" s="20">
        <f t="shared" si="19"/>
        <v>331.66505692962431</v>
      </c>
      <c r="EN41" s="59">
        <f t="shared" si="20"/>
        <v>624.99839026295763</v>
      </c>
      <c r="EO41" s="59">
        <f ca="1">AVERAGE(OFFSET($EN$3,0,0,'Données projet'!$E$15+1,1))-AVERAGE(OFFSET($H$3,0,0,'Données projet'!$E$15+1,1))</f>
        <v>363.98308691765931</v>
      </c>
      <c r="EP41" s="59">
        <f t="shared" si="46"/>
        <v>181.47089407988187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9.8108974358974379</v>
      </c>
      <c r="FE41" s="12">
        <f>IF('Données projet'!$A$218&gt;35,FE40+FD41-FM40,IF(A41&lt;'Données projet'!$A$218,$FB$205^A41,IF(A41='Données projet'!$A$218,'Données projet'!$B$218,FE40+FD41-FM40)))</f>
        <v>149.41666666666666</v>
      </c>
      <c r="FF41" s="17">
        <f>FE41*VLOOKUP('Données projet'!$B$16,Paramètres!$A$1:$I$89,3,0)*VLOOKUP('Données projet'!$B$16,Paramètres!$A$1:$I$89,5,0)</f>
        <v>160.83209999999997</v>
      </c>
      <c r="FG41" s="13">
        <f t="shared" si="47"/>
        <v>41.030141186951028</v>
      </c>
      <c r="FH41" s="20">
        <f t="shared" si="22"/>
        <v>351.57673673393964</v>
      </c>
      <c r="FI41" s="59">
        <f t="shared" si="23"/>
        <v>644.91007006727295</v>
      </c>
      <c r="FJ41" s="59">
        <f ca="1">AVERAGE(OFFSET($FI$3,0,0,'Données projet'!$E$16+1,1))-AVERAGE(OFFSET($H$3,0,0,'Données projet'!$E$16+1,1))</f>
        <v>395.30533160963489</v>
      </c>
      <c r="FK41" s="59">
        <f t="shared" si="48"/>
        <v>196.02102977695085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8.1</v>
      </c>
      <c r="FZ41" s="12">
        <f>IF('Données projet'!$A$244&gt;35,FZ40+FY41-GH40,IF(A41&lt;'Données projet'!$A$244,$FW$205^A41,IF(A41='Données projet'!$A$244,'Données projet'!$B$244,FZ40+FY41-GH40)))</f>
        <v>175.79999999999987</v>
      </c>
      <c r="GA41" s="17">
        <f>FZ41*VLOOKUP('Données projet'!$B$17,Paramètres!$A$1:$I$89,3,0)*VLOOKUP('Données projet'!$B$17,Paramètres!$A$1:$I$89,5,0)</f>
        <v>183.74615999999989</v>
      </c>
      <c r="GB41" s="13">
        <f t="shared" si="49"/>
        <v>46.154635956048466</v>
      </c>
      <c r="GC41" s="20">
        <f t="shared" si="25"/>
        <v>400.41055295678416</v>
      </c>
      <c r="GD41" s="59">
        <f t="shared" si="26"/>
        <v>693.74388629011742</v>
      </c>
      <c r="GE41" s="59">
        <f ca="1">AVERAGE(OFFSET($GD$3,0,0,'Données projet'!$E$17+1,1))-AVERAGE(OFFSET($H$3,0,0,'Données projet'!$E$17+1,1))</f>
        <v>269.41185214595805</v>
      </c>
      <c r="GF41" s="59">
        <f t="shared" si="50"/>
        <v>299.70148160580993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5.4121975320308504</v>
      </c>
      <c r="GM41" s="21">
        <f>EXP(-LN(2)/25)*GM40+(1-EXP(-LN(2)/25))/(LN(2)/25)*Calculateur!GH41*Calculateur!GJ41*VLOOKUP('Données projet'!$B$17,Paramètres!$A$1:$I$89,3,0)*0.475*44/12</f>
        <v>12.996125176747618</v>
      </c>
      <c r="GN41" s="21">
        <f>EXP(-LN(2)/2)*GN40+(1-EXP(-LN(2)/2))/(LN(2)/2)*GH41*GK41*VLOOKUP('Données projet'!$B$17,Paramètres!$A$1:$I$89,3,0)*0.475*44/12</f>
        <v>1.1942917852085935</v>
      </c>
      <c r="GO41" s="21">
        <f t="shared" si="27"/>
        <v>19.602614493987065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10.199999999999999</v>
      </c>
      <c r="GU41" s="12">
        <f>IF('Données projet'!$A$270&gt;35,GU40+GT41-HC40,IF(A41&lt;'Données projet'!$A$270,$GR$205^A41,IF(A41='Données projet'!$A$270,'Données projet'!$B$270,GU40+GT41-HC40)))</f>
        <v>199.59999999999988</v>
      </c>
      <c r="GV41" s="17">
        <f>GU41*VLOOKUP('Données projet'!$B$18,Paramètres!$A$1:$I$89,3,0)*VLOOKUP('Données projet'!$B$18,Paramètres!$A$1:$I$89,5,0)</f>
        <v>174.3705599999999</v>
      </c>
      <c r="GW41" s="13">
        <f t="shared" si="51"/>
        <v>44.06743281787746</v>
      </c>
      <c r="GX41" s="20">
        <f t="shared" si="28"/>
        <v>380.44617082446968</v>
      </c>
      <c r="GY41" s="59">
        <f t="shared" si="29"/>
        <v>673.77950415780299</v>
      </c>
      <c r="GZ41" s="59">
        <f ca="1">AVERAGE(OFFSET($GY$3,0,0,'Données projet'!$E$18+1,1))-AVERAGE(OFFSET($H$3,0,0,'Données projet'!$E$18+1,1))</f>
        <v>226.35975611953359</v>
      </c>
      <c r="HA41" s="59">
        <f t="shared" si="52"/>
        <v>271.65876694892461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9.0449692409820965</v>
      </c>
      <c r="HI41" s="21">
        <f>EXP(-LN(2)/2)*HI40+(1-EXP(-LN(2)/2))/(LN(2)/2)*HC41*HF41*VLOOKUP('Données projet'!$B$18,Paramètres!$A$1:$I$89,3,0)*0.475*44/12</f>
        <v>0.73853832110334761</v>
      </c>
      <c r="HJ41" s="22">
        <f t="shared" si="30"/>
        <v>9.7835075620854433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9.8108974358974379</v>
      </c>
      <c r="N42" s="13">
        <f>IF('Données projet'!$A$36&gt;35,N41+M42-V41,IF(A42&lt;'Données projet'!$A$36,$K$205^A42,IF(A42='Données projet'!$A$36,'Données projet'!$B$36,N41+M42-V41)))</f>
        <v>159.22756410256409</v>
      </c>
      <c r="O42" s="13">
        <f>N42*VLOOKUP('Données projet'!$B$9,Paramètres!$A$1:$I$89,3,0)*VLOOKUP('Données projet'!$B$9,Paramètres!$A$1:$I$89,5,0)</f>
        <v>144.06909999999999</v>
      </c>
      <c r="P42" s="13">
        <f t="shared" si="33"/>
        <v>37.227619113359864</v>
      </c>
      <c r="Q42" s="20">
        <f t="shared" si="53"/>
        <v>315.75845245576846</v>
      </c>
      <c r="R42" s="59">
        <f t="shared" si="0"/>
        <v>609.09178578910178</v>
      </c>
      <c r="S42" s="59">
        <f ca="1">AVERAGE(OFFSET($R$3,0,0,'Données projet'!$E$9+1,1))-AVERAGE(OFFSET($H$3,0,0,'Données projet'!$E$9+1,1))</f>
        <v>309.07357540707869</v>
      </c>
      <c r="T42" s="59">
        <f t="shared" si="34"/>
        <v>155.9593924683299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183.89999999999986</v>
      </c>
      <c r="AJ42" s="13">
        <f>AI42*VLOOKUP('Données projet'!$B$10,Paramètres!$A$1:$I$89,3,0)*VLOOKUP('Données projet'!$B$10,Paramètres!$A$1:$I$89,5,0)</f>
        <v>160.6550399999999</v>
      </c>
      <c r="AK42" s="13">
        <f t="shared" si="35"/>
        <v>40.990226357066575</v>
      </c>
      <c r="AL42" s="20">
        <f t="shared" si="4"/>
        <v>351.19883890522402</v>
      </c>
      <c r="AM42" s="59">
        <f t="shared" si="5"/>
        <v>644.53217223855734</v>
      </c>
      <c r="AN42" s="59">
        <f ca="1">AVERAGE(OFFSET($AM$3,0,0,'Données projet'!$E$10+1,1))-AVERAGE(OFFSET($H$3,0,0,'Données projet'!$E$10+1,1))</f>
        <v>210.07838338464626</v>
      </c>
      <c r="AO42" s="59">
        <f t="shared" si="36"/>
        <v>241.76003724236273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4.4349222061845781</v>
      </c>
      <c r="AV42" s="21">
        <f>EXP(-LN(2)/25)*AV41+(1-EXP(-LN(2)/25))/(LN(2)/25)*Calculateur!AQ42*Calculateur!AS42*VLOOKUP('Données projet'!$B$10,Paramètres!$A$1:$I$89,3,0)*0.475*44/12</f>
        <v>10.565399182384542</v>
      </c>
      <c r="AW42" s="21">
        <f>EXP(-LN(2)/2)*AW41+(1-EXP(-LN(2)/2))/(LN(2)/2)*AQ42*AT42*VLOOKUP('Données projet'!$B$10,Paramètres!$A$1:$I$89,3,0)*0.475*44/12</f>
        <v>0.70584390928414187</v>
      </c>
      <c r="AX42" s="21">
        <f t="shared" si="6"/>
        <v>15.706165297853261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258.89999999999998</v>
      </c>
      <c r="BE42" s="13">
        <f>BD42*VLOOKUP('Données projet'!$B$11,Paramètres!$A$1:$I$89,3,0)*VLOOKUP('Données projet'!$B$11,Paramètres!$A$1:$I$89,5,0)</f>
        <v>141.35939999999999</v>
      </c>
      <c r="BF42" s="13">
        <f t="shared" si="37"/>
        <v>36.60824958838036</v>
      </c>
      <c r="BG42" s="20">
        <f t="shared" si="7"/>
        <v>309.96032303309579</v>
      </c>
      <c r="BH42" s="59">
        <f t="shared" si="8"/>
        <v>603.2936563664291</v>
      </c>
      <c r="BI42" s="59">
        <f ca="1">AVERAGE(OFFSET($BH$3,0,0,'Données projet'!$E$11+1,1))-AVERAGE(OFFSET($H$3,0,0,'Données projet'!$E$11+1,1))</f>
        <v>168.72306536277267</v>
      </c>
      <c r="BJ42" s="59">
        <f t="shared" si="38"/>
        <v>203.35476578922339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2.5454383112774761</v>
      </c>
      <c r="BQ42" s="21">
        <f>EXP(-LN(2)/25)*BQ41+(1-EXP(-LN(2)/25))/(LN(2)/25)*Calculateur!BL42*Calculateur!BN42*VLOOKUP('Données projet'!$B$11,Paramètres!$A$1:$I$89,3,0)*0.475*44/12</f>
        <v>17.909114651678927</v>
      </c>
      <c r="BR42" s="21">
        <f>EXP(-LN(2)/2)*BR41+(1-EXP(-LN(2)/2))/(LN(2)/2)*BL42*BO42*VLOOKUP('Données projet'!$B$11,Paramètres!$A$1:$I$89,3,0)*0.475*44/12</f>
        <v>0.88493735824491548</v>
      </c>
      <c r="BS42" s="22">
        <f t="shared" si="9"/>
        <v>21.339490321201318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16.131410256410259</v>
      </c>
      <c r="BY42" s="12">
        <f>IF('Données projet'!$A$114&gt;35,BY41+BX42-CG41,IF(A42&lt;'Données projet'!$A$114,$BV$205^A42,IF(A42='Données projet'!$A$114,'Données projet'!$B$114,BY41+BX42-CG41)))</f>
        <v>361.97500000000008</v>
      </c>
      <c r="BZ42" s="13">
        <f>BY42*VLOOKUP('Données projet'!$B$12,Paramètres!$A$1:$I$89,3,0)*VLOOKUP('Données projet'!$B$12,Paramètres!$A$1:$I$89,5,0)</f>
        <v>169.40430000000006</v>
      </c>
      <c r="CA42" s="13">
        <f t="shared" si="39"/>
        <v>42.956579357099159</v>
      </c>
      <c r="CB42" s="20">
        <f t="shared" si="10"/>
        <v>369.86186488028119</v>
      </c>
      <c r="CC42" s="59">
        <f t="shared" si="11"/>
        <v>663.1951982136145</v>
      </c>
      <c r="CD42" s="59">
        <f ca="1">AVERAGE(OFFSET($CC$3,0,0,'Données projet'!$E$12+1,1))-AVERAGE(OFFSET($H$3,0,0,'Données projet'!$E$12+1,1))</f>
        <v>158.58786357608489</v>
      </c>
      <c r="CE42" s="59">
        <f t="shared" si="40"/>
        <v>163.20074068819849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10.199999999999999</v>
      </c>
      <c r="CT42" s="12">
        <f>IF('Données projet'!$A$140&gt;35,CT41+CS42-DB41,IF(A42&lt;'Données projet'!$A$140,$CQ$205^A42,IF(A42='Données projet'!$A$140,'Données projet'!$B$140,CT41+CS42-DB41)))</f>
        <v>209.79999999999987</v>
      </c>
      <c r="CU42" s="17">
        <f>CT42*VLOOKUP('Données projet'!$B$13,Paramètres!$A$1:$I$89,3,0)*VLOOKUP('Données projet'!$B$13,Paramètres!$A$1:$I$89,5,0)</f>
        <v>153.8253599999999</v>
      </c>
      <c r="CV42" s="13">
        <f t="shared" si="41"/>
        <v>39.446634200901897</v>
      </c>
      <c r="CW42" s="20">
        <f t="shared" si="13"/>
        <v>336.61538989990396</v>
      </c>
      <c r="CX42" s="59">
        <f t="shared" si="14"/>
        <v>629.94872323323727</v>
      </c>
      <c r="CY42" s="59">
        <f ca="1">AVERAGE(OFFSET($CX$3,0,0,'Données projet'!$E$13+1,1))-AVERAGE(OFFSET($H$3,0,0,'Données projet'!$E$13+1,1))</f>
        <v>178.12968684094687</v>
      </c>
      <c r="CZ42" s="59">
        <f t="shared" si="42"/>
        <v>219.36004077210373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5.9905722636713117</v>
      </c>
      <c r="DH42" s="21">
        <f>EXP(-LN(2)/2)*DH41+(1-EXP(-LN(2)/2))/(LN(2)/2)*DB42*DE42*VLOOKUP('Données projet'!$B$13,Paramètres!$A$1:$I$89,3,0)*0.475*44/12</f>
        <v>0.43829636403322036</v>
      </c>
      <c r="DI42" s="22">
        <f t="shared" si="15"/>
        <v>6.4288686277045324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-8.5265128291212022E-14</v>
      </c>
      <c r="DP42" s="17">
        <f>DO42*VLOOKUP('Données projet'!$B$14,Paramètres!$A$1:$I$89,3,0)*VLOOKUP('Données projet'!$B$14,Paramètres!$A$1:$I$89,5,0)</f>
        <v>-7.7147888077888636E-14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225.28075317732998</v>
      </c>
      <c r="DU42" s="59">
        <f t="shared" si="44"/>
        <v>358.43407531256207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1.8772539337160274</v>
      </c>
      <c r="EB42" s="21">
        <f>EXP(-LN(2)/25)*EB41+(1-EXP(-LN(2)/25))/(LN(2)/25)*Calculateur!DW42*Calculateur!DY42*VLOOKUP('Données projet'!$B$14,Paramètres!$A$1:$I$89,3,0)*0.475*44/12</f>
        <v>6.4452935660477326</v>
      </c>
      <c r="EC42" s="21">
        <f>EXP(-LN(2)/2)*EC41+(1-EXP(-LN(2)/2))/(LN(2)/2)*DW42*DZ42*VLOOKUP('Données projet'!$B$14,Paramètres!$A$1:$I$89,3,0)*0.475*44/12</f>
        <v>0.19507401641847222</v>
      </c>
      <c r="ED42" s="22">
        <f t="shared" si="18"/>
        <v>8.5176215161822313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9.8108974358974379</v>
      </c>
      <c r="EJ42" s="12">
        <f>IF('Données projet'!$A$192&gt;35,EJ41+EI42-ER41,IF(A42&lt;'Données projet'!$A$192,$EG$205^A42,IF(A42='Données projet'!$A$192,'Données projet'!$B$192,EJ41+EI42-ER41)))</f>
        <v>159.22756410256409</v>
      </c>
      <c r="EK42" s="17">
        <f>EJ42*VLOOKUP('Données projet'!$B$15,Paramètres!$A$1:$I$89,3,0)*VLOOKUP('Données projet'!$B$15,Paramètres!$A$1:$I$89,5,0)</f>
        <v>161.45675</v>
      </c>
      <c r="EL42" s="13">
        <f t="shared" si="45"/>
        <v>41.170915913537705</v>
      </c>
      <c r="EM42" s="20">
        <f t="shared" si="19"/>
        <v>352.90985146607812</v>
      </c>
      <c r="EN42" s="59">
        <f t="shared" si="20"/>
        <v>646.24318479941144</v>
      </c>
      <c r="EO42" s="59">
        <f ca="1">AVERAGE(OFFSET($EN$3,0,0,'Données projet'!$E$15+1,1))-AVERAGE(OFFSET($H$3,0,0,'Données projet'!$E$15+1,1))</f>
        <v>363.98308691765931</v>
      </c>
      <c r="EP42" s="59">
        <f t="shared" si="46"/>
        <v>181.47089407988187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9.8108974358974379</v>
      </c>
      <c r="FE42" s="12">
        <f>IF('Données projet'!$A$218&gt;35,FE41+FD42-FM41,IF(A42&lt;'Données projet'!$A$218,$FB$205^A42,IF(A42='Données projet'!$A$218,'Données projet'!$B$218,FE41+FD42-FM41)))</f>
        <v>159.22756410256409</v>
      </c>
      <c r="FF42" s="17">
        <f>FE42*VLOOKUP('Données projet'!$B$16,Paramètres!$A$1:$I$89,3,0)*VLOOKUP('Données projet'!$B$16,Paramètres!$A$1:$I$89,5,0)</f>
        <v>171.39254999999997</v>
      </c>
      <c r="FG42" s="13">
        <f t="shared" si="47"/>
        <v>43.401760223417746</v>
      </c>
      <c r="FH42" s="20">
        <f t="shared" si="22"/>
        <v>374.10009030578584</v>
      </c>
      <c r="FI42" s="59">
        <f t="shared" si="23"/>
        <v>667.43342363911916</v>
      </c>
      <c r="FJ42" s="59">
        <f ca="1">AVERAGE(OFFSET($FI$3,0,0,'Données projet'!$E$16+1,1))-AVERAGE(OFFSET($H$3,0,0,'Données projet'!$E$16+1,1))</f>
        <v>395.30533160963489</v>
      </c>
      <c r="FK42" s="59">
        <f t="shared" si="48"/>
        <v>196.02102977695085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8.1</v>
      </c>
      <c r="FZ42" s="12">
        <f>IF('Données projet'!$A$244&gt;35,FZ41+FY42-GH41,IF(A42&lt;'Données projet'!$A$244,$FW$205^A42,IF(A42='Données projet'!$A$244,'Données projet'!$B$244,FZ41+FY42-GH41)))</f>
        <v>183.89999999999986</v>
      </c>
      <c r="GA42" s="17">
        <f>FZ42*VLOOKUP('Données projet'!$B$17,Paramètres!$A$1:$I$89,3,0)*VLOOKUP('Données projet'!$B$17,Paramètres!$A$1:$I$89,5,0)</f>
        <v>192.21227999999988</v>
      </c>
      <c r="GB42" s="13">
        <f t="shared" si="49"/>
        <v>48.028726531955705</v>
      </c>
      <c r="GC42" s="20">
        <f t="shared" si="25"/>
        <v>418.41975304315594</v>
      </c>
      <c r="GD42" s="59">
        <f t="shared" si="26"/>
        <v>711.75308637648925</v>
      </c>
      <c r="GE42" s="59">
        <f ca="1">AVERAGE(OFFSET($GD$3,0,0,'Données projet'!$E$17+1,1))-AVERAGE(OFFSET($H$3,0,0,'Données projet'!$E$17+1,1))</f>
        <v>269.41185214595805</v>
      </c>
      <c r="GF42" s="59">
        <f t="shared" si="50"/>
        <v>299.70148160580993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5.3060676395422623</v>
      </c>
      <c r="GM42" s="21">
        <f>EXP(-LN(2)/25)*GM41+(1-EXP(-LN(2)/25))/(LN(2)/25)*Calculateur!GH42*Calculateur!GJ42*VLOOKUP('Données projet'!$B$17,Paramètres!$A$1:$I$89,3,0)*0.475*44/12</f>
        <v>12.640745450352934</v>
      </c>
      <c r="GN42" s="21">
        <f>EXP(-LN(2)/2)*GN41+(1-EXP(-LN(2)/2))/(LN(2)/2)*GH42*GK42*VLOOKUP('Données projet'!$B$17,Paramètres!$A$1:$I$89,3,0)*0.475*44/12</f>
        <v>0.84449182003638412</v>
      </c>
      <c r="GO42" s="21">
        <f t="shared" si="27"/>
        <v>18.791304909931583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10.199999999999999</v>
      </c>
      <c r="GU42" s="12">
        <f>IF('Données projet'!$A$270&gt;35,GU41+GT42-HC41,IF(A42&lt;'Données projet'!$A$270,$GR$205^A42,IF(A42='Données projet'!$A$270,'Données projet'!$B$270,GU41+GT42-HC41)))</f>
        <v>209.79999999999987</v>
      </c>
      <c r="GV42" s="17">
        <f>GU42*VLOOKUP('Données projet'!$B$18,Paramètres!$A$1:$I$89,3,0)*VLOOKUP('Données projet'!$B$18,Paramètres!$A$1:$I$89,5,0)</f>
        <v>183.28127999999992</v>
      </c>
      <c r="GW42" s="13">
        <f t="shared" si="51"/>
        <v>46.05144119929907</v>
      </c>
      <c r="GX42" s="20">
        <f t="shared" si="28"/>
        <v>399.42115608877901</v>
      </c>
      <c r="GY42" s="59">
        <f t="shared" si="29"/>
        <v>692.75448942211233</v>
      </c>
      <c r="GZ42" s="59">
        <f ca="1">AVERAGE(OFFSET($GY$3,0,0,'Données projet'!$E$18+1,1))-AVERAGE(OFFSET($H$3,0,0,'Données projet'!$E$18+1,1))</f>
        <v>226.35975611953359</v>
      </c>
      <c r="HA42" s="59">
        <f t="shared" si="52"/>
        <v>271.65876694892461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8.7976340814331806</v>
      </c>
      <c r="HI42" s="21">
        <f>EXP(-LN(2)/2)*HI41+(1-EXP(-LN(2)/2))/(LN(2)/2)*HC42*HF42*VLOOKUP('Données projet'!$B$18,Paramètres!$A$1:$I$89,3,0)*0.475*44/12</f>
        <v>0.52222545501830497</v>
      </c>
      <c r="HJ42" s="22">
        <f t="shared" si="30"/>
        <v>9.3198595364514851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9.8108974358974379</v>
      </c>
      <c r="N43" s="13">
        <f>IF('Données projet'!$A$36&gt;35,N42+M43-V42,IF(A43&lt;'Données projet'!$A$36,$K$205^A43,IF(A43='Données projet'!$A$36,'Données projet'!$B$36,N42+M43-V42)))</f>
        <v>169.03846153846152</v>
      </c>
      <c r="O43" s="13">
        <f>N43*VLOOKUP('Données projet'!$B$9,Paramètres!$A$1:$I$89,3,0)*VLOOKUP('Données projet'!$B$9,Paramètres!$A$1:$I$89,5,0)</f>
        <v>152.94599999999997</v>
      </c>
      <c r="P43" s="13">
        <f t="shared" si="33"/>
        <v>39.247314969652741</v>
      </c>
      <c r="Q43" s="20">
        <f t="shared" si="53"/>
        <v>334.73669023881172</v>
      </c>
      <c r="R43" s="59">
        <f t="shared" si="0"/>
        <v>628.07002357214503</v>
      </c>
      <c r="S43" s="59">
        <f ca="1">AVERAGE(OFFSET($R$3,0,0,'Données projet'!$E$9+1,1))-AVERAGE(OFFSET($H$3,0,0,'Données projet'!$E$9+1,1))</f>
        <v>309.07357540707869</v>
      </c>
      <c r="T43" s="59">
        <f t="shared" si="34"/>
        <v>155.9593924683299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191.99999999999986</v>
      </c>
      <c r="AJ43" s="13">
        <f>AI43*VLOOKUP('Données projet'!$B$10,Paramètres!$A$1:$I$89,3,0)*VLOOKUP('Données projet'!$B$10,Paramètres!$A$1:$I$89,5,0)</f>
        <v>167.73119999999989</v>
      </c>
      <c r="AK43" s="13">
        <f t="shared" si="35"/>
        <v>42.581491199832655</v>
      </c>
      <c r="AL43" s="20">
        <f t="shared" si="4"/>
        <v>366.29460383970832</v>
      </c>
      <c r="AM43" s="59">
        <f t="shared" si="5"/>
        <v>659.62793717304157</v>
      </c>
      <c r="AN43" s="59">
        <f ca="1">AVERAGE(OFFSET($AM$3,0,0,'Données projet'!$E$10+1,1))-AVERAGE(OFFSET($H$3,0,0,'Données projet'!$E$10+1,1))</f>
        <v>210.07838338464626</v>
      </c>
      <c r="AO43" s="59">
        <f t="shared" si="36"/>
        <v>241.76003724236273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47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4.3479560867567439</v>
      </c>
      <c r="AV43" s="21">
        <f>EXP(-LN(2)/25)*AV42+(1-EXP(-LN(2)/25))/(LN(2)/25)*Calculateur!AQ43*Calculateur!AS43*VLOOKUP('Données projet'!$B$10,Paramètres!$A$1:$I$89,3,0)*0.475*44/12</f>
        <v>10.276487786132041</v>
      </c>
      <c r="AW43" s="21">
        <f>EXP(-LN(2)/2)*AW42+(1-EXP(-LN(2)/2))/(LN(2)/2)*AQ43*AT43*VLOOKUP('Données projet'!$B$10,Paramètres!$A$1:$I$89,3,0)*0.475*44/12</f>
        <v>0.49910701471403907</v>
      </c>
      <c r="AX43" s="21">
        <f t="shared" si="6"/>
        <v>15.123550887602823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271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271</v>
      </c>
      <c r="BE43" s="13">
        <f>BD43*VLOOKUP('Données projet'!$B$11,Paramètres!$A$1:$I$89,3,0)*VLOOKUP('Données projet'!$B$11,Paramètres!$A$1:$I$89,5,0)</f>
        <v>147.96600000000001</v>
      </c>
      <c r="BF43" s="13">
        <f t="shared" si="37"/>
        <v>38.115985176802688</v>
      </c>
      <c r="BG43" s="20">
        <f t="shared" si="7"/>
        <v>324.09279084959798</v>
      </c>
      <c r="BH43" s="59">
        <f t="shared" si="8"/>
        <v>617.42612418293129</v>
      </c>
      <c r="BI43" s="59">
        <f ca="1">AVERAGE(OFFSET($BH$3,0,0,'Données projet'!$E$11+1,1))-AVERAGE(OFFSET($H$3,0,0,'Données projet'!$E$11+1,1))</f>
        <v>168.72306536277267</v>
      </c>
      <c r="BJ43" s="59">
        <f t="shared" si="38"/>
        <v>203.35476578922339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68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2.4955238185573916</v>
      </c>
      <c r="BQ43" s="21">
        <f>EXP(-LN(2)/25)*BQ42+(1-EXP(-LN(2)/25))/(LN(2)/25)*Calculateur!BL43*Calculateur!BN43*VLOOKUP('Données projet'!$B$11,Paramètres!$A$1:$I$89,3,0)*0.475*44/12</f>
        <v>17.419388969729358</v>
      </c>
      <c r="BR43" s="21">
        <f>EXP(-LN(2)/2)*BR42+(1-EXP(-LN(2)/2))/(LN(2)/2)*BL43*BO43*VLOOKUP('Données projet'!$B$11,Paramètres!$A$1:$I$89,3,0)*0.475*44/12</f>
        <v>0.6257452069402889</v>
      </c>
      <c r="BS43" s="22">
        <f t="shared" si="9"/>
        <v>20.540657995227036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16.131410256410259</v>
      </c>
      <c r="BY43" s="12">
        <f>IF('Données projet'!$A$114&gt;35,BY42+BX43-CG42,IF(A43&lt;'Données projet'!$A$114,$BV$205^A43,IF(A43='Données projet'!$A$114,'Données projet'!$B$114,BY42+BX43-CG42)))</f>
        <v>378.10641025641036</v>
      </c>
      <c r="BZ43" s="13">
        <f>BY43*VLOOKUP('Données projet'!$B$12,Paramètres!$A$1:$I$89,3,0)*VLOOKUP('Données projet'!$B$12,Paramètres!$A$1:$I$89,5,0)</f>
        <v>176.95380000000006</v>
      </c>
      <c r="CA43" s="13">
        <f t="shared" si="39"/>
        <v>44.643791032081154</v>
      </c>
      <c r="CB43" s="20">
        <f t="shared" si="10"/>
        <v>385.94913771420806</v>
      </c>
      <c r="CC43" s="59">
        <f t="shared" si="11"/>
        <v>679.28247104754132</v>
      </c>
      <c r="CD43" s="59">
        <f ca="1">AVERAGE(OFFSET($CC$3,0,0,'Données projet'!$E$12+1,1))-AVERAGE(OFFSET($H$3,0,0,'Données projet'!$E$12+1,1))</f>
        <v>158.58786357608489</v>
      </c>
      <c r="CE43" s="59">
        <f t="shared" si="40"/>
        <v>163.20074068819849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220</v>
      </c>
      <c r="CR43" s="12">
        <f>VLOOKUP(A43,'Données projet'!$A$139:$I$159,9,0)</f>
        <v>10.199999999999999</v>
      </c>
      <c r="CS43" s="12">
        <f t="array" ref="CS43">INDEX(CR:CR,MIN(IF(ISNUMBER(CR43:CR239),ROW(CR43:CR239),"")))</f>
        <v>10.199999999999999</v>
      </c>
      <c r="CT43" s="12">
        <f>IF('Données projet'!$A$140&gt;35,CT42+CS43-DB42,IF(A43&lt;'Données projet'!$A$140,$CQ$205^A43,IF(A43='Données projet'!$A$140,'Données projet'!$B$140,CT42+CS43-DB42)))</f>
        <v>219.99999999999986</v>
      </c>
      <c r="CU43" s="17">
        <f>CT43*VLOOKUP('Données projet'!$B$13,Paramètres!$A$1:$I$89,3,0)*VLOOKUP('Données projet'!$B$13,Paramètres!$A$1:$I$89,5,0)</f>
        <v>161.30399999999989</v>
      </c>
      <c r="CV43" s="13">
        <f t="shared" si="41"/>
        <v>41.136497157560363</v>
      </c>
      <c r="CW43" s="20">
        <f t="shared" si="13"/>
        <v>352.58386588275079</v>
      </c>
      <c r="CX43" s="59">
        <f t="shared" si="14"/>
        <v>645.9171992160841</v>
      </c>
      <c r="CY43" s="59">
        <f ca="1">AVERAGE(OFFSET($CX$3,0,0,'Données projet'!$E$13+1,1))-AVERAGE(OFFSET($H$3,0,0,'Données projet'!$E$13+1,1))</f>
        <v>178.12968684094687</v>
      </c>
      <c r="CZ43" s="59">
        <f t="shared" si="42"/>
        <v>219.36004077210373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5.8267597500907158</v>
      </c>
      <c r="DH43" s="21">
        <f>EXP(-LN(2)/2)*DH42+(1-EXP(-LN(2)/2))/(LN(2)/2)*DB43*DE43*VLOOKUP('Données projet'!$B$13,Paramètres!$A$1:$I$89,3,0)*0.475*44/12</f>
        <v>0.30992233117729773</v>
      </c>
      <c r="DI43" s="22">
        <f t="shared" si="15"/>
        <v>6.1366820812680132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-8.5265128291212022E-14</v>
      </c>
      <c r="DP43" s="17">
        <f>DO43*VLOOKUP('Données projet'!$B$14,Paramètres!$A$1:$I$89,3,0)*VLOOKUP('Données projet'!$B$14,Paramètres!$A$1:$I$89,5,0)</f>
        <v>-7.7147888077888636E-14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225.28075317732998</v>
      </c>
      <c r="DU43" s="59">
        <f t="shared" si="44"/>
        <v>358.43407531256207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1.8404421290876951</v>
      </c>
      <c r="EB43" s="21">
        <f>EXP(-LN(2)/25)*EB42+(1-EXP(-LN(2)/25))/(LN(2)/25)*Calculateur!DW43*Calculateur!DY43*VLOOKUP('Données projet'!$B$14,Paramètres!$A$1:$I$89,3,0)*0.475*44/12</f>
        <v>6.2690466745408999</v>
      </c>
      <c r="EC43" s="21">
        <f>EXP(-LN(2)/2)*EC42+(1-EXP(-LN(2)/2))/(LN(2)/2)*DW43*DZ43*VLOOKUP('Données projet'!$B$14,Paramètres!$A$1:$I$89,3,0)*0.475*44/12</f>
        <v>0.13793815984279761</v>
      </c>
      <c r="ED43" s="22">
        <f t="shared" si="18"/>
        <v>8.2474269634713924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9.8108974358974379</v>
      </c>
      <c r="EJ43" s="12">
        <f>IF('Données projet'!$A$192&gt;35,EJ42+EI43-ER42,IF(A43&lt;'Données projet'!$A$192,$EG$205^A43,IF(A43='Données projet'!$A$192,'Données projet'!$B$192,EJ42+EI43-ER42)))</f>
        <v>169.03846153846152</v>
      </c>
      <c r="EK43" s="17">
        <f>EJ43*VLOOKUP('Données projet'!$B$15,Paramètres!$A$1:$I$89,3,0)*VLOOKUP('Données projet'!$B$15,Paramètres!$A$1:$I$89,5,0)</f>
        <v>171.40499999999997</v>
      </c>
      <c r="EL43" s="13">
        <f t="shared" si="45"/>
        <v>43.404545950880426</v>
      </c>
      <c r="EM43" s="20">
        <f t="shared" si="19"/>
        <v>374.12662586444998</v>
      </c>
      <c r="EN43" s="59">
        <f t="shared" si="20"/>
        <v>667.45995919778329</v>
      </c>
      <c r="EO43" s="59">
        <f ca="1">AVERAGE(OFFSET($EN$3,0,0,'Données projet'!$E$15+1,1))-AVERAGE(OFFSET($H$3,0,0,'Données projet'!$E$15+1,1))</f>
        <v>363.98308691765931</v>
      </c>
      <c r="EP43" s="59">
        <f t="shared" si="46"/>
        <v>181.47089407988187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9.8108974358974379</v>
      </c>
      <c r="FE43" s="12">
        <f>IF('Données projet'!$A$218&gt;35,FE42+FD43-FM42,IF(A43&lt;'Données projet'!$A$218,$FB$205^A43,IF(A43='Données projet'!$A$218,'Données projet'!$B$218,FE42+FD43-FM42)))</f>
        <v>169.03846153846152</v>
      </c>
      <c r="FF43" s="17">
        <f>FE43*VLOOKUP('Données projet'!$B$16,Paramètres!$A$1:$I$89,3,0)*VLOOKUP('Données projet'!$B$16,Paramètres!$A$1:$I$89,5,0)</f>
        <v>181.95299999999997</v>
      </c>
      <c r="FG43" s="13">
        <f t="shared" si="47"/>
        <v>45.756419408366646</v>
      </c>
      <c r="FH43" s="20">
        <f t="shared" si="22"/>
        <v>396.59390546957184</v>
      </c>
      <c r="FI43" s="59">
        <f t="shared" si="23"/>
        <v>689.92723880290509</v>
      </c>
      <c r="FJ43" s="59">
        <f ca="1">AVERAGE(OFFSET($FI$3,0,0,'Données projet'!$E$16+1,1))-AVERAGE(OFFSET($H$3,0,0,'Données projet'!$E$16+1,1))</f>
        <v>395.30533160963489</v>
      </c>
      <c r="FK43" s="59">
        <f t="shared" si="48"/>
        <v>196.02102977695085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192</v>
      </c>
      <c r="FX43" s="12">
        <f>VLOOKUP(A43,'Données projet'!$A$243:$I$263,9,0)</f>
        <v>8.1</v>
      </c>
      <c r="FY43" s="12">
        <f t="array" ref="FY43">INDEX(FX:FX,MIN(IF(ISNUMBER(FX43:FX239),ROW(FX43:FX239),"")))</f>
        <v>8.1</v>
      </c>
      <c r="FZ43" s="12">
        <f>IF('Données projet'!$A$244&gt;35,FZ42+FY43-GH42,IF(A43&lt;'Données projet'!$A$244,$FW$205^A43,IF(A43='Données projet'!$A$244,'Données projet'!$B$244,FZ42+FY43-GH42)))</f>
        <v>191.99999999999986</v>
      </c>
      <c r="GA43" s="17">
        <f>FZ43*VLOOKUP('Données projet'!$B$17,Paramètres!$A$1:$I$89,3,0)*VLOOKUP('Données projet'!$B$17,Paramètres!$A$1:$I$89,5,0)</f>
        <v>200.67839999999984</v>
      </c>
      <c r="GB43" s="13">
        <f t="shared" si="49"/>
        <v>49.893230116477824</v>
      </c>
      <c r="GC43" s="20">
        <f t="shared" si="25"/>
        <v>436.41225578619856</v>
      </c>
      <c r="GD43" s="59">
        <f t="shared" si="26"/>
        <v>729.74558911953181</v>
      </c>
      <c r="GE43" s="59">
        <f ca="1">AVERAGE(OFFSET($GD$3,0,0,'Données projet'!$E$17+1,1))-AVERAGE(OFFSET($H$3,0,0,'Données projet'!$E$17+1,1))</f>
        <v>269.41185214595805</v>
      </c>
      <c r="GF43" s="59">
        <f t="shared" si="50"/>
        <v>299.70148160580993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47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5.2020188895125328</v>
      </c>
      <c r="GM43" s="21">
        <f>EXP(-LN(2)/25)*GM42+(1-EXP(-LN(2)/25))/(LN(2)/25)*Calculateur!GH43*Calculateur!GJ43*VLOOKUP('Données projet'!$B$17,Paramètres!$A$1:$I$89,3,0)*0.475*44/12</f>
        <v>12.295083601265121</v>
      </c>
      <c r="GN43" s="21">
        <f>EXP(-LN(2)/2)*GN42+(1-EXP(-LN(2)/2))/(LN(2)/2)*GH43*GK43*VLOOKUP('Données projet'!$B$17,Paramètres!$A$1:$I$89,3,0)*0.475*44/12</f>
        <v>0.59714589260429674</v>
      </c>
      <c r="GO43" s="21">
        <f t="shared" si="27"/>
        <v>18.094248383381949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220</v>
      </c>
      <c r="GS43" s="12">
        <f>VLOOKUP(A43,'Données projet'!$A$269:$I$289,9,0)</f>
        <v>10.199999999999999</v>
      </c>
      <c r="GT43" s="12">
        <f t="array" ref="GT43">INDEX(GS:GS,MIN(IF(ISNUMBER(GS43:GS239),ROW(GS43:GS239),"")))</f>
        <v>10.199999999999999</v>
      </c>
      <c r="GU43" s="12">
        <f>IF('Données projet'!$A$270&gt;35,GU42+GT43-HC42,IF(A43&lt;'Données projet'!$A$270,$GR$205^A43,IF(A43='Données projet'!$A$270,'Données projet'!$B$270,GU42+GT43-HC42)))</f>
        <v>219.99999999999986</v>
      </c>
      <c r="GV43" s="17">
        <f>GU43*VLOOKUP('Données projet'!$B$18,Paramètres!$A$1:$I$89,3,0)*VLOOKUP('Données projet'!$B$18,Paramètres!$A$1:$I$89,5,0)</f>
        <v>192.19199999999989</v>
      </c>
      <c r="GW43" s="13">
        <f t="shared" si="51"/>
        <v>48.024248921932397</v>
      </c>
      <c r="GX43" s="20">
        <f t="shared" si="28"/>
        <v>418.37663353903207</v>
      </c>
      <c r="GY43" s="59">
        <f t="shared" si="29"/>
        <v>711.70996687236538</v>
      </c>
      <c r="GZ43" s="59">
        <f ca="1">AVERAGE(OFFSET($GY$3,0,0,'Données projet'!$E$18+1,1))-AVERAGE(OFFSET($H$3,0,0,'Données projet'!$E$18+1,1))</f>
        <v>226.35975611953359</v>
      </c>
      <c r="HA43" s="59">
        <f t="shared" si="52"/>
        <v>271.65876694892461</v>
      </c>
      <c r="HB43" s="15">
        <f>IF(ISNA(VLOOKUP(A43,'Données projet'!$A$269:$I$289,3,0)),0,VLOOKUP(A43,'Données projet'!$A$269:$I$289,3,0))</f>
        <v>3</v>
      </c>
      <c r="HC43" s="15">
        <f>IF(ISNA(VLOOKUP(A43,'Données projet'!$A$269:$I$289,4,0)),0,VLOOKUP(A43,'Données projet'!$A$269:$I$289,4,0))</f>
        <v>56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8.5570623148289204</v>
      </c>
      <c r="HI43" s="21">
        <f>EXP(-LN(2)/2)*HI42+(1-EXP(-LN(2)/2))/(LN(2)/2)*HC43*HF43*VLOOKUP('Données projet'!$B$18,Paramètres!$A$1:$I$89,3,0)*0.475*44/12</f>
        <v>0.3692691605516738</v>
      </c>
      <c r="HJ43" s="22">
        <f t="shared" si="30"/>
        <v>8.9263314753805947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9.8108974358974379</v>
      </c>
      <c r="N44" s="13">
        <f>IF('Données projet'!$A$36&gt;35,N43+M44-V43,IF(A44&lt;'Données projet'!$A$36,$K$205^A44,IF(A44='Données projet'!$A$36,'Données projet'!$B$36,N43+M44-V43)))</f>
        <v>178.84935897435895</v>
      </c>
      <c r="O44" s="13">
        <f>N44*VLOOKUP('Données projet'!$B$9,Paramètres!$A$1:$I$89,3,0)*VLOOKUP('Données projet'!$B$9,Paramètres!$A$1:$I$89,5,0)</f>
        <v>161.82289999999998</v>
      </c>
      <c r="P44" s="13">
        <f t="shared" si="33"/>
        <v>41.253404106950768</v>
      </c>
      <c r="Q44" s="20">
        <f t="shared" si="53"/>
        <v>353.69122965293923</v>
      </c>
      <c r="R44" s="59">
        <f t="shared" si="0"/>
        <v>647.02456298627249</v>
      </c>
      <c r="S44" s="59">
        <f ca="1">AVERAGE(OFFSET($R$3,0,0,'Données projet'!$E$9+1,1))-AVERAGE(OFFSET($H$3,0,0,'Données projet'!$E$9+1,1))</f>
        <v>309.07357540707869</v>
      </c>
      <c r="T44" s="59">
        <f t="shared" si="34"/>
        <v>155.9593924683299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6.8</v>
      </c>
      <c r="AI44" s="13">
        <f>IF('Données projet'!$A$62&gt;35,AI43+AH44-AQ43,IF(A44&lt;'Données projet'!$A$62,$AF$205^A44,IF(A44='Données projet'!$A$62,'Données projet'!$B$62,AI43+AH44-AQ43)))</f>
        <v>151.79999999999987</v>
      </c>
      <c r="AJ44" s="13">
        <f>AI44*VLOOKUP('Données projet'!$B$10,Paramètres!$A$1:$I$89,3,0)*VLOOKUP('Données projet'!$B$10,Paramètres!$A$1:$I$89,5,0)</f>
        <v>132.61247999999992</v>
      </c>
      <c r="AK44" s="13">
        <f t="shared" si="35"/>
        <v>34.599325938965436</v>
      </c>
      <c r="AL44" s="20">
        <f t="shared" si="4"/>
        <v>291.22722867703129</v>
      </c>
      <c r="AM44" s="59">
        <f t="shared" si="5"/>
        <v>584.56056201036461</v>
      </c>
      <c r="AN44" s="59">
        <f ca="1">AVERAGE(OFFSET($AM$3,0,0,'Données projet'!$E$10+1,1))-AVERAGE(OFFSET($H$3,0,0,'Données projet'!$E$10+1,1))</f>
        <v>210.07838338464626</v>
      </c>
      <c r="AO44" s="59">
        <f t="shared" si="36"/>
        <v>241.76003724236273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4.2626953198867943</v>
      </c>
      <c r="AV44" s="21">
        <f>EXP(-LN(2)/25)*AV43+(1-EXP(-LN(2)/25))/(LN(2)/25)*Calculateur!AQ44*Calculateur!AS44*VLOOKUP('Données projet'!$B$10,Paramètres!$A$1:$I$89,3,0)*0.475*44/12</f>
        <v>9.9954766872032543</v>
      </c>
      <c r="AW44" s="21">
        <f>EXP(-LN(2)/2)*AW43+(1-EXP(-LN(2)/2))/(LN(2)/2)*AQ44*AT44*VLOOKUP('Données projet'!$B$10,Paramètres!$A$1:$I$89,3,0)*0.475*44/12</f>
        <v>0.35292195464207099</v>
      </c>
      <c r="AX44" s="21">
        <f t="shared" si="6"/>
        <v>14.61109396173212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9.9</v>
      </c>
      <c r="BD44" s="12">
        <f>IF('Données projet'!$A$88&gt;35,BD43+BC44-BL43,IF(A44&lt;'Données projet'!$A$88,$BA$205^A44,IF(A44='Données projet'!$A$88,'Données projet'!$B$88,BD43+BC44-BL43)))</f>
        <v>212.89999999999998</v>
      </c>
      <c r="BE44" s="13">
        <f>BD44*VLOOKUP('Données projet'!$B$11,Paramètres!$A$1:$I$89,3,0)*VLOOKUP('Données projet'!$B$11,Paramètres!$A$1:$I$89,5,0)</f>
        <v>116.24339999999999</v>
      </c>
      <c r="BF44" s="13">
        <f t="shared" si="37"/>
        <v>30.79721879349761</v>
      </c>
      <c r="BG44" s="20">
        <f t="shared" si="7"/>
        <v>256.09574439867498</v>
      </c>
      <c r="BH44" s="59">
        <f t="shared" si="8"/>
        <v>549.4290777320083</v>
      </c>
      <c r="BI44" s="59">
        <f ca="1">AVERAGE(OFFSET($BH$3,0,0,'Données projet'!$E$11+1,1))-AVERAGE(OFFSET($H$3,0,0,'Données projet'!$E$11+1,1))</f>
        <v>168.72306536277267</v>
      </c>
      <c r="BJ44" s="59">
        <f t="shared" si="38"/>
        <v>203.35476578922339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2.4465881185947138</v>
      </c>
      <c r="BQ44" s="21">
        <f>EXP(-LN(2)/25)*BQ43+(1-EXP(-LN(2)/25))/(LN(2)/25)*Calculateur!BL44*Calculateur!BN44*VLOOKUP('Données projet'!$B$11,Paramètres!$A$1:$I$89,3,0)*0.475*44/12</f>
        <v>16.943054862306255</v>
      </c>
      <c r="BR44" s="21">
        <f>EXP(-LN(2)/2)*BR43+(1-EXP(-LN(2)/2))/(LN(2)/2)*BL44*BO44*VLOOKUP('Données projet'!$B$11,Paramètres!$A$1:$I$89,3,0)*0.475*44/12</f>
        <v>0.4424686791224578</v>
      </c>
      <c r="BS44" s="22">
        <f t="shared" si="9"/>
        <v>19.832111660023429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16.131410256410259</v>
      </c>
      <c r="BY44" s="12">
        <f>IF('Données projet'!$A$114&gt;35,BY43+BX44-CG43,IF(A44&lt;'Données projet'!$A$114,$BV$205^A44,IF(A44='Données projet'!$A$114,'Données projet'!$B$114,BY43+BX44-CG43)))</f>
        <v>394.23782051282063</v>
      </c>
      <c r="BZ44" s="13">
        <f>BY44*VLOOKUP('Données projet'!$B$12,Paramètres!$A$1:$I$89,3,0)*VLOOKUP('Données projet'!$B$12,Paramètres!$A$1:$I$89,5,0)</f>
        <v>184.50330000000005</v>
      </c>
      <c r="CA44" s="13">
        <f t="shared" si="39"/>
        <v>46.32264201774467</v>
      </c>
      <c r="CB44" s="20">
        <f t="shared" si="10"/>
        <v>402.02184901423874</v>
      </c>
      <c r="CC44" s="59">
        <f t="shared" si="11"/>
        <v>695.35518234757205</v>
      </c>
      <c r="CD44" s="59">
        <f ca="1">AVERAGE(OFFSET($CC$3,0,0,'Données projet'!$E$12+1,1))-AVERAGE(OFFSET($H$3,0,0,'Données projet'!$E$12+1,1))</f>
        <v>158.58786357608489</v>
      </c>
      <c r="CE44" s="59">
        <f t="shared" si="40"/>
        <v>163.20074068819849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7.7</v>
      </c>
      <c r="CT44" s="12">
        <f>IF('Données projet'!$A$140&gt;35,CT43+CS44-DB43,IF(A44&lt;'Données projet'!$A$140,$CQ$205^A44,IF(A44='Données projet'!$A$140,'Données projet'!$B$140,CT43+CS44-DB43)))</f>
        <v>171.69999999999985</v>
      </c>
      <c r="CU44" s="17">
        <f>CT44*VLOOKUP('Données projet'!$B$13,Paramètres!$A$1:$I$89,3,0)*VLOOKUP('Données projet'!$B$13,Paramètres!$A$1:$I$89,5,0)</f>
        <v>125.89043999999988</v>
      </c>
      <c r="CV44" s="13">
        <f t="shared" si="41"/>
        <v>33.044992683692321</v>
      </c>
      <c r="CW44" s="20">
        <f t="shared" si="13"/>
        <v>276.8125452574306</v>
      </c>
      <c r="CX44" s="59">
        <f t="shared" si="14"/>
        <v>570.14587859076391</v>
      </c>
      <c r="CY44" s="59">
        <f ca="1">AVERAGE(OFFSET($CX$3,0,0,'Données projet'!$E$13+1,1))-AVERAGE(OFFSET($H$3,0,0,'Données projet'!$E$13+1,1))</f>
        <v>178.12968684094687</v>
      </c>
      <c r="CZ44" s="59">
        <f t="shared" si="42"/>
        <v>219.36004077210373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5.6674266983085069</v>
      </c>
      <c r="DH44" s="21">
        <f>EXP(-LN(2)/2)*DH43+(1-EXP(-LN(2)/2))/(LN(2)/2)*DB44*DE44*VLOOKUP('Données projet'!$B$13,Paramètres!$A$1:$I$89,3,0)*0.475*44/12</f>
        <v>0.21914818201661018</v>
      </c>
      <c r="DI44" s="22">
        <f t="shared" si="15"/>
        <v>5.8865748803251172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-8.5265128291212022E-14</v>
      </c>
      <c r="DP44" s="17">
        <f>DO44*VLOOKUP('Données projet'!$B$14,Paramètres!$A$1:$I$89,3,0)*VLOOKUP('Données projet'!$B$14,Paramètres!$A$1:$I$89,5,0)</f>
        <v>-7.7147888077888636E-14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225.28075317732998</v>
      </c>
      <c r="DU44" s="59">
        <f t="shared" si="44"/>
        <v>358.43407531256207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1.8043521814951407</v>
      </c>
      <c r="EB44" s="21">
        <f>EXP(-LN(2)/25)*EB43+(1-EXP(-LN(2)/25))/(LN(2)/25)*Calculateur!DW44*Calculateur!DY44*VLOOKUP('Données projet'!$B$14,Paramètres!$A$1:$I$89,3,0)*0.475*44/12</f>
        <v>6.0976192635507429</v>
      </c>
      <c r="EC44" s="21">
        <f>EXP(-LN(2)/2)*EC43+(1-EXP(-LN(2)/2))/(LN(2)/2)*DW44*DZ44*VLOOKUP('Données projet'!$B$14,Paramètres!$A$1:$I$89,3,0)*0.475*44/12</f>
        <v>9.7537008209236109E-2</v>
      </c>
      <c r="ED44" s="22">
        <f t="shared" si="18"/>
        <v>7.9995084532551193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9.8108974358974379</v>
      </c>
      <c r="EJ44" s="12">
        <f>IF('Données projet'!$A$192&gt;35,EJ43+EI44-ER43,IF(A44&lt;'Données projet'!$A$192,$EG$205^A44,IF(A44='Données projet'!$A$192,'Données projet'!$B$192,EJ43+EI44-ER43)))</f>
        <v>178.84935897435895</v>
      </c>
      <c r="EK44" s="17">
        <f>EJ44*VLOOKUP('Données projet'!$B$15,Paramètres!$A$1:$I$89,3,0)*VLOOKUP('Données projet'!$B$15,Paramètres!$A$1:$I$89,5,0)</f>
        <v>181.35324999999997</v>
      </c>
      <c r="EL44" s="13">
        <f t="shared" si="45"/>
        <v>45.623127991683525</v>
      </c>
      <c r="EM44" s="20">
        <f t="shared" si="19"/>
        <v>395.31719166884869</v>
      </c>
      <c r="EN44" s="59">
        <f t="shared" si="20"/>
        <v>688.65052500218201</v>
      </c>
      <c r="EO44" s="59">
        <f ca="1">AVERAGE(OFFSET($EN$3,0,0,'Données projet'!$E$15+1,1))-AVERAGE(OFFSET($H$3,0,0,'Données projet'!$E$15+1,1))</f>
        <v>363.98308691765931</v>
      </c>
      <c r="EP44" s="59">
        <f t="shared" si="46"/>
        <v>181.47089407988187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9.8108974358974379</v>
      </c>
      <c r="FE44" s="12">
        <f>IF('Données projet'!$A$218&gt;35,FE43+FD44-FM43,IF(A44&lt;'Données projet'!$A$218,$FB$205^A44,IF(A44='Données projet'!$A$218,'Données projet'!$B$218,FE43+FD44-FM43)))</f>
        <v>178.84935897435895</v>
      </c>
      <c r="FF44" s="17">
        <f>FE44*VLOOKUP('Données projet'!$B$16,Paramètres!$A$1:$I$89,3,0)*VLOOKUP('Données projet'!$B$16,Paramètres!$A$1:$I$89,5,0)</f>
        <v>192.51344999999998</v>
      </c>
      <c r="FG44" s="13">
        <f t="shared" si="47"/>
        <v>48.095215221730051</v>
      </c>
      <c r="FH44" s="20">
        <f t="shared" si="22"/>
        <v>419.06009192784649</v>
      </c>
      <c r="FI44" s="59">
        <f t="shared" si="23"/>
        <v>712.3934252611798</v>
      </c>
      <c r="FJ44" s="59">
        <f ca="1">AVERAGE(OFFSET($FI$3,0,0,'Données projet'!$E$16+1,1))-AVERAGE(OFFSET($H$3,0,0,'Données projet'!$E$16+1,1))</f>
        <v>395.30533160963489</v>
      </c>
      <c r="FK44" s="59">
        <f t="shared" si="48"/>
        <v>196.02102977695085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6.8</v>
      </c>
      <c r="FZ44" s="12">
        <f>IF('Données projet'!$A$244&gt;35,FZ43+FY44-GH43,IF(A44&lt;'Données projet'!$A$244,$FW$205^A44,IF(A44='Données projet'!$A$244,'Données projet'!$B$244,FZ43+FY44-GH43)))</f>
        <v>151.79999999999987</v>
      </c>
      <c r="GA44" s="17">
        <f>FZ44*VLOOKUP('Données projet'!$B$17,Paramètres!$A$1:$I$89,3,0)*VLOOKUP('Données projet'!$B$17,Paramètres!$A$1:$I$89,5,0)</f>
        <v>158.66135999999989</v>
      </c>
      <c r="GB44" s="13">
        <f t="shared" si="49"/>
        <v>40.540433937518138</v>
      </c>
      <c r="GC44" s="20">
        <f t="shared" si="25"/>
        <v>346.94312444117719</v>
      </c>
      <c r="GD44" s="59">
        <f t="shared" si="26"/>
        <v>640.2764577745105</v>
      </c>
      <c r="GE44" s="59">
        <f ca="1">AVERAGE(OFFSET($GD$3,0,0,'Données projet'!$E$17+1,1))-AVERAGE(OFFSET($H$3,0,0,'Données projet'!$E$17+1,1))</f>
        <v>269.41185214595805</v>
      </c>
      <c r="GF44" s="59">
        <f t="shared" si="50"/>
        <v>299.70148160580993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5.1000104720074146</v>
      </c>
      <c r="GM44" s="21">
        <f>EXP(-LN(2)/25)*GM43+(1-EXP(-LN(2)/25))/(LN(2)/25)*Calculateur!GH44*Calculateur!GJ44*VLOOKUP('Données projet'!$B$17,Paramètres!$A$1:$I$89,3,0)*0.475*44/12</f>
        <v>11.958873893618181</v>
      </c>
      <c r="GN44" s="21">
        <f>EXP(-LN(2)/2)*GN43+(1-EXP(-LN(2)/2))/(LN(2)/2)*GH44*GK44*VLOOKUP('Données projet'!$B$17,Paramètres!$A$1:$I$89,3,0)*0.475*44/12</f>
        <v>0.42224591001819206</v>
      </c>
      <c r="GO44" s="21">
        <f t="shared" si="27"/>
        <v>17.481130275643785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7.7</v>
      </c>
      <c r="GU44" s="12">
        <f>IF('Données projet'!$A$270&gt;35,GU43+GT44-HC43,IF(A44&lt;'Données projet'!$A$270,$GR$205^A44,IF(A44='Données projet'!$A$270,'Données projet'!$B$270,GU43+GT44-HC43)))</f>
        <v>171.69999999999985</v>
      </c>
      <c r="GV44" s="17">
        <f>GU44*VLOOKUP('Données projet'!$B$18,Paramètres!$A$1:$I$89,3,0)*VLOOKUP('Données projet'!$B$18,Paramètres!$A$1:$I$89,5,0)</f>
        <v>149.99711999999991</v>
      </c>
      <c r="GW44" s="13">
        <f t="shared" si="51"/>
        <v>38.577931129787821</v>
      </c>
      <c r="GX44" s="20">
        <f t="shared" si="28"/>
        <v>328.43488071771361</v>
      </c>
      <c r="GY44" s="59">
        <f t="shared" si="29"/>
        <v>621.76821405104693</v>
      </c>
      <c r="GZ44" s="59">
        <f ca="1">AVERAGE(OFFSET($GY$3,0,0,'Données projet'!$E$18+1,1))-AVERAGE(OFFSET($H$3,0,0,'Données projet'!$E$18+1,1))</f>
        <v>226.35975611953359</v>
      </c>
      <c r="HA44" s="59">
        <f t="shared" si="52"/>
        <v>271.65876694892461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8.3230689958335731</v>
      </c>
      <c r="HI44" s="21">
        <f>EXP(-LN(2)/2)*HI43+(1-EXP(-LN(2)/2))/(LN(2)/2)*HC44*HF44*VLOOKUP('Données projet'!$B$18,Paramètres!$A$1:$I$89,3,0)*0.475*44/12</f>
        <v>0.26111272750915249</v>
      </c>
      <c r="HJ44" s="22">
        <f t="shared" si="30"/>
        <v>8.5841817233427253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188.66025641025641</v>
      </c>
      <c r="L45" s="12">
        <f>VLOOKUP(A45,'Données projet'!$A$35:$I$55,9,0)</f>
        <v>9.8108974358974379</v>
      </c>
      <c r="M45" s="12">
        <f t="array" ref="M45">INDEX(L:L,MIN(IF(ISNUMBER(L45:L241),ROW(L45:L241),"")))</f>
        <v>9.8108974358974379</v>
      </c>
      <c r="N45" s="13">
        <f>IF('Données projet'!$A$36&gt;35,N44+M45-V44,IF(A45&lt;'Données projet'!$A$36,$K$205^A45,IF(A45='Données projet'!$A$36,'Données projet'!$B$36,N44+M45-V44)))</f>
        <v>188.66025641025638</v>
      </c>
      <c r="O45" s="13">
        <f>N45*VLOOKUP('Données projet'!$B$9,Paramètres!$A$1:$I$89,3,0)*VLOOKUP('Données projet'!$B$9,Paramètres!$A$1:$I$89,5,0)</f>
        <v>170.69979999999998</v>
      </c>
      <c r="P45" s="13">
        <f t="shared" si="33"/>
        <v>43.246718013796333</v>
      </c>
      <c r="Q45" s="20">
        <f t="shared" si="53"/>
        <v>372.62351887402855</v>
      </c>
      <c r="R45" s="59">
        <f t="shared" si="0"/>
        <v>665.95685220736186</v>
      </c>
      <c r="S45" s="59">
        <f ca="1">AVERAGE(OFFSET($R$3,0,0,'Données projet'!$E$9+1,1))-AVERAGE(OFFSET($H$3,0,0,'Données projet'!$E$9+1,1))</f>
        <v>309.07357540707869</v>
      </c>
      <c r="T45" s="59">
        <f t="shared" si="34"/>
        <v>155.9593924683299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45.198717948717949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6.8</v>
      </c>
      <c r="AI45" s="13">
        <f>IF('Données projet'!$A$62&gt;35,AI44+AH45-AQ44,IF(A45&lt;'Données projet'!$A$62,$AF$205^A45,IF(A45='Données projet'!$A$62,'Données projet'!$B$62,AI44+AH45-AQ44)))</f>
        <v>158.59999999999988</v>
      </c>
      <c r="AJ45" s="13">
        <f>AI45*VLOOKUP('Données projet'!$B$10,Paramètres!$A$1:$I$89,3,0)*VLOOKUP('Données projet'!$B$10,Paramètres!$A$1:$I$89,5,0)</f>
        <v>138.55295999999993</v>
      </c>
      <c r="AK45" s="13">
        <f t="shared" si="35"/>
        <v>35.965308766301767</v>
      </c>
      <c r="AL45" s="20">
        <f t="shared" si="4"/>
        <v>303.95265143464206</v>
      </c>
      <c r="AM45" s="59">
        <f t="shared" si="5"/>
        <v>597.28598476797538</v>
      </c>
      <c r="AN45" s="59">
        <f ca="1">AVERAGE(OFFSET($AM$3,0,0,'Données projet'!$E$10+1,1))-AVERAGE(OFFSET($H$3,0,0,'Données projet'!$E$10+1,1))</f>
        <v>210.07838338464626</v>
      </c>
      <c r="AO45" s="59">
        <f t="shared" si="36"/>
        <v>241.76003724236273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4.1791064646512321</v>
      </c>
      <c r="AV45" s="21">
        <f>EXP(-LN(2)/25)*AV44+(1-EXP(-LN(2)/25))/(LN(2)/25)*Calculateur!AQ45*Calculateur!AS45*VLOOKUP('Données projet'!$B$10,Paramètres!$A$1:$I$89,3,0)*0.475*44/12</f>
        <v>9.7221498515524072</v>
      </c>
      <c r="AW45" s="21">
        <f>EXP(-LN(2)/2)*AW44+(1-EXP(-LN(2)/2))/(LN(2)/2)*AQ45*AT45*VLOOKUP('Données projet'!$B$10,Paramètres!$A$1:$I$89,3,0)*0.475*44/12</f>
        <v>0.24955350735701956</v>
      </c>
      <c r="AX45" s="21">
        <f t="shared" si="6"/>
        <v>14.150809823560659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9.9</v>
      </c>
      <c r="BD45" s="12">
        <f>IF('Données projet'!$A$88&gt;35,BD44+BC45-BL44,IF(A45&lt;'Données projet'!$A$88,$BA$205^A45,IF(A45='Données projet'!$A$88,'Données projet'!$B$88,BD44+BC45-BL44)))</f>
        <v>222.79999999999998</v>
      </c>
      <c r="BE45" s="13">
        <f>BD45*VLOOKUP('Données projet'!$B$11,Paramètres!$A$1:$I$89,3,0)*VLOOKUP('Données projet'!$B$11,Paramètres!$A$1:$I$89,5,0)</f>
        <v>121.64879999999999</v>
      </c>
      <c r="BF45" s="13">
        <f t="shared" si="37"/>
        <v>32.059248862040441</v>
      </c>
      <c r="BG45" s="20">
        <f t="shared" si="7"/>
        <v>267.70818510138707</v>
      </c>
      <c r="BH45" s="59">
        <f t="shared" si="8"/>
        <v>561.04151843472039</v>
      </c>
      <c r="BI45" s="59">
        <f ca="1">AVERAGE(OFFSET($BH$3,0,0,'Données projet'!$E$11+1,1))-AVERAGE(OFFSET($H$3,0,0,'Données projet'!$E$11+1,1))</f>
        <v>168.72306536277267</v>
      </c>
      <c r="BJ45" s="59">
        <f t="shared" si="38"/>
        <v>203.35476578922339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2.3986120178604744</v>
      </c>
      <c r="BQ45" s="21">
        <f>EXP(-LN(2)/25)*BQ44+(1-EXP(-LN(2)/25))/(LN(2)/25)*Calculateur!BL45*Calculateur!BN45*VLOOKUP('Données projet'!$B$11,Paramètres!$A$1:$I$89,3,0)*0.475*44/12</f>
        <v>16.479746136099958</v>
      </c>
      <c r="BR45" s="21">
        <f>EXP(-LN(2)/2)*BR44+(1-EXP(-LN(2)/2))/(LN(2)/2)*BL45*BO45*VLOOKUP('Données projet'!$B$11,Paramètres!$A$1:$I$89,3,0)*0.475*44/12</f>
        <v>0.31287260347014451</v>
      </c>
      <c r="BS45" s="22">
        <f t="shared" si="9"/>
        <v>19.191230757430578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410.3692307692308</v>
      </c>
      <c r="BW45" s="12">
        <f>VLOOKUP(A45,'Données projet'!$A$113:$I$133,9,0)</f>
        <v>16.131410256410259</v>
      </c>
      <c r="BX45" s="12">
        <f t="array" ref="BX45">INDEX(BW:BW,MIN(IF(ISNUMBER(BW45:BW241),ROW(BW45:BW241),"")))</f>
        <v>16.131410256410259</v>
      </c>
      <c r="BY45" s="12">
        <f>IF('Données projet'!$A$114&gt;35,BY44+BX45-CG44,IF(A45&lt;'Données projet'!$A$114,$BV$205^A45,IF(A45='Données projet'!$A$114,'Données projet'!$B$114,BY44+BX45-CG44)))</f>
        <v>410.36923076923091</v>
      </c>
      <c r="BZ45" s="13">
        <f>BY45*VLOOKUP('Données projet'!$B$12,Paramètres!$A$1:$I$89,3,0)*VLOOKUP('Données projet'!$B$12,Paramètres!$A$1:$I$89,5,0)</f>
        <v>192.05280000000008</v>
      </c>
      <c r="CA45" s="13">
        <f t="shared" si="39"/>
        <v>47.993513546032311</v>
      </c>
      <c r="CB45" s="20">
        <f t="shared" si="10"/>
        <v>418.08066275933976</v>
      </c>
      <c r="CC45" s="59">
        <f t="shared" si="11"/>
        <v>711.41399609267307</v>
      </c>
      <c r="CD45" s="59">
        <f ca="1">AVERAGE(OFFSET($CC$3,0,0,'Données projet'!$E$12+1,1))-AVERAGE(OFFSET($H$3,0,0,'Données projet'!$E$12+1,1))</f>
        <v>158.58786357608489</v>
      </c>
      <c r="CE45" s="59">
        <f t="shared" si="40"/>
        <v>163.20074068819849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179.84615384615384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7.7</v>
      </c>
      <c r="CT45" s="12">
        <f>IF('Données projet'!$A$140&gt;35,CT44+CS45-DB44,IF(A45&lt;'Données projet'!$A$140,$CQ$205^A45,IF(A45='Données projet'!$A$140,'Données projet'!$B$140,CT44+CS45-DB44)))</f>
        <v>179.39999999999984</v>
      </c>
      <c r="CU45" s="17">
        <f>CT45*VLOOKUP('Données projet'!$B$13,Paramètres!$A$1:$I$89,3,0)*VLOOKUP('Données projet'!$B$13,Paramètres!$A$1:$I$89,5,0)</f>
        <v>131.53607999999986</v>
      </c>
      <c r="CV45" s="13">
        <f t="shared" si="41"/>
        <v>34.35105929540083</v>
      </c>
      <c r="CW45" s="20">
        <f t="shared" si="13"/>
        <v>288.92010093948954</v>
      </c>
      <c r="CX45" s="59">
        <f t="shared" si="14"/>
        <v>582.25343427282291</v>
      </c>
      <c r="CY45" s="59">
        <f ca="1">AVERAGE(OFFSET($CX$3,0,0,'Données projet'!$E$13+1,1))-AVERAGE(OFFSET($H$3,0,0,'Données projet'!$E$13+1,1))</f>
        <v>178.12968684094687</v>
      </c>
      <c r="CZ45" s="59">
        <f t="shared" si="42"/>
        <v>219.36004077210373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5.5124506172062437</v>
      </c>
      <c r="DH45" s="21">
        <f>EXP(-LN(2)/2)*DH44+(1-EXP(-LN(2)/2))/(LN(2)/2)*DB45*DE45*VLOOKUP('Données projet'!$B$13,Paramètres!$A$1:$I$89,3,0)*0.475*44/12</f>
        <v>0.15496116558864886</v>
      </c>
      <c r="DI45" s="22">
        <f t="shared" si="15"/>
        <v>5.6674117827948924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-8.5265128291212022E-14</v>
      </c>
      <c r="DP45" s="17">
        <f>DO45*VLOOKUP('Données projet'!$B$14,Paramètres!$A$1:$I$89,3,0)*VLOOKUP('Données projet'!$B$14,Paramètres!$A$1:$I$89,5,0)</f>
        <v>-7.7147888077888636E-14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225.28075317732998</v>
      </c>
      <c r="DU45" s="59">
        <f t="shared" si="44"/>
        <v>358.43407531256207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1.7689699357621818</v>
      </c>
      <c r="EB45" s="21">
        <f>EXP(-LN(2)/25)*EB44+(1-EXP(-LN(2)/25))/(LN(2)/25)*Calculateur!DW45*Calculateur!DY45*VLOOKUP('Données projet'!$B$14,Paramètres!$A$1:$I$89,3,0)*0.475*44/12</f>
        <v>5.9308795441290867</v>
      </c>
      <c r="EC45" s="21">
        <f>EXP(-LN(2)/2)*EC44+(1-EXP(-LN(2)/2))/(LN(2)/2)*DW45*DZ45*VLOOKUP('Données projet'!$B$14,Paramètres!$A$1:$I$89,3,0)*0.475*44/12</f>
        <v>6.8969079921398807E-2</v>
      </c>
      <c r="ED45" s="22">
        <f t="shared" si="18"/>
        <v>7.7688185598126669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188.66025641025641</v>
      </c>
      <c r="EH45" s="12">
        <f>VLOOKUP(A45,'Données projet'!$A$191:$I$211,9,0)</f>
        <v>9.8108974358974379</v>
      </c>
      <c r="EI45" s="12">
        <f t="array" ref="EI45">INDEX(EH:EH,MIN(IF(ISNUMBER(EH45:EH241),ROW(EH45:EH241),"")))</f>
        <v>9.8108974358974379</v>
      </c>
      <c r="EJ45" s="12">
        <f>IF('Données projet'!$A$192&gt;35,EJ44+EI45-ER44,IF(A45&lt;'Données projet'!$A$192,$EG$205^A45,IF(A45='Données projet'!$A$192,'Données projet'!$B$192,EJ44+EI45-ER44)))</f>
        <v>188.66025641025638</v>
      </c>
      <c r="EK45" s="17">
        <f>EJ45*VLOOKUP('Données projet'!$B$15,Paramètres!$A$1:$I$89,3,0)*VLOOKUP('Données projet'!$B$15,Paramètres!$A$1:$I$89,5,0)</f>
        <v>191.30149999999998</v>
      </c>
      <c r="EL45" s="13">
        <f t="shared" si="45"/>
        <v>47.827581599047697</v>
      </c>
      <c r="EM45" s="20">
        <f t="shared" si="19"/>
        <v>416.48315045167465</v>
      </c>
      <c r="EN45" s="59">
        <f t="shared" si="20"/>
        <v>709.8164837850079</v>
      </c>
      <c r="EO45" s="59">
        <f ca="1">AVERAGE(OFFSET($EN$3,0,0,'Données projet'!$E$15+1,1))-AVERAGE(OFFSET($H$3,0,0,'Données projet'!$E$15+1,1))</f>
        <v>363.98308691765931</v>
      </c>
      <c r="EP45" s="59">
        <f t="shared" si="46"/>
        <v>181.47089407988187</v>
      </c>
      <c r="EQ45" s="15">
        <f>IF(ISNA(VLOOKUP(A45,'Données projet'!$A$191:$I$211,3,0)),0,VLOOKUP(A45,'Données projet'!$A$191:$I$211,3,0))</f>
        <v>2</v>
      </c>
      <c r="ER45" s="15">
        <f>IF(ISNA(VLOOKUP(A45,'Données projet'!$A$191:$I$211,4,0)),0,VLOOKUP(A45,'Données projet'!$A$191:$I$211,4,0))</f>
        <v>45.198717948717949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188.66025641025641</v>
      </c>
      <c r="FC45" s="12">
        <f>VLOOKUP(A45,'Données projet'!$A$217:$I$237,9,0)</f>
        <v>9.8108974358974379</v>
      </c>
      <c r="FD45" s="12">
        <f t="array" ref="FD45">INDEX(FC:FC,MIN(IF(ISNUMBER(FC45:FC241),ROW(FC45:FC241),"")))</f>
        <v>9.8108974358974379</v>
      </c>
      <c r="FE45" s="12">
        <f>IF('Données projet'!$A$218&gt;35,FE44+FD45-FM44,IF(A45&lt;'Données projet'!$A$218,$FB$205^A45,IF(A45='Données projet'!$A$218,'Données projet'!$B$218,FE44+FD45-FM44)))</f>
        <v>188.66025641025638</v>
      </c>
      <c r="FF45" s="17">
        <f>FE45*VLOOKUP('Données projet'!$B$16,Paramètres!$A$1:$I$89,3,0)*VLOOKUP('Données projet'!$B$16,Paramètres!$A$1:$I$89,5,0)</f>
        <v>203.07389999999998</v>
      </c>
      <c r="FG45" s="13">
        <f t="shared" si="47"/>
        <v>50.419117053095526</v>
      </c>
      <c r="FH45" s="20">
        <f t="shared" si="22"/>
        <v>441.50033803414135</v>
      </c>
      <c r="FI45" s="59">
        <f t="shared" si="23"/>
        <v>734.83367136747461</v>
      </c>
      <c r="FJ45" s="59">
        <f ca="1">AVERAGE(OFFSET($FI$3,0,0,'Données projet'!$E$16+1,1))-AVERAGE(OFFSET($H$3,0,0,'Données projet'!$E$16+1,1))</f>
        <v>395.30533160963489</v>
      </c>
      <c r="FK45" s="59">
        <f t="shared" si="48"/>
        <v>196.02102977695085</v>
      </c>
      <c r="FL45" s="15">
        <f>IF(ISNA(VLOOKUP(A45,'Données projet'!$A$217:$I$237,3,0)),0,VLOOKUP(A45,'Données projet'!$A$217:$I$237,3,0))</f>
        <v>2</v>
      </c>
      <c r="FM45" s="15">
        <f>IF(ISNA(VLOOKUP(A45,'Données projet'!$A$217:$I$237,4,0)),0,VLOOKUP(A45,'Données projet'!$A$217:$I$237,4,0))</f>
        <v>45.198717948717949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6.8</v>
      </c>
      <c r="FZ45" s="12">
        <f>IF('Données projet'!$A$244&gt;35,FZ44+FY45-GH44,IF(A45&lt;'Données projet'!$A$244,$FW$205^A45,IF(A45='Données projet'!$A$244,'Données projet'!$B$244,FZ44+FY45-GH44)))</f>
        <v>158.59999999999988</v>
      </c>
      <c r="GA45" s="17">
        <f>FZ45*VLOOKUP('Données projet'!$B$17,Paramètres!$A$1:$I$89,3,0)*VLOOKUP('Données projet'!$B$17,Paramètres!$A$1:$I$89,5,0)</f>
        <v>165.76871999999989</v>
      </c>
      <c r="GB45" s="13">
        <f t="shared" si="49"/>
        <v>42.140971955776052</v>
      </c>
      <c r="GC45" s="20">
        <f t="shared" si="25"/>
        <v>362.10938015630978</v>
      </c>
      <c r="GD45" s="59">
        <f t="shared" si="26"/>
        <v>655.4427134896431</v>
      </c>
      <c r="GE45" s="59">
        <f ca="1">AVERAGE(OFFSET($GD$3,0,0,'Données projet'!$E$17+1,1))-AVERAGE(OFFSET($H$3,0,0,'Données projet'!$E$17+1,1))</f>
        <v>269.41185214595805</v>
      </c>
      <c r="GF45" s="59">
        <f t="shared" si="50"/>
        <v>299.70148160580993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5.0000023773505813</v>
      </c>
      <c r="GM45" s="21">
        <f>EXP(-LN(2)/25)*GM44+(1-EXP(-LN(2)/25))/(LN(2)/25)*Calculateur!GH45*Calculateur!GJ45*VLOOKUP('Données projet'!$B$17,Paramètres!$A$1:$I$89,3,0)*0.475*44/12</f>
        <v>11.631857858107345</v>
      </c>
      <c r="GN45" s="21">
        <f>EXP(-LN(2)/2)*GN44+(1-EXP(-LN(2)/2))/(LN(2)/2)*GH45*GK45*VLOOKUP('Données projet'!$B$17,Paramètres!$A$1:$I$89,3,0)*0.475*44/12</f>
        <v>0.29857294630214837</v>
      </c>
      <c r="GO45" s="21">
        <f t="shared" si="27"/>
        <v>16.930433181760076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7.7</v>
      </c>
      <c r="GU45" s="12">
        <f>IF('Données projet'!$A$270&gt;35,GU44+GT45-HC44,IF(A45&lt;'Données projet'!$A$270,$GR$205^A45,IF(A45='Données projet'!$A$270,'Données projet'!$B$270,GU44+GT45-HC44)))</f>
        <v>179.39999999999984</v>
      </c>
      <c r="GV45" s="17">
        <f>GU45*VLOOKUP('Données projet'!$B$18,Paramètres!$A$1:$I$89,3,0)*VLOOKUP('Données projet'!$B$18,Paramètres!$A$1:$I$89,5,0)</f>
        <v>156.72383999999988</v>
      </c>
      <c r="GW45" s="13">
        <f t="shared" si="51"/>
        <v>40.102680984620484</v>
      </c>
      <c r="GX45" s="20">
        <f t="shared" si="28"/>
        <v>342.80619071488053</v>
      </c>
      <c r="GY45" s="59">
        <f t="shared" si="29"/>
        <v>636.13952404821384</v>
      </c>
      <c r="GZ45" s="59">
        <f ca="1">AVERAGE(OFFSET($GY$3,0,0,'Données projet'!$E$18+1,1))-AVERAGE(OFFSET($H$3,0,0,'Données projet'!$E$18+1,1))</f>
        <v>226.35975611953359</v>
      </c>
      <c r="HA45" s="59">
        <f t="shared" si="52"/>
        <v>271.65876694892461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8.095474236451329</v>
      </c>
      <c r="HI45" s="21">
        <f>EXP(-LN(2)/2)*HI44+(1-EXP(-LN(2)/2))/(LN(2)/2)*HC45*HF45*VLOOKUP('Données projet'!$B$18,Paramètres!$A$1:$I$89,3,0)*0.475*44/12</f>
        <v>0.1846345802758369</v>
      </c>
      <c r="HJ45" s="22">
        <f t="shared" si="30"/>
        <v>8.2801088167271661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9.9423076923076934</v>
      </c>
      <c r="N46" s="13">
        <f>IF('Données projet'!$A$36&gt;35,N45+M46-V45,IF(A46&lt;'Données projet'!$A$36,$K$205^A46,IF(A46='Données projet'!$A$36,'Données projet'!$B$36,N45+M46-V45)))</f>
        <v>153.40384615384613</v>
      </c>
      <c r="O46" s="13">
        <f>N46*VLOOKUP('Données projet'!$B$9,Paramètres!$A$1:$I$89,3,0)*VLOOKUP('Données projet'!$B$9,Paramètres!$A$1:$I$89,5,0)</f>
        <v>138.79979999999998</v>
      </c>
      <c r="P46" s="13">
        <f t="shared" si="33"/>
        <v>36.021918906010839</v>
      </c>
      <c r="Q46" s="20">
        <f t="shared" si="53"/>
        <v>304.4811604279688</v>
      </c>
      <c r="R46" s="59">
        <f t="shared" si="0"/>
        <v>597.81449376130217</v>
      </c>
      <c r="S46" s="59">
        <f ca="1">AVERAGE(OFFSET($R$3,0,0,'Données projet'!$E$9+1,1))-AVERAGE(OFFSET($H$3,0,0,'Données projet'!$E$9+1,1))</f>
        <v>309.07357540707869</v>
      </c>
      <c r="T46" s="59">
        <f t="shared" si="34"/>
        <v>155.9593924683299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6.8</v>
      </c>
      <c r="AI46" s="13">
        <f>IF('Données projet'!$A$62&gt;35,AI45+AH46-AQ45,IF(A46&lt;'Données projet'!$A$62,$AF$205^A46,IF(A46='Données projet'!$A$62,'Données projet'!$B$62,AI45+AH46-AQ45)))</f>
        <v>165.39999999999989</v>
      </c>
      <c r="AJ46" s="13">
        <f>AI46*VLOOKUP('Données projet'!$B$10,Paramètres!$A$1:$I$89,3,0)*VLOOKUP('Données projet'!$B$10,Paramètres!$A$1:$I$89,5,0)</f>
        <v>144.49343999999994</v>
      </c>
      <c r="AK46" s="13">
        <f t="shared" si="35"/>
        <v>37.324489208332842</v>
      </c>
      <c r="AL46" s="20">
        <f t="shared" si="4"/>
        <v>316.66622670451289</v>
      </c>
      <c r="AM46" s="59">
        <f t="shared" si="5"/>
        <v>609.99956003784621</v>
      </c>
      <c r="AN46" s="59">
        <f ca="1">AVERAGE(OFFSET($AM$3,0,0,'Données projet'!$E$10+1,1))-AVERAGE(OFFSET($H$3,0,0,'Données projet'!$E$10+1,1))</f>
        <v>210.07838338464626</v>
      </c>
      <c r="AO46" s="59">
        <f t="shared" si="36"/>
        <v>241.76003724236273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4.0971567358826722</v>
      </c>
      <c r="AV46" s="21">
        <f>EXP(-LN(2)/25)*AV45+(1-EXP(-LN(2)/25))/(LN(2)/25)*Calculateur!AQ46*Calculateur!AS46*VLOOKUP('Données projet'!$B$10,Paramètres!$A$1:$I$89,3,0)*0.475*44/12</f>
        <v>9.4562971525960666</v>
      </c>
      <c r="AW46" s="21">
        <f>EXP(-LN(2)/2)*AW45+(1-EXP(-LN(2)/2))/(LN(2)/2)*AQ46*AT46*VLOOKUP('Données projet'!$B$10,Paramètres!$A$1:$I$89,3,0)*0.475*44/12</f>
        <v>0.17646097732103552</v>
      </c>
      <c r="AX46" s="21">
        <f t="shared" si="6"/>
        <v>13.729914865799774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</v>
      </c>
      <c r="BD46" s="12">
        <f>IF('Données projet'!$A$88&gt;35,BD45+BC46-BL45,IF(A46&lt;'Données projet'!$A$88,$BA$205^A46,IF(A46='Données projet'!$A$88,'Données projet'!$B$88,BD45+BC46-BL45)))</f>
        <v>232.7</v>
      </c>
      <c r="BE46" s="13">
        <f>BD46*VLOOKUP('Données projet'!$B$11,Paramètres!$A$1:$I$89,3,0)*VLOOKUP('Données projet'!$B$11,Paramètres!$A$1:$I$89,5,0)</f>
        <v>127.05419999999999</v>
      </c>
      <c r="BF46" s="13">
        <f t="shared" si="37"/>
        <v>33.314766081862359</v>
      </c>
      <c r="BG46" s="20">
        <f t="shared" si="7"/>
        <v>279.30928259257695</v>
      </c>
      <c r="BH46" s="59">
        <f t="shared" si="8"/>
        <v>572.64261592591026</v>
      </c>
      <c r="BI46" s="59">
        <f ca="1">AVERAGE(OFFSET($BH$3,0,0,'Données projet'!$E$11+1,1))-AVERAGE(OFFSET($H$3,0,0,'Données projet'!$E$11+1,1))</f>
        <v>168.72306536277267</v>
      </c>
      <c r="BJ46" s="59">
        <f t="shared" si="38"/>
        <v>203.35476578922339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2.3515766991991014</v>
      </c>
      <c r="BQ46" s="21">
        <f>EXP(-LN(2)/25)*BQ45+(1-EXP(-LN(2)/25))/(LN(2)/25)*Calculateur!BL46*Calculateur!BN46*VLOOKUP('Données projet'!$B$11,Paramètres!$A$1:$I$89,3,0)*0.475*44/12</f>
        <v>16.029106611376122</v>
      </c>
      <c r="BR46" s="21">
        <f>EXP(-LN(2)/2)*BR45+(1-EXP(-LN(2)/2))/(LN(2)/2)*BL46*BO46*VLOOKUP('Données projet'!$B$11,Paramètres!$A$1:$I$89,3,0)*0.475*44/12</f>
        <v>0.22123433956122893</v>
      </c>
      <c r="BS46" s="22">
        <f t="shared" si="9"/>
        <v>18.60191765013645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15.618681318681309</v>
      </c>
      <c r="BY46" s="12">
        <f>IF('Données projet'!$A$114&gt;35,BY45+BX46-CG45,IF(A46&lt;'Données projet'!$A$114,$BV$205^A46,IF(A46='Données projet'!$A$114,'Données projet'!$B$114,BY45+BX46-CG45)))</f>
        <v>246.14175824175837</v>
      </c>
      <c r="BZ46" s="13">
        <f>BY46*VLOOKUP('Données projet'!$B$12,Paramètres!$A$1:$I$89,3,0)*VLOOKUP('Données projet'!$B$12,Paramètres!$A$1:$I$89,5,0)</f>
        <v>115.19434285714291</v>
      </c>
      <c r="CA46" s="13">
        <f t="shared" si="39"/>
        <v>30.5515065129288</v>
      </c>
      <c r="CB46" s="20">
        <f t="shared" si="10"/>
        <v>253.84068765287489</v>
      </c>
      <c r="CC46" s="59">
        <f t="shared" si="11"/>
        <v>547.17402098620823</v>
      </c>
      <c r="CD46" s="59">
        <f ca="1">AVERAGE(OFFSET($CC$3,0,0,'Données projet'!$E$12+1,1))-AVERAGE(OFFSET($H$3,0,0,'Données projet'!$E$12+1,1))</f>
        <v>158.58786357608489</v>
      </c>
      <c r="CE46" s="59">
        <f t="shared" si="40"/>
        <v>163.20074068819849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7.7</v>
      </c>
      <c r="CT46" s="12">
        <f>IF('Données projet'!$A$140&gt;35,CT45+CS46-DB45,IF(A46&lt;'Données projet'!$A$140,$CQ$205^A46,IF(A46='Données projet'!$A$140,'Données projet'!$B$140,CT45+CS46-DB45)))</f>
        <v>187.09999999999982</v>
      </c>
      <c r="CU46" s="17">
        <f>CT46*VLOOKUP('Données projet'!$B$13,Paramètres!$A$1:$I$89,3,0)*VLOOKUP('Données projet'!$B$13,Paramètres!$A$1:$I$89,5,0)</f>
        <v>137.18171999999987</v>
      </c>
      <c r="CV46" s="13">
        <f t="shared" si="41"/>
        <v>35.650614977233133</v>
      </c>
      <c r="CW46" s="20">
        <f t="shared" si="13"/>
        <v>301.01631675201418</v>
      </c>
      <c r="CX46" s="59">
        <f t="shared" si="14"/>
        <v>594.34965008534755</v>
      </c>
      <c r="CY46" s="59">
        <f ca="1">AVERAGE(OFFSET($CX$3,0,0,'Données projet'!$E$13+1,1))-AVERAGE(OFFSET($H$3,0,0,'Données projet'!$E$13+1,1))</f>
        <v>178.12968684094687</v>
      </c>
      <c r="CZ46" s="59">
        <f t="shared" si="42"/>
        <v>219.36004077210373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5.3617123651915604</v>
      </c>
      <c r="DH46" s="21">
        <f>EXP(-LN(2)/2)*DH45+(1-EXP(-LN(2)/2))/(LN(2)/2)*DB46*DE46*VLOOKUP('Données projet'!$B$13,Paramètres!$A$1:$I$89,3,0)*0.475*44/12</f>
        <v>0.10957409100830509</v>
      </c>
      <c r="DI46" s="22">
        <f t="shared" si="15"/>
        <v>5.4712864561998655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-8.5265128291212022E-14</v>
      </c>
      <c r="DP46" s="17">
        <f>DO46*VLOOKUP('Données projet'!$B$14,Paramètres!$A$1:$I$89,3,0)*VLOOKUP('Données projet'!$B$14,Paramètres!$A$1:$I$89,5,0)</f>
        <v>-7.7147888077888636E-14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225.28075317732998</v>
      </c>
      <c r="DU46" s="59">
        <f t="shared" si="44"/>
        <v>358.43407531256207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1.7342815142870072</v>
      </c>
      <c r="EB46" s="21">
        <f>EXP(-LN(2)/25)*EB45+(1-EXP(-LN(2)/25))/(LN(2)/25)*Calculateur!DW46*Calculateur!DY46*VLOOKUP('Données projet'!$B$14,Paramètres!$A$1:$I$89,3,0)*0.475*44/12</f>
        <v>5.7686993311034769</v>
      </c>
      <c r="EC46" s="21">
        <f>EXP(-LN(2)/2)*EC45+(1-EXP(-LN(2)/2))/(LN(2)/2)*DW46*DZ46*VLOOKUP('Données projet'!$B$14,Paramètres!$A$1:$I$89,3,0)*0.475*44/12</f>
        <v>4.8768504104618055E-2</v>
      </c>
      <c r="ED46" s="22">
        <f t="shared" si="18"/>
        <v>7.5517493494951022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9.9423076923076934</v>
      </c>
      <c r="EJ46" s="12">
        <f>IF('Données projet'!$A$192&gt;35,EJ45+EI46-ER45,IF(A46&lt;'Données projet'!$A$192,$EG$205^A46,IF(A46='Données projet'!$A$192,'Données projet'!$B$192,EJ45+EI46-ER45)))</f>
        <v>153.40384615384613</v>
      </c>
      <c r="EK46" s="17">
        <f>EJ46*VLOOKUP('Données projet'!$B$15,Paramètres!$A$1:$I$89,3,0)*VLOOKUP('Données projet'!$B$15,Paramètres!$A$1:$I$89,5,0)</f>
        <v>155.5515</v>
      </c>
      <c r="EL46" s="13">
        <f t="shared" si="45"/>
        <v>39.837503166873866</v>
      </c>
      <c r="EM46" s="20">
        <f t="shared" si="19"/>
        <v>340.30251384897196</v>
      </c>
      <c r="EN46" s="59">
        <f t="shared" si="20"/>
        <v>633.63584718230527</v>
      </c>
      <c r="EO46" s="59">
        <f ca="1">AVERAGE(OFFSET($EN$3,0,0,'Données projet'!$E$15+1,1))-AVERAGE(OFFSET($H$3,0,0,'Données projet'!$E$15+1,1))</f>
        <v>363.98308691765931</v>
      </c>
      <c r="EP46" s="59">
        <f t="shared" si="46"/>
        <v>181.47089407988187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9.9423076923076934</v>
      </c>
      <c r="FE46" s="12">
        <f>IF('Données projet'!$A$218&gt;35,FE45+FD46-FM45,IF(A46&lt;'Données projet'!$A$218,$FB$205^A46,IF(A46='Données projet'!$A$218,'Données projet'!$B$218,FE45+FD46-FM45)))</f>
        <v>153.40384615384613</v>
      </c>
      <c r="FF46" s="17">
        <f>FE46*VLOOKUP('Données projet'!$B$16,Paramètres!$A$1:$I$89,3,0)*VLOOKUP('Données projet'!$B$16,Paramètres!$A$1:$I$89,5,0)</f>
        <v>165.12389999999996</v>
      </c>
      <c r="FG46" s="13">
        <f t="shared" si="47"/>
        <v>41.99609656436553</v>
      </c>
      <c r="FH46" s="20">
        <f t="shared" si="22"/>
        <v>360.73399401626989</v>
      </c>
      <c r="FI46" s="59">
        <f t="shared" si="23"/>
        <v>654.06732734960315</v>
      </c>
      <c r="FJ46" s="59">
        <f ca="1">AVERAGE(OFFSET($FI$3,0,0,'Données projet'!$E$16+1,1))-AVERAGE(OFFSET($H$3,0,0,'Données projet'!$E$16+1,1))</f>
        <v>395.30533160963489</v>
      </c>
      <c r="FK46" s="59">
        <f t="shared" si="48"/>
        <v>196.02102977695085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6.8</v>
      </c>
      <c r="FZ46" s="12">
        <f>IF('Données projet'!$A$244&gt;35,FZ45+FY46-GH45,IF(A46&lt;'Données projet'!$A$244,$FW$205^A46,IF(A46='Données projet'!$A$244,'Données projet'!$B$244,FZ45+FY46-GH45)))</f>
        <v>165.39999999999989</v>
      </c>
      <c r="GA46" s="17">
        <f>FZ46*VLOOKUP('Données projet'!$B$17,Paramètres!$A$1:$I$89,3,0)*VLOOKUP('Données projet'!$B$17,Paramètres!$A$1:$I$89,5,0)</f>
        <v>172.87607999999992</v>
      </c>
      <c r="GB46" s="13">
        <f t="shared" si="49"/>
        <v>43.733539539795729</v>
      </c>
      <c r="GC46" s="20">
        <f t="shared" si="25"/>
        <v>377.26175403181065</v>
      </c>
      <c r="GD46" s="59">
        <f t="shared" si="26"/>
        <v>670.59508736514397</v>
      </c>
      <c r="GE46" s="59">
        <f ca="1">AVERAGE(OFFSET($GD$3,0,0,'Données projet'!$E$17+1,1))-AVERAGE(OFFSET($H$3,0,0,'Données projet'!$E$17+1,1))</f>
        <v>269.41185214595805</v>
      </c>
      <c r="GF46" s="59">
        <f t="shared" si="50"/>
        <v>299.70148160580993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4.9019553804310538</v>
      </c>
      <c r="GM46" s="21">
        <f>EXP(-LN(2)/25)*GM45+(1-EXP(-LN(2)/25))/(LN(2)/25)*Calculateur!GH46*Calculateur!GJ46*VLOOKUP('Données projet'!$B$17,Paramètres!$A$1:$I$89,3,0)*0.475*44/12</f>
        <v>11.31378409328458</v>
      </c>
      <c r="GN46" s="21">
        <f>EXP(-LN(2)/2)*GN45+(1-EXP(-LN(2)/2))/(LN(2)/2)*GH46*GK46*VLOOKUP('Données projet'!$B$17,Paramètres!$A$1:$I$89,3,0)*0.475*44/12</f>
        <v>0.21112295500909603</v>
      </c>
      <c r="GO46" s="21">
        <f t="shared" si="27"/>
        <v>16.426862428724728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7.7</v>
      </c>
      <c r="GU46" s="12">
        <f>IF('Données projet'!$A$270&gt;35,GU45+GT46-HC45,IF(A46&lt;'Données projet'!$A$270,$GR$205^A46,IF(A46='Données projet'!$A$270,'Données projet'!$B$270,GU45+GT46-HC45)))</f>
        <v>187.09999999999982</v>
      </c>
      <c r="GV46" s="17">
        <f>GU46*VLOOKUP('Données projet'!$B$18,Paramètres!$A$1:$I$89,3,0)*VLOOKUP('Données projet'!$B$18,Paramètres!$A$1:$I$89,5,0)</f>
        <v>163.45055999999985</v>
      </c>
      <c r="GW46" s="13">
        <f t="shared" si="51"/>
        <v>41.61982974216253</v>
      </c>
      <c r="GX46" s="20">
        <f t="shared" si="28"/>
        <v>357.16426213426615</v>
      </c>
      <c r="GY46" s="59">
        <f t="shared" si="29"/>
        <v>650.49759546759947</v>
      </c>
      <c r="GZ46" s="59">
        <f ca="1">AVERAGE(OFFSET($GY$3,0,0,'Données projet'!$E$18+1,1))-AVERAGE(OFFSET($H$3,0,0,'Données projet'!$E$18+1,1))</f>
        <v>226.35975611953359</v>
      </c>
      <c r="HA46" s="59">
        <f t="shared" si="52"/>
        <v>271.65876694892461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7.8741030677330794</v>
      </c>
      <c r="HI46" s="21">
        <f>EXP(-LN(2)/2)*HI45+(1-EXP(-LN(2)/2))/(LN(2)/2)*HC46*HF46*VLOOKUP('Données projet'!$B$18,Paramètres!$A$1:$I$89,3,0)*0.475*44/12</f>
        <v>0.13055636375457624</v>
      </c>
      <c r="HJ46" s="22">
        <f t="shared" si="30"/>
        <v>8.0046594314876565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9.9423076923076934</v>
      </c>
      <c r="N47" s="13">
        <f>IF('Données projet'!$A$36&gt;35,N46+M47-V46,IF(A47&lt;'Données projet'!$A$36,$K$205^A47,IF(A47='Données projet'!$A$36,'Données projet'!$B$36,N46+M47-V46)))</f>
        <v>163.34615384615381</v>
      </c>
      <c r="O47" s="13">
        <f>N47*VLOOKUP('Données projet'!$B$9,Paramètres!$A$1:$I$89,3,0)*VLOOKUP('Données projet'!$B$9,Paramètres!$A$1:$I$89,5,0)</f>
        <v>147.79559999999995</v>
      </c>
      <c r="P47" s="13">
        <f t="shared" si="33"/>
        <v>38.077196976190542</v>
      </c>
      <c r="Q47" s="20">
        <f t="shared" si="53"/>
        <v>323.72845473353181</v>
      </c>
      <c r="R47" s="59">
        <f t="shared" si="0"/>
        <v>617.06178806686512</v>
      </c>
      <c r="S47" s="59">
        <f ca="1">AVERAGE(OFFSET($R$3,0,0,'Données projet'!$E$9+1,1))-AVERAGE(OFFSET($H$3,0,0,'Données projet'!$E$9+1,1))</f>
        <v>309.07357540707869</v>
      </c>
      <c r="T47" s="59">
        <f t="shared" si="34"/>
        <v>155.9593924683299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6.8</v>
      </c>
      <c r="AI47" s="13">
        <f>IF('Données projet'!$A$62&gt;35,AI46+AH47-AQ46,IF(A47&lt;'Données projet'!$A$62,$AF$205^A47,IF(A47='Données projet'!$A$62,'Données projet'!$B$62,AI46+AH47-AQ46)))</f>
        <v>172.1999999999999</v>
      </c>
      <c r="AJ47" s="13">
        <f>AI47*VLOOKUP('Données projet'!$B$10,Paramètres!$A$1:$I$89,3,0)*VLOOKUP('Données projet'!$B$10,Paramètres!$A$1:$I$89,5,0)</f>
        <v>150.43391999999994</v>
      </c>
      <c r="AK47" s="13">
        <f t="shared" si="35"/>
        <v>38.677178913707927</v>
      </c>
      <c r="AL47" s="20">
        <f t="shared" si="4"/>
        <v>329.36849727470786</v>
      </c>
      <c r="AM47" s="59">
        <f t="shared" si="5"/>
        <v>622.70183060804118</v>
      </c>
      <c r="AN47" s="59">
        <f ca="1">AVERAGE(OFFSET($AM$3,0,0,'Données projet'!$E$10+1,1))-AVERAGE(OFFSET($H$3,0,0,'Données projet'!$E$10+1,1))</f>
        <v>210.07838338464626</v>
      </c>
      <c r="AO47" s="59">
        <f t="shared" si="36"/>
        <v>241.76003724236273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4.0168139913108645</v>
      </c>
      <c r="AV47" s="21">
        <f>EXP(-LN(2)/25)*AV46+(1-EXP(-LN(2)/25))/(LN(2)/25)*Calculateur!AQ47*Calculateur!AS47*VLOOKUP('Données projet'!$B$10,Paramètres!$A$1:$I$89,3,0)*0.475*44/12</f>
        <v>9.197714209673272</v>
      </c>
      <c r="AW47" s="21">
        <f>EXP(-LN(2)/2)*AW46+(1-EXP(-LN(2)/2))/(LN(2)/2)*AQ47*AT47*VLOOKUP('Données projet'!$B$10,Paramètres!$A$1:$I$89,3,0)*0.475*44/12</f>
        <v>0.12477675367850979</v>
      </c>
      <c r="AX47" s="21">
        <f t="shared" si="6"/>
        <v>13.339304954662648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</v>
      </c>
      <c r="BD47" s="12">
        <f>IF('Données projet'!$A$88&gt;35,BD46+BC47-BL46,IF(A47&lt;'Données projet'!$A$88,$BA$205^A47,IF(A47='Données projet'!$A$88,'Données projet'!$B$88,BD46+BC47-BL46)))</f>
        <v>242.6</v>
      </c>
      <c r="BE47" s="13">
        <f>BD47*VLOOKUP('Données projet'!$B$11,Paramètres!$A$1:$I$89,3,0)*VLOOKUP('Données projet'!$B$11,Paramètres!$A$1:$I$89,5,0)</f>
        <v>132.45959999999999</v>
      </c>
      <c r="BF47" s="13">
        <f t="shared" si="37"/>
        <v>34.56407921374916</v>
      </c>
      <c r="BG47" s="20">
        <f t="shared" si="7"/>
        <v>290.89957463061307</v>
      </c>
      <c r="BH47" s="59">
        <f t="shared" si="8"/>
        <v>584.23290796394645</v>
      </c>
      <c r="BI47" s="59">
        <f ca="1">AVERAGE(OFFSET($BH$3,0,0,'Données projet'!$E$11+1,1))-AVERAGE(OFFSET($H$3,0,0,'Données projet'!$E$11+1,1))</f>
        <v>168.72306536277267</v>
      </c>
      <c r="BJ47" s="59">
        <f t="shared" si="38"/>
        <v>203.35476578922339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2.3054637144479662</v>
      </c>
      <c r="BQ47" s="21">
        <f>EXP(-LN(2)/25)*BQ46+(1-EXP(-LN(2)/25))/(LN(2)/25)*Calculateur!BL47*Calculateur!BN47*VLOOKUP('Données projet'!$B$11,Paramètres!$A$1:$I$89,3,0)*0.475*44/12</f>
        <v>15.59078984815396</v>
      </c>
      <c r="BR47" s="21">
        <f>EXP(-LN(2)/2)*BR46+(1-EXP(-LN(2)/2))/(LN(2)/2)*BL47*BO47*VLOOKUP('Données projet'!$B$11,Paramètres!$A$1:$I$89,3,0)*0.475*44/12</f>
        <v>0.15643630173507228</v>
      </c>
      <c r="BS47" s="22">
        <f t="shared" si="9"/>
        <v>18.052689864337001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15.618681318681309</v>
      </c>
      <c r="BY47" s="12">
        <f>IF('Données projet'!$A$114&gt;35,BY46+BX47-CG46,IF(A47&lt;'Données projet'!$A$114,$BV$205^A47,IF(A47='Données projet'!$A$114,'Données projet'!$B$114,BY46+BX47-CG46)))</f>
        <v>261.76043956043969</v>
      </c>
      <c r="BZ47" s="13">
        <f>BY47*VLOOKUP('Données projet'!$B$12,Paramètres!$A$1:$I$89,3,0)*VLOOKUP('Données projet'!$B$12,Paramètres!$A$1:$I$89,5,0)</f>
        <v>122.50388571428577</v>
      </c>
      <c r="CA47" s="13">
        <f t="shared" si="39"/>
        <v>32.258285776503719</v>
      </c>
      <c r="CB47" s="20">
        <f t="shared" si="10"/>
        <v>269.54411534645834</v>
      </c>
      <c r="CC47" s="59">
        <f t="shared" si="11"/>
        <v>562.87744867979166</v>
      </c>
      <c r="CD47" s="59">
        <f ca="1">AVERAGE(OFFSET($CC$3,0,0,'Données projet'!$E$12+1,1))-AVERAGE(OFFSET($H$3,0,0,'Données projet'!$E$12+1,1))</f>
        <v>158.58786357608489</v>
      </c>
      <c r="CE47" s="59">
        <f t="shared" si="40"/>
        <v>163.20074068819849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7.7</v>
      </c>
      <c r="CT47" s="12">
        <f>IF('Données projet'!$A$140&gt;35,CT46+CS47-DB46,IF(A47&lt;'Données projet'!$A$140,$CQ$205^A47,IF(A47='Données projet'!$A$140,'Données projet'!$B$140,CT46+CS47-DB46)))</f>
        <v>194.79999999999981</v>
      </c>
      <c r="CU47" s="17">
        <f>CT47*VLOOKUP('Données projet'!$B$13,Paramètres!$A$1:$I$89,3,0)*VLOOKUP('Données projet'!$B$13,Paramètres!$A$1:$I$89,5,0)</f>
        <v>142.82735999999986</v>
      </c>
      <c r="CV47" s="13">
        <f t="shared" si="41"/>
        <v>36.943958329340774</v>
      </c>
      <c r="CW47" s="20">
        <f t="shared" si="13"/>
        <v>313.10171275693489</v>
      </c>
      <c r="CX47" s="59">
        <f t="shared" si="14"/>
        <v>606.4350460902682</v>
      </c>
      <c r="CY47" s="59">
        <f ca="1">AVERAGE(OFFSET($CX$3,0,0,'Données projet'!$E$13+1,1))-AVERAGE(OFFSET($H$3,0,0,'Données projet'!$E$13+1,1))</f>
        <v>178.12968684094687</v>
      </c>
      <c r="CZ47" s="59">
        <f t="shared" si="42"/>
        <v>219.36004077210373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5.215096058605198</v>
      </c>
      <c r="DH47" s="21">
        <f>EXP(-LN(2)/2)*DH46+(1-EXP(-LN(2)/2))/(LN(2)/2)*DB47*DE47*VLOOKUP('Données projet'!$B$13,Paramètres!$A$1:$I$89,3,0)*0.475*44/12</f>
        <v>7.7480582794324432E-2</v>
      </c>
      <c r="DI47" s="22">
        <f t="shared" si="15"/>
        <v>5.2925766413995223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-8.5265128291212022E-14</v>
      </c>
      <c r="DP47" s="17">
        <f>DO47*VLOOKUP('Données projet'!$B$14,Paramètres!$A$1:$I$89,3,0)*VLOOKUP('Données projet'!$B$14,Paramètres!$A$1:$I$89,5,0)</f>
        <v>-7.7147888077888636E-14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225.28075317732998</v>
      </c>
      <c r="DU47" s="59">
        <f t="shared" si="44"/>
        <v>358.43407531256207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1.7002733115991129</v>
      </c>
      <c r="EB47" s="21">
        <f>EXP(-LN(2)/25)*EB46+(1-EXP(-LN(2)/25))/(LN(2)/25)*Calculateur!DW47*Calculateur!DY47*VLOOKUP('Données projet'!$B$14,Paramètres!$A$1:$I$89,3,0)*0.475*44/12</f>
        <v>5.6109539445317393</v>
      </c>
      <c r="EC47" s="21">
        <f>EXP(-LN(2)/2)*EC46+(1-EXP(-LN(2)/2))/(LN(2)/2)*DW47*DZ47*VLOOKUP('Données projet'!$B$14,Paramètres!$A$1:$I$89,3,0)*0.475*44/12</f>
        <v>3.4484539960699404E-2</v>
      </c>
      <c r="ED47" s="22">
        <f t="shared" si="18"/>
        <v>7.3457117960915514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9.9423076923076934</v>
      </c>
      <c r="EJ47" s="12">
        <f>IF('Données projet'!$A$192&gt;35,EJ46+EI47-ER46,IF(A47&lt;'Données projet'!$A$192,$EG$205^A47,IF(A47='Données projet'!$A$192,'Données projet'!$B$192,EJ46+EI47-ER46)))</f>
        <v>163.34615384615381</v>
      </c>
      <c r="EK47" s="17">
        <f>EJ47*VLOOKUP('Données projet'!$B$15,Paramètres!$A$1:$I$89,3,0)*VLOOKUP('Données projet'!$B$15,Paramètres!$A$1:$I$89,5,0)</f>
        <v>165.63299999999998</v>
      </c>
      <c r="EL47" s="13">
        <f t="shared" si="45"/>
        <v>42.11048442706786</v>
      </c>
      <c r="EM47" s="20">
        <f t="shared" si="19"/>
        <v>361.8199020438098</v>
      </c>
      <c r="EN47" s="59">
        <f t="shared" si="20"/>
        <v>655.15323537714312</v>
      </c>
      <c r="EO47" s="59">
        <f ca="1">AVERAGE(OFFSET($EN$3,0,0,'Données projet'!$E$15+1,1))-AVERAGE(OFFSET($H$3,0,0,'Données projet'!$E$15+1,1))</f>
        <v>363.98308691765931</v>
      </c>
      <c r="EP47" s="59">
        <f t="shared" si="46"/>
        <v>181.47089407988187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9.9423076923076934</v>
      </c>
      <c r="FE47" s="12">
        <f>IF('Données projet'!$A$218&gt;35,FE46+FD47-FM46,IF(A47&lt;'Données projet'!$A$218,$FB$205^A47,IF(A47='Données projet'!$A$218,'Données projet'!$B$218,FE46+FD47-FM46)))</f>
        <v>163.34615384615381</v>
      </c>
      <c r="FF47" s="17">
        <f>FE47*VLOOKUP('Données projet'!$B$16,Paramètres!$A$1:$I$89,3,0)*VLOOKUP('Données projet'!$B$16,Paramètres!$A$1:$I$89,5,0)</f>
        <v>175.82579999999996</v>
      </c>
      <c r="FG47" s="13">
        <f t="shared" si="47"/>
        <v>44.39223921648523</v>
      </c>
      <c r="FH47" s="20">
        <f t="shared" si="22"/>
        <v>383.54641830204497</v>
      </c>
      <c r="FI47" s="59">
        <f t="shared" si="23"/>
        <v>676.87975163537828</v>
      </c>
      <c r="FJ47" s="59">
        <f ca="1">AVERAGE(OFFSET($FI$3,0,0,'Données projet'!$E$16+1,1))-AVERAGE(OFFSET($H$3,0,0,'Données projet'!$E$16+1,1))</f>
        <v>395.30533160963489</v>
      </c>
      <c r="FK47" s="59">
        <f t="shared" si="48"/>
        <v>196.02102977695085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6.8</v>
      </c>
      <c r="FZ47" s="12">
        <f>IF('Données projet'!$A$244&gt;35,FZ46+FY47-GH46,IF(A47&lt;'Données projet'!$A$244,$FW$205^A47,IF(A47='Données projet'!$A$244,'Données projet'!$B$244,FZ46+FY47-GH46)))</f>
        <v>172.1999999999999</v>
      </c>
      <c r="GA47" s="17">
        <f>FZ47*VLOOKUP('Données projet'!$B$17,Paramètres!$A$1:$I$89,3,0)*VLOOKUP('Données projet'!$B$17,Paramètres!$A$1:$I$89,5,0)</f>
        <v>179.98343999999992</v>
      </c>
      <c r="GB47" s="13">
        <f t="shared" si="49"/>
        <v>45.318501851936013</v>
      </c>
      <c r="GC47" s="20">
        <f t="shared" si="25"/>
        <v>392.40088205878834</v>
      </c>
      <c r="GD47" s="59">
        <f t="shared" si="26"/>
        <v>685.73421539212165</v>
      </c>
      <c r="GE47" s="59">
        <f ca="1">AVERAGE(OFFSET($GD$3,0,0,'Données projet'!$E$17+1,1))-AVERAGE(OFFSET($H$3,0,0,'Données projet'!$E$17+1,1))</f>
        <v>269.41185214595805</v>
      </c>
      <c r="GF47" s="59">
        <f t="shared" si="50"/>
        <v>299.70148160580993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4.8058310253183549</v>
      </c>
      <c r="GM47" s="21">
        <f>EXP(-LN(2)/25)*GM46+(1-EXP(-LN(2)/25))/(LN(2)/25)*Calculateur!GH47*Calculateur!GJ47*VLOOKUP('Données projet'!$B$17,Paramètres!$A$1:$I$89,3,0)*0.475*44/12</f>
        <v>11.004408072287665</v>
      </c>
      <c r="GN47" s="21">
        <f>EXP(-LN(2)/2)*GN46+(1-EXP(-LN(2)/2))/(LN(2)/2)*GH47*GK47*VLOOKUP('Données projet'!$B$17,Paramètres!$A$1:$I$89,3,0)*0.475*44/12</f>
        <v>0.14928647315107418</v>
      </c>
      <c r="GO47" s="21">
        <f t="shared" si="27"/>
        <v>15.959525570757094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7.7</v>
      </c>
      <c r="GU47" s="12">
        <f>IF('Données projet'!$A$270&gt;35,GU46+GT47-HC46,IF(A47&lt;'Données projet'!$A$270,$GR$205^A47,IF(A47='Données projet'!$A$270,'Données projet'!$B$270,GU46+GT47-HC46)))</f>
        <v>194.79999999999981</v>
      </c>
      <c r="GV47" s="17">
        <f>GU47*VLOOKUP('Données projet'!$B$18,Paramètres!$A$1:$I$89,3,0)*VLOOKUP('Données projet'!$B$18,Paramètres!$A$1:$I$89,5,0)</f>
        <v>170.17727999999985</v>
      </c>
      <c r="GW47" s="13">
        <f t="shared" si="51"/>
        <v>43.129725999134628</v>
      </c>
      <c r="GX47" s="20">
        <f t="shared" si="28"/>
        <v>371.50970211515914</v>
      </c>
      <c r="GY47" s="59">
        <f t="shared" si="29"/>
        <v>664.8430354484924</v>
      </c>
      <c r="GZ47" s="59">
        <f ca="1">AVERAGE(OFFSET($GY$3,0,0,'Données projet'!$E$18+1,1))-AVERAGE(OFFSET($H$3,0,0,'Données projet'!$E$18+1,1))</f>
        <v>226.35975611953359</v>
      </c>
      <c r="HA47" s="59">
        <f t="shared" si="52"/>
        <v>271.65876694892461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7.6587853052648347</v>
      </c>
      <c r="HI47" s="21">
        <f>EXP(-LN(2)/2)*HI46+(1-EXP(-LN(2)/2))/(LN(2)/2)*HC47*HF47*VLOOKUP('Données projet'!$B$18,Paramètres!$A$1:$I$89,3,0)*0.475*44/12</f>
        <v>9.2317290137918451E-2</v>
      </c>
      <c r="HJ47" s="22">
        <f t="shared" si="30"/>
        <v>7.7511025954027533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9.9423076923076934</v>
      </c>
      <c r="N48" s="13">
        <f>IF('Données projet'!$A$36&gt;35,N47+M48-V47,IF(A48&lt;'Données projet'!$A$36,$K$205^A48,IF(A48='Données projet'!$A$36,'Données projet'!$B$36,N47+M48-V47)))</f>
        <v>173.28846153846149</v>
      </c>
      <c r="O48" s="13">
        <f>N48*VLOOKUP('Données projet'!$B$9,Paramètres!$A$1:$I$89,3,0)*VLOOKUP('Données projet'!$B$9,Paramètres!$A$1:$I$89,5,0)</f>
        <v>156.79139999999995</v>
      </c>
      <c r="P48" s="13">
        <f t="shared" si="33"/>
        <v>40.117955688416771</v>
      </c>
      <c r="Q48" s="20">
        <f t="shared" si="53"/>
        <v>342.95046115732583</v>
      </c>
      <c r="R48" s="59">
        <f t="shared" si="0"/>
        <v>636.28379449065915</v>
      </c>
      <c r="S48" s="59">
        <f ca="1">AVERAGE(OFFSET($R$3,0,0,'Données projet'!$E$9+1,1))-AVERAGE(OFFSET($H$3,0,0,'Données projet'!$E$9+1,1))</f>
        <v>309.07357540707869</v>
      </c>
      <c r="T48" s="59">
        <f t="shared" si="34"/>
        <v>155.9593924683299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</v>
      </c>
      <c r="AI48" s="13">
        <f>IF('Données projet'!$A$62&gt;35,AI47+AH48-AQ47,IF(A48&lt;'Données projet'!$A$62,$AF$205^A48,IF(A48='Données projet'!$A$62,'Données projet'!$B$62,AI47+AH48-AQ47)))</f>
        <v>178.99999999999991</v>
      </c>
      <c r="AJ48" s="13">
        <f>AI48*VLOOKUP('Données projet'!$B$10,Paramètres!$A$1:$I$89,3,0)*VLOOKUP('Données projet'!$B$10,Paramètres!$A$1:$I$89,5,0)</f>
        <v>156.37439999999995</v>
      </c>
      <c r="AK48" s="13">
        <f t="shared" si="35"/>
        <v>40.02366352429317</v>
      </c>
      <c r="AL48" s="20">
        <f t="shared" si="4"/>
        <v>342.05996063814382</v>
      </c>
      <c r="AM48" s="59">
        <f t="shared" si="5"/>
        <v>635.39329397147708</v>
      </c>
      <c r="AN48" s="59">
        <f ca="1">AVERAGE(OFFSET($AM$3,0,0,'Données projet'!$E$10+1,1))-AVERAGE(OFFSET($H$3,0,0,'Données projet'!$E$10+1,1))</f>
        <v>210.07838338464626</v>
      </c>
      <c r="AO48" s="59">
        <f t="shared" si="36"/>
        <v>241.76003724236273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3.9380467189558743</v>
      </c>
      <c r="AV48" s="21">
        <f>EXP(-LN(2)/25)*AV47+(1-EXP(-LN(2)/25))/(LN(2)/25)*Calculateur!AQ48*Calculateur!AS48*VLOOKUP('Données projet'!$B$10,Paramètres!$A$1:$I$89,3,0)*0.475*44/12</f>
        <v>8.9462022309229869</v>
      </c>
      <c r="AW48" s="21">
        <f>EXP(-LN(2)/2)*AW47+(1-EXP(-LN(2)/2))/(LN(2)/2)*AQ48*AT48*VLOOKUP('Données projet'!$B$10,Paramètres!$A$1:$I$89,3,0)*0.475*44/12</f>
        <v>8.8230488660517775E-2</v>
      </c>
      <c r="AX48" s="21">
        <f t="shared" si="6"/>
        <v>12.972479438539379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</v>
      </c>
      <c r="BD48" s="12">
        <f>IF('Données projet'!$A$88&gt;35,BD47+BC48-BL47,IF(A48&lt;'Données projet'!$A$88,$BA$205^A48,IF(A48='Données projet'!$A$88,'Données projet'!$B$88,BD47+BC48-BL47)))</f>
        <v>252.5</v>
      </c>
      <c r="BE48" s="13">
        <f>BD48*VLOOKUP('Données projet'!$B$11,Paramètres!$A$1:$I$89,3,0)*VLOOKUP('Données projet'!$B$11,Paramètres!$A$1:$I$89,5,0)</f>
        <v>137.86500000000001</v>
      </c>
      <c r="BF48" s="13">
        <f t="shared" si="37"/>
        <v>35.807470392675356</v>
      </c>
      <c r="BG48" s="20">
        <f t="shared" si="7"/>
        <v>302.47955260057626</v>
      </c>
      <c r="BH48" s="59">
        <f t="shared" si="8"/>
        <v>595.81288593390957</v>
      </c>
      <c r="BI48" s="59">
        <f ca="1">AVERAGE(OFFSET($BH$3,0,0,'Données projet'!$E$11+1,1))-AVERAGE(OFFSET($H$3,0,0,'Données projet'!$E$11+1,1))</f>
        <v>168.72306536277267</v>
      </c>
      <c r="BJ48" s="59">
        <f t="shared" si="38"/>
        <v>203.35476578922339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2.2602549772016571</v>
      </c>
      <c r="BQ48" s="21">
        <f>EXP(-LN(2)/25)*BQ47+(1-EXP(-LN(2)/25))/(LN(2)/25)*Calculateur!BL48*Calculateur!BN48*VLOOKUP('Données projet'!$B$11,Paramètres!$A$1:$I$89,3,0)*0.475*44/12</f>
        <v>15.164458879872186</v>
      </c>
      <c r="BR48" s="21">
        <f>EXP(-LN(2)/2)*BR47+(1-EXP(-LN(2)/2))/(LN(2)/2)*BL48*BO48*VLOOKUP('Données projet'!$B$11,Paramètres!$A$1:$I$89,3,0)*0.475*44/12</f>
        <v>0.11061716978061449</v>
      </c>
      <c r="BS48" s="22">
        <f t="shared" si="9"/>
        <v>17.535331026854458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15.618681318681309</v>
      </c>
      <c r="BY48" s="12">
        <f>IF('Données projet'!$A$114&gt;35,BY47+BX48-CG47,IF(A48&lt;'Données projet'!$A$114,$BV$205^A48,IF(A48='Données projet'!$A$114,'Données projet'!$B$114,BY47+BX48-CG47)))</f>
        <v>277.37912087912099</v>
      </c>
      <c r="BZ48" s="13">
        <f>BY48*VLOOKUP('Données projet'!$B$12,Paramètres!$A$1:$I$89,3,0)*VLOOKUP('Données projet'!$B$12,Paramètres!$A$1:$I$89,5,0)</f>
        <v>129.81342857142863</v>
      </c>
      <c r="CA48" s="13">
        <f t="shared" si="39"/>
        <v>33.953244550224326</v>
      </c>
      <c r="CB48" s="20">
        <f t="shared" si="10"/>
        <v>285.22695568687891</v>
      </c>
      <c r="CC48" s="59">
        <f t="shared" si="11"/>
        <v>578.56028902021217</v>
      </c>
      <c r="CD48" s="59">
        <f ca="1">AVERAGE(OFFSET($CC$3,0,0,'Données projet'!$E$12+1,1))-AVERAGE(OFFSET($H$3,0,0,'Données projet'!$E$12+1,1))</f>
        <v>158.58786357608489</v>
      </c>
      <c r="CE48" s="59">
        <f t="shared" si="40"/>
        <v>163.20074068819849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7.7</v>
      </c>
      <c r="CT48" s="12">
        <f>IF('Données projet'!$A$140&gt;35,CT47+CS48-DB47,IF(A48&lt;'Données projet'!$A$140,$CQ$205^A48,IF(A48='Données projet'!$A$140,'Données projet'!$B$140,CT47+CS48-DB47)))</f>
        <v>202.4999999999998</v>
      </c>
      <c r="CU48" s="17">
        <f>CT48*VLOOKUP('Données projet'!$B$13,Paramètres!$A$1:$I$89,3,0)*VLOOKUP('Données projet'!$B$13,Paramètres!$A$1:$I$89,5,0)</f>
        <v>148.47299999999984</v>
      </c>
      <c r="CV48" s="13">
        <f t="shared" si="41"/>
        <v>38.231363009538931</v>
      </c>
      <c r="CW48" s="20">
        <f t="shared" si="13"/>
        <v>325.17676557494673</v>
      </c>
      <c r="CX48" s="59">
        <f t="shared" si="14"/>
        <v>618.51009890828004</v>
      </c>
      <c r="CY48" s="59">
        <f ca="1">AVERAGE(OFFSET($CX$3,0,0,'Données projet'!$E$13+1,1))-AVERAGE(OFFSET($H$3,0,0,'Données projet'!$E$13+1,1))</f>
        <v>178.12968684094687</v>
      </c>
      <c r="CZ48" s="59">
        <f t="shared" si="42"/>
        <v>219.36004077210373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5.072488982632656</v>
      </c>
      <c r="DH48" s="21">
        <f>EXP(-LN(2)/2)*DH47+(1-EXP(-LN(2)/2))/(LN(2)/2)*DB48*DE48*VLOOKUP('Données projet'!$B$13,Paramètres!$A$1:$I$89,3,0)*0.475*44/12</f>
        <v>5.4787045504152546E-2</v>
      </c>
      <c r="DI48" s="22">
        <f t="shared" si="15"/>
        <v>5.1272760281368086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-8.5265128291212022E-14</v>
      </c>
      <c r="DP48" s="17">
        <f>DO48*VLOOKUP('Données projet'!$B$14,Paramètres!$A$1:$I$89,3,0)*VLOOKUP('Données projet'!$B$14,Paramètres!$A$1:$I$89,5,0)</f>
        <v>-7.7147888077888636E-14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225.28075317732998</v>
      </c>
      <c r="DU48" s="59">
        <f t="shared" si="44"/>
        <v>358.43407531256207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1.6669319890229728</v>
      </c>
      <c r="EB48" s="21">
        <f>EXP(-LN(2)/25)*EB47+(1-EXP(-LN(2)/25))/(LN(2)/25)*Calculateur!DW48*Calculateur!DY48*VLOOKUP('Données projet'!$B$14,Paramètres!$A$1:$I$89,3,0)*0.475*44/12</f>
        <v>5.4575221138512751</v>
      </c>
      <c r="EC48" s="21">
        <f>EXP(-LN(2)/2)*EC47+(1-EXP(-LN(2)/2))/(LN(2)/2)*DW48*DZ48*VLOOKUP('Données projet'!$B$14,Paramètres!$A$1:$I$89,3,0)*0.475*44/12</f>
        <v>2.4384252052309027E-2</v>
      </c>
      <c r="ED48" s="22">
        <f t="shared" si="18"/>
        <v>7.1488383549265571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9.9423076923076934</v>
      </c>
      <c r="EJ48" s="12">
        <f>IF('Données projet'!$A$192&gt;35,EJ47+EI48-ER47,IF(A48&lt;'Données projet'!$A$192,$EG$205^A48,IF(A48='Données projet'!$A$192,'Données projet'!$B$192,EJ47+EI48-ER47)))</f>
        <v>173.28846153846149</v>
      </c>
      <c r="EK48" s="17">
        <f>EJ48*VLOOKUP('Données projet'!$B$15,Paramètres!$A$1:$I$89,3,0)*VLOOKUP('Données projet'!$B$15,Paramètres!$A$1:$I$89,5,0)</f>
        <v>175.71449999999996</v>
      </c>
      <c r="EL48" s="13">
        <f t="shared" si="45"/>
        <v>44.367408381431943</v>
      </c>
      <c r="EM48" s="20">
        <f t="shared" si="19"/>
        <v>383.30932376432725</v>
      </c>
      <c r="EN48" s="59">
        <f t="shared" si="20"/>
        <v>676.6426570976605</v>
      </c>
      <c r="EO48" s="59">
        <f ca="1">AVERAGE(OFFSET($EN$3,0,0,'Données projet'!$E$15+1,1))-AVERAGE(OFFSET($H$3,0,0,'Données projet'!$E$15+1,1))</f>
        <v>363.98308691765931</v>
      </c>
      <c r="EP48" s="59">
        <f t="shared" si="46"/>
        <v>181.47089407988187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9.9423076923076934</v>
      </c>
      <c r="FE48" s="12">
        <f>IF('Données projet'!$A$218&gt;35,FE47+FD48-FM47,IF(A48&lt;'Données projet'!$A$218,$FB$205^A48,IF(A48='Données projet'!$A$218,'Données projet'!$B$218,FE47+FD48-FM47)))</f>
        <v>173.28846153846149</v>
      </c>
      <c r="FF48" s="17">
        <f>FE48*VLOOKUP('Données projet'!$B$16,Paramètres!$A$1:$I$89,3,0)*VLOOKUP('Données projet'!$B$16,Paramètres!$A$1:$I$89,5,0)</f>
        <v>186.52769999999995</v>
      </c>
      <c r="FG48" s="13">
        <f t="shared" si="47"/>
        <v>46.771454498348533</v>
      </c>
      <c r="FH48" s="20">
        <f t="shared" si="22"/>
        <v>406.32936075129027</v>
      </c>
      <c r="FI48" s="59">
        <f t="shared" si="23"/>
        <v>699.66269408462358</v>
      </c>
      <c r="FJ48" s="59">
        <f ca="1">AVERAGE(OFFSET($FI$3,0,0,'Données projet'!$E$16+1,1))-AVERAGE(OFFSET($H$3,0,0,'Données projet'!$E$16+1,1))</f>
        <v>395.30533160963489</v>
      </c>
      <c r="FK48" s="59">
        <f t="shared" si="48"/>
        <v>196.02102977695085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6.8</v>
      </c>
      <c r="FZ48" s="12">
        <f>IF('Données projet'!$A$244&gt;35,FZ47+FY48-GH47,IF(A48&lt;'Données projet'!$A$244,$FW$205^A48,IF(A48='Données projet'!$A$244,'Données projet'!$B$244,FZ47+FY48-GH47)))</f>
        <v>178.99999999999991</v>
      </c>
      <c r="GA48" s="17">
        <f>FZ48*VLOOKUP('Données projet'!$B$17,Paramètres!$A$1:$I$89,3,0)*VLOOKUP('Données projet'!$B$17,Paramètres!$A$1:$I$89,5,0)</f>
        <v>187.09079999999992</v>
      </c>
      <c r="GB48" s="13">
        <f t="shared" si="49"/>
        <v>46.896193582104758</v>
      </c>
      <c r="GC48" s="20">
        <f t="shared" si="25"/>
        <v>407.52734715549894</v>
      </c>
      <c r="GD48" s="59">
        <f t="shared" si="26"/>
        <v>700.86068048883226</v>
      </c>
      <c r="GE48" s="59">
        <f ca="1">AVERAGE(OFFSET($GD$3,0,0,'Données projet'!$E$17+1,1))-AVERAGE(OFFSET($H$3,0,0,'Données projet'!$E$17+1,1))</f>
        <v>269.41185214595805</v>
      </c>
      <c r="GF48" s="59">
        <f t="shared" si="50"/>
        <v>299.70148160580993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4.7115916101793491</v>
      </c>
      <c r="GM48" s="21">
        <f>EXP(-LN(2)/25)*GM47+(1-EXP(-LN(2)/25))/(LN(2)/25)*Calculateur!GH48*Calculateur!GJ48*VLOOKUP('Données projet'!$B$17,Paramètres!$A$1:$I$89,3,0)*0.475*44/12</f>
        <v>10.70349195485429</v>
      </c>
      <c r="GN48" s="21">
        <f>EXP(-LN(2)/2)*GN47+(1-EXP(-LN(2)/2))/(LN(2)/2)*GH48*GK48*VLOOKUP('Données projet'!$B$17,Paramètres!$A$1:$I$89,3,0)*0.475*44/12</f>
        <v>0.10556147750454802</v>
      </c>
      <c r="GO48" s="21">
        <f t="shared" si="27"/>
        <v>15.520645042538186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7.7</v>
      </c>
      <c r="GU48" s="12">
        <f>IF('Données projet'!$A$270&gt;35,GU47+GT48-HC47,IF(A48&lt;'Données projet'!$A$270,$GR$205^A48,IF(A48='Données projet'!$A$270,'Données projet'!$B$270,GU47+GT48-HC47)))</f>
        <v>202.4999999999998</v>
      </c>
      <c r="GV48" s="17">
        <f>GU48*VLOOKUP('Données projet'!$B$18,Paramètres!$A$1:$I$89,3,0)*VLOOKUP('Données projet'!$B$18,Paramètres!$A$1:$I$89,5,0)</f>
        <v>176.90399999999985</v>
      </c>
      <c r="GW48" s="13">
        <f t="shared" si="51"/>
        <v>44.632689233663115</v>
      </c>
      <c r="GX48" s="20">
        <f t="shared" si="28"/>
        <v>385.843067081963</v>
      </c>
      <c r="GY48" s="59">
        <f t="shared" si="29"/>
        <v>679.17640041529626</v>
      </c>
      <c r="GZ48" s="59">
        <f ca="1">AVERAGE(OFFSET($GY$3,0,0,'Données projet'!$E$18+1,1))-AVERAGE(OFFSET($H$3,0,0,'Données projet'!$E$18+1,1))</f>
        <v>226.35975611953359</v>
      </c>
      <c r="HA48" s="59">
        <f t="shared" si="52"/>
        <v>271.65876694892461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7.4493554183343527</v>
      </c>
      <c r="HI48" s="21">
        <f>EXP(-LN(2)/2)*HI47+(1-EXP(-LN(2)/2))/(LN(2)/2)*HC48*HF48*VLOOKUP('Données projet'!$B$18,Paramètres!$A$1:$I$89,3,0)*0.475*44/12</f>
        <v>6.5278181877288122E-2</v>
      </c>
      <c r="HJ48" s="22">
        <f t="shared" si="30"/>
        <v>7.5146336002116412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9.9423076923076934</v>
      </c>
      <c r="N49" s="13">
        <f>IF('Données projet'!$A$36&gt;35,N48+M49-V48,IF(A49&lt;'Données projet'!$A$36,$K$205^A49,IF(A49='Données projet'!$A$36,'Données projet'!$B$36,N48+M49-V48)))</f>
        <v>183.23076923076917</v>
      </c>
      <c r="O49" s="13">
        <f>N49*VLOOKUP('Données projet'!$B$9,Paramètres!$A$1:$I$89,3,0)*VLOOKUP('Données projet'!$B$9,Paramètres!$A$1:$I$89,5,0)</f>
        <v>165.78719999999993</v>
      </c>
      <c r="P49" s="13">
        <f t="shared" si="33"/>
        <v>42.145122994841088</v>
      </c>
      <c r="Q49" s="20">
        <f t="shared" si="53"/>
        <v>362.14879588268133</v>
      </c>
      <c r="R49" s="59">
        <f t="shared" si="0"/>
        <v>655.48212921601464</v>
      </c>
      <c r="S49" s="59">
        <f ca="1">AVERAGE(OFFSET($R$3,0,0,'Données projet'!$E$9+1,1))-AVERAGE(OFFSET($H$3,0,0,'Données projet'!$E$9+1,1))</f>
        <v>309.07357540707869</v>
      </c>
      <c r="T49" s="59">
        <f t="shared" si="34"/>
        <v>155.9593924683299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</v>
      </c>
      <c r="AI49" s="13">
        <f>IF('Données projet'!$A$62&gt;35,AI48+AH49-AQ48,IF(A49&lt;'Données projet'!$A$62,$AF$205^A49,IF(A49='Données projet'!$A$62,'Données projet'!$B$62,AI48+AH49-AQ48)))</f>
        <v>185.79999999999993</v>
      </c>
      <c r="AJ49" s="13">
        <f>AI49*VLOOKUP('Données projet'!$B$10,Paramètres!$A$1:$I$89,3,0)*VLOOKUP('Données projet'!$B$10,Paramètres!$A$1:$I$89,5,0)</f>
        <v>162.31487999999996</v>
      </c>
      <c r="AK49" s="13">
        <f t="shared" si="35"/>
        <v>41.364205750322519</v>
      </c>
      <c r="AL49" s="20">
        <f t="shared" si="4"/>
        <v>354.74107434847832</v>
      </c>
      <c r="AM49" s="59">
        <f t="shared" si="5"/>
        <v>648.07440768181164</v>
      </c>
      <c r="AN49" s="59">
        <f ca="1">AVERAGE(OFFSET($AM$3,0,0,'Données projet'!$E$10+1,1))-AVERAGE(OFFSET($H$3,0,0,'Données projet'!$E$10+1,1))</f>
        <v>210.07838338464626</v>
      </c>
      <c r="AO49" s="59">
        <f t="shared" si="36"/>
        <v>241.76003724236273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3.8608240247684731</v>
      </c>
      <c r="AV49" s="21">
        <f>EXP(-LN(2)/25)*AV48+(1-EXP(-LN(2)/25))/(LN(2)/25)*Calculateur!AQ49*Calculateur!AS49*VLOOKUP('Données projet'!$B$10,Paramètres!$A$1:$I$89,3,0)*0.475*44/12</f>
        <v>8.70156786045807</v>
      </c>
      <c r="AW49" s="21">
        <f>EXP(-LN(2)/2)*AW48+(1-EXP(-LN(2)/2))/(LN(2)/2)*AQ49*AT49*VLOOKUP('Données projet'!$B$10,Paramètres!$A$1:$I$89,3,0)*0.475*44/12</f>
        <v>6.2388376839254911E-2</v>
      </c>
      <c r="AX49" s="21">
        <f t="shared" si="6"/>
        <v>12.624780262065798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</v>
      </c>
      <c r="BD49" s="12">
        <f>IF('Données projet'!$A$88&gt;35,BD48+BC49-BL48,IF(A49&lt;'Données projet'!$A$88,$BA$205^A49,IF(A49='Données projet'!$A$88,'Données projet'!$B$88,BD48+BC49-BL48)))</f>
        <v>262.39999999999998</v>
      </c>
      <c r="BE49" s="13">
        <f>BD49*VLOOKUP('Données projet'!$B$11,Paramètres!$A$1:$I$89,3,0)*VLOOKUP('Données projet'!$B$11,Paramètres!$A$1:$I$89,5,0)</f>
        <v>143.2704</v>
      </c>
      <c r="BF49" s="13">
        <f t="shared" si="37"/>
        <v>37.045198377171303</v>
      </c>
      <c r="BG49" s="20">
        <f t="shared" si="7"/>
        <v>314.04966717357325</v>
      </c>
      <c r="BH49" s="59">
        <f t="shared" si="8"/>
        <v>607.38300050690657</v>
      </c>
      <c r="BI49" s="59">
        <f ca="1">AVERAGE(OFFSET($BH$3,0,0,'Données projet'!$E$11+1,1))-AVERAGE(OFFSET($H$3,0,0,'Données projet'!$E$11+1,1))</f>
        <v>168.72306536277267</v>
      </c>
      <c r="BJ49" s="59">
        <f t="shared" si="38"/>
        <v>203.35476578922339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2.2159327557181414</v>
      </c>
      <c r="BQ49" s="21">
        <f>EXP(-LN(2)/25)*BQ48+(1-EXP(-LN(2)/25))/(LN(2)/25)*Calculateur!BL49*Calculateur!BN49*VLOOKUP('Données projet'!$B$11,Paramètres!$A$1:$I$89,3,0)*0.475*44/12</f>
        <v>14.749785954337847</v>
      </c>
      <c r="BR49" s="21">
        <f>EXP(-LN(2)/2)*BR48+(1-EXP(-LN(2)/2))/(LN(2)/2)*BL49*BO49*VLOOKUP('Données projet'!$B$11,Paramètres!$A$1:$I$89,3,0)*0.475*44/12</f>
        <v>7.8218150867536154E-2</v>
      </c>
      <c r="BS49" s="22">
        <f t="shared" si="9"/>
        <v>17.043936860923523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15.618681318681309</v>
      </c>
      <c r="BY49" s="12">
        <f>IF('Données projet'!$A$114&gt;35,BY48+BX49-CG48,IF(A49&lt;'Données projet'!$A$114,$BV$205^A49,IF(A49='Données projet'!$A$114,'Données projet'!$B$114,BY48+BX49-CG48)))</f>
        <v>292.99780219780229</v>
      </c>
      <c r="BZ49" s="13">
        <f>BY49*VLOOKUP('Données projet'!$B$12,Paramètres!$A$1:$I$89,3,0)*VLOOKUP('Données projet'!$B$12,Paramètres!$A$1:$I$89,5,0)</f>
        <v>137.12297142857147</v>
      </c>
      <c r="CA49" s="13">
        <f t="shared" si="39"/>
        <v>35.63712427284996</v>
      </c>
      <c r="CB49" s="20">
        <f t="shared" si="10"/>
        <v>300.89050001330901</v>
      </c>
      <c r="CC49" s="59">
        <f t="shared" si="11"/>
        <v>594.22383334664232</v>
      </c>
      <c r="CD49" s="59">
        <f ca="1">AVERAGE(OFFSET($CC$3,0,0,'Données projet'!$E$12+1,1))-AVERAGE(OFFSET($H$3,0,0,'Données projet'!$E$12+1,1))</f>
        <v>158.58786357608489</v>
      </c>
      <c r="CE49" s="59">
        <f t="shared" si="40"/>
        <v>163.20074068819849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7.7</v>
      </c>
      <c r="CT49" s="12">
        <f>IF('Données projet'!$A$140&gt;35,CT48+CS49-DB48,IF(A49&lt;'Données projet'!$A$140,$CQ$205^A49,IF(A49='Données projet'!$A$140,'Données projet'!$B$140,CT48+CS49-DB48)))</f>
        <v>210.19999999999979</v>
      </c>
      <c r="CU49" s="17">
        <f>CT49*VLOOKUP('Données projet'!$B$13,Paramètres!$A$1:$I$89,3,0)*VLOOKUP('Données projet'!$B$13,Paramètres!$A$1:$I$89,5,0)</f>
        <v>154.11863999999986</v>
      </c>
      <c r="CV49" s="13">
        <f t="shared" si="41"/>
        <v>39.513080685376558</v>
      </c>
      <c r="CW49" s="20">
        <f t="shared" si="13"/>
        <v>337.24191352703059</v>
      </c>
      <c r="CX49" s="59">
        <f t="shared" si="14"/>
        <v>630.5752468603639</v>
      </c>
      <c r="CY49" s="59">
        <f ca="1">AVERAGE(OFFSET($CX$3,0,0,'Données projet'!$E$13+1,1))-AVERAGE(OFFSET($H$3,0,0,'Données projet'!$E$13+1,1))</f>
        <v>178.12968684094687</v>
      </c>
      <c r="CZ49" s="59">
        <f t="shared" si="42"/>
        <v>219.36004077210373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4.9337815046519635</v>
      </c>
      <c r="DH49" s="21">
        <f>EXP(-LN(2)/2)*DH48+(1-EXP(-LN(2)/2))/(LN(2)/2)*DB49*DE49*VLOOKUP('Données projet'!$B$13,Paramètres!$A$1:$I$89,3,0)*0.475*44/12</f>
        <v>3.8740291397162216E-2</v>
      </c>
      <c r="DI49" s="22">
        <f t="shared" si="15"/>
        <v>4.9725217960491257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-8.5265128291212022E-14</v>
      </c>
      <c r="DP49" s="17">
        <f>DO49*VLOOKUP('Données projet'!$B$14,Paramètres!$A$1:$I$89,3,0)*VLOOKUP('Données projet'!$B$14,Paramètres!$A$1:$I$89,5,0)</f>
        <v>-7.7147888077888636E-14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225.28075317732998</v>
      </c>
      <c r="DU49" s="59">
        <f t="shared" si="44"/>
        <v>358.43407531256207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1.634244469446352</v>
      </c>
      <c r="EB49" s="21">
        <f>EXP(-LN(2)/25)*EB48+(1-EXP(-LN(2)/25))/(LN(2)/25)*Calculateur!DW49*Calculateur!DY49*VLOOKUP('Données projet'!$B$14,Paramètres!$A$1:$I$89,3,0)*0.475*44/12</f>
        <v>5.308285884649397</v>
      </c>
      <c r="EC49" s="21">
        <f>EXP(-LN(2)/2)*EC48+(1-EXP(-LN(2)/2))/(LN(2)/2)*DW49*DZ49*VLOOKUP('Données projet'!$B$14,Paramètres!$A$1:$I$89,3,0)*0.475*44/12</f>
        <v>1.7242269980349702E-2</v>
      </c>
      <c r="ED49" s="22">
        <f t="shared" si="18"/>
        <v>6.9597726240760984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9.9423076923076934</v>
      </c>
      <c r="EJ49" s="12">
        <f>IF('Données projet'!$A$192&gt;35,EJ48+EI49-ER48,IF(A49&lt;'Données projet'!$A$192,$EG$205^A49,IF(A49='Données projet'!$A$192,'Données projet'!$B$192,EJ48+EI49-ER48)))</f>
        <v>183.23076923076917</v>
      </c>
      <c r="EK49" s="17">
        <f>EJ49*VLOOKUP('Données projet'!$B$15,Paramètres!$A$1:$I$89,3,0)*VLOOKUP('Données projet'!$B$15,Paramètres!$A$1:$I$89,5,0)</f>
        <v>185.79599999999996</v>
      </c>
      <c r="EL49" s="13">
        <f t="shared" si="45"/>
        <v>46.60930127448345</v>
      </c>
      <c r="EM49" s="20">
        <f t="shared" si="19"/>
        <v>404.77256638639187</v>
      </c>
      <c r="EN49" s="59">
        <f t="shared" si="20"/>
        <v>698.10589971972513</v>
      </c>
      <c r="EO49" s="59">
        <f ca="1">AVERAGE(OFFSET($EN$3,0,0,'Données projet'!$E$15+1,1))-AVERAGE(OFFSET($H$3,0,0,'Données projet'!$E$15+1,1))</f>
        <v>363.98308691765931</v>
      </c>
      <c r="EP49" s="59">
        <f t="shared" si="46"/>
        <v>181.47089407988187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9.9423076923076934</v>
      </c>
      <c r="FE49" s="12">
        <f>IF('Données projet'!$A$218&gt;35,FE48+FD49-FM48,IF(A49&lt;'Données projet'!$A$218,$FB$205^A49,IF(A49='Données projet'!$A$218,'Données projet'!$B$218,FE48+FD49-FM48)))</f>
        <v>183.23076923076917</v>
      </c>
      <c r="FF49" s="17">
        <f>FE49*VLOOKUP('Données projet'!$B$16,Paramètres!$A$1:$I$89,3,0)*VLOOKUP('Données projet'!$B$16,Paramètres!$A$1:$I$89,5,0)</f>
        <v>197.22959999999992</v>
      </c>
      <c r="FG49" s="13">
        <f t="shared" si="47"/>
        <v>49.134824261487829</v>
      </c>
      <c r="FH49" s="20">
        <f t="shared" si="22"/>
        <v>429.0847055887578</v>
      </c>
      <c r="FI49" s="59">
        <f t="shared" si="23"/>
        <v>722.41803892209111</v>
      </c>
      <c r="FJ49" s="59">
        <f ca="1">AVERAGE(OFFSET($FI$3,0,0,'Données projet'!$E$16+1,1))-AVERAGE(OFFSET($H$3,0,0,'Données projet'!$E$16+1,1))</f>
        <v>395.30533160963489</v>
      </c>
      <c r="FK49" s="59">
        <f t="shared" si="48"/>
        <v>196.02102977695085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6.8</v>
      </c>
      <c r="FZ49" s="12">
        <f>IF('Données projet'!$A$244&gt;35,FZ48+FY49-GH48,IF(A49&lt;'Données projet'!$A$244,$FW$205^A49,IF(A49='Données projet'!$A$244,'Données projet'!$B$244,FZ48+FY49-GH48)))</f>
        <v>185.79999999999993</v>
      </c>
      <c r="GA49" s="17">
        <f>FZ49*VLOOKUP('Données projet'!$B$17,Paramètres!$A$1:$I$89,3,0)*VLOOKUP('Données projet'!$B$17,Paramètres!$A$1:$I$89,5,0)</f>
        <v>194.19815999999994</v>
      </c>
      <c r="GB49" s="13">
        <f t="shared" si="49"/>
        <v>48.466922550948404</v>
      </c>
      <c r="GC49" s="20">
        <f t="shared" si="25"/>
        <v>422.64168544290169</v>
      </c>
      <c r="GD49" s="59">
        <f t="shared" si="26"/>
        <v>715.97501877623495</v>
      </c>
      <c r="GE49" s="59">
        <f ca="1">AVERAGE(OFFSET($GD$3,0,0,'Données projet'!$E$17+1,1))-AVERAGE(OFFSET($H$3,0,0,'Données projet'!$E$17+1,1))</f>
        <v>269.41185214595805</v>
      </c>
      <c r="GF49" s="59">
        <f t="shared" si="50"/>
        <v>299.70148160580993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4.6192001724908511</v>
      </c>
      <c r="GM49" s="21">
        <f>EXP(-LN(2)/25)*GM48+(1-EXP(-LN(2)/25))/(LN(2)/25)*Calculateur!GH49*Calculateur!GJ49*VLOOKUP('Données projet'!$B$17,Paramètres!$A$1:$I$89,3,0)*0.475*44/12</f>
        <v>10.41080440447662</v>
      </c>
      <c r="GN49" s="21">
        <f>EXP(-LN(2)/2)*GN48+(1-EXP(-LN(2)/2))/(LN(2)/2)*GH49*GK49*VLOOKUP('Données projet'!$B$17,Paramètres!$A$1:$I$89,3,0)*0.475*44/12</f>
        <v>7.4643236575537092E-2</v>
      </c>
      <c r="GO49" s="21">
        <f t="shared" si="27"/>
        <v>15.104647813543009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7.7</v>
      </c>
      <c r="GU49" s="12">
        <f>IF('Données projet'!$A$270&gt;35,GU48+GT49-HC48,IF(A49&lt;'Données projet'!$A$270,$GR$205^A49,IF(A49='Données projet'!$A$270,'Données projet'!$B$270,GU48+GT49-HC48)))</f>
        <v>210.19999999999979</v>
      </c>
      <c r="GV49" s="17">
        <f>GU49*VLOOKUP('Données projet'!$B$18,Paramètres!$A$1:$I$89,3,0)*VLOOKUP('Données projet'!$B$18,Paramètres!$A$1:$I$89,5,0)</f>
        <v>183.63071999999983</v>
      </c>
      <c r="GW49" s="13">
        <f t="shared" si="51"/>
        <v>46.129013251634404</v>
      </c>
      <c r="GX49" s="20">
        <f t="shared" si="28"/>
        <v>400.16486874659626</v>
      </c>
      <c r="GY49" s="59">
        <f t="shared" si="29"/>
        <v>693.49820207992957</v>
      </c>
      <c r="GZ49" s="59">
        <f ca="1">AVERAGE(OFFSET($GY$3,0,0,'Données projet'!$E$18+1,1))-AVERAGE(OFFSET($H$3,0,0,'Données projet'!$E$18+1,1))</f>
        <v>226.35975611953359</v>
      </c>
      <c r="HA49" s="59">
        <f t="shared" si="52"/>
        <v>271.65876694892461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7.2456524026754243</v>
      </c>
      <c r="HI49" s="21">
        <f>EXP(-LN(2)/2)*HI48+(1-EXP(-LN(2)/2))/(LN(2)/2)*HC49*HF49*VLOOKUP('Données projet'!$B$18,Paramètres!$A$1:$I$89,3,0)*0.475*44/12</f>
        <v>4.6158645068959225E-2</v>
      </c>
      <c r="HJ49" s="22">
        <f t="shared" si="30"/>
        <v>7.2918110477443836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9.9423076923076934</v>
      </c>
      <c r="N50" s="13">
        <f>IF('Données projet'!$A$36&gt;35,N49+M50-V49,IF(A50&lt;'Données projet'!$A$36,$K$205^A50,IF(A50='Données projet'!$A$36,'Données projet'!$B$36,N49+M50-V49)))</f>
        <v>193.17307692307685</v>
      </c>
      <c r="O50" s="13">
        <f>N50*VLOOKUP('Données projet'!$B$9,Paramètres!$A$1:$I$89,3,0)*VLOOKUP('Données projet'!$B$9,Paramètres!$A$1:$I$89,5,0)</f>
        <v>174.78299999999993</v>
      </c>
      <c r="P50" s="13">
        <f t="shared" si="33"/>
        <v>44.159520456631583</v>
      </c>
      <c r="Q50" s="20">
        <f t="shared" si="53"/>
        <v>381.3248897952999</v>
      </c>
      <c r="R50" s="59">
        <f t="shared" si="0"/>
        <v>674.65822312863315</v>
      </c>
      <c r="S50" s="59">
        <f ca="1">AVERAGE(OFFSET($R$3,0,0,'Données projet'!$E$9+1,1))-AVERAGE(OFFSET($H$3,0,0,'Données projet'!$E$9+1,1))</f>
        <v>309.07357540707869</v>
      </c>
      <c r="T50" s="59">
        <f t="shared" si="34"/>
        <v>155.9593924683299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</v>
      </c>
      <c r="AI50" s="13">
        <f>IF('Données projet'!$A$62&gt;35,AI49+AH50-AQ49,IF(A50&lt;'Données projet'!$A$62,$AF$205^A50,IF(A50='Données projet'!$A$62,'Données projet'!$B$62,AI49+AH50-AQ49)))</f>
        <v>192.59999999999994</v>
      </c>
      <c r="AJ50" s="13">
        <f>AI50*VLOOKUP('Données projet'!$B$10,Paramètres!$A$1:$I$89,3,0)*VLOOKUP('Données projet'!$B$10,Paramètres!$A$1:$I$89,5,0)</f>
        <v>168.25535999999997</v>
      </c>
      <c r="AK50" s="13">
        <f t="shared" si="35"/>
        <v>42.699047982710887</v>
      </c>
      <c r="AL50" s="20">
        <f t="shared" si="4"/>
        <v>367.41226056988802</v>
      </c>
      <c r="AM50" s="59">
        <f t="shared" si="5"/>
        <v>660.74559390322133</v>
      </c>
      <c r="AN50" s="59">
        <f ca="1">AVERAGE(OFFSET($AM$3,0,0,'Données projet'!$E$10+1,1))-AVERAGE(OFFSET($H$3,0,0,'Données projet'!$E$10+1,1))</f>
        <v>210.07838338464626</v>
      </c>
      <c r="AO50" s="59">
        <f t="shared" si="36"/>
        <v>241.76003724236273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3.7851156205128942</v>
      </c>
      <c r="AV50" s="21">
        <f>EXP(-LN(2)/25)*AV49+(1-EXP(-LN(2)/25))/(LN(2)/25)*Calculateur!AQ50*Calculateur!AS50*VLOOKUP('Données projet'!$B$10,Paramètres!$A$1:$I$89,3,0)*0.475*44/12</f>
        <v>8.4636230297182777</v>
      </c>
      <c r="AW50" s="21">
        <f>EXP(-LN(2)/2)*AW49+(1-EXP(-LN(2)/2))/(LN(2)/2)*AQ50*AT50*VLOOKUP('Données projet'!$B$10,Paramètres!$A$1:$I$89,3,0)*0.475*44/12</f>
        <v>4.4115244330258895E-2</v>
      </c>
      <c r="AX50" s="21">
        <f t="shared" si="6"/>
        <v>12.29285389456143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</v>
      </c>
      <c r="BD50" s="12">
        <f>IF('Données projet'!$A$88&gt;35,BD49+BC50-BL49,IF(A50&lt;'Données projet'!$A$88,$BA$205^A50,IF(A50='Données projet'!$A$88,'Données projet'!$B$88,BD49+BC50-BL49)))</f>
        <v>272.29999999999995</v>
      </c>
      <c r="BE50" s="13">
        <f>BD50*VLOOKUP('Données projet'!$B$11,Paramètres!$A$1:$I$89,3,0)*VLOOKUP('Données projet'!$B$11,Paramètres!$A$1:$I$89,5,0)</f>
        <v>148.67579999999998</v>
      </c>
      <c r="BF50" s="13">
        <f t="shared" si="37"/>
        <v>38.277501294524541</v>
      </c>
      <c r="BG50" s="20">
        <f t="shared" si="7"/>
        <v>325.61033308796351</v>
      </c>
      <c r="BH50" s="59">
        <f t="shared" si="8"/>
        <v>618.94366642129683</v>
      </c>
      <c r="BI50" s="59">
        <f ca="1">AVERAGE(OFFSET($BH$3,0,0,'Données projet'!$E$11+1,1))-AVERAGE(OFFSET($H$3,0,0,'Données projet'!$E$11+1,1))</f>
        <v>168.72306536277267</v>
      </c>
      <c r="BJ50" s="59">
        <f t="shared" si="38"/>
        <v>203.35476578922339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2.1724796659640315</v>
      </c>
      <c r="BQ50" s="21">
        <f>EXP(-LN(2)/25)*BQ49+(1-EXP(-LN(2)/25))/(LN(2)/25)*Calculateur!BL50*Calculateur!BN50*VLOOKUP('Données projet'!$B$11,Paramètres!$A$1:$I$89,3,0)*0.475*44/12</f>
        <v>14.346452281758946</v>
      </c>
      <c r="BR50" s="21">
        <f>EXP(-LN(2)/2)*BR49+(1-EXP(-LN(2)/2))/(LN(2)/2)*BL50*BO50*VLOOKUP('Données projet'!$B$11,Paramètres!$A$1:$I$89,3,0)*0.475*44/12</f>
        <v>5.5308584890307252E-2</v>
      </c>
      <c r="BS50" s="22">
        <f t="shared" si="9"/>
        <v>16.574240532613285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15.618681318681309</v>
      </c>
      <c r="BY50" s="12">
        <f>IF('Données projet'!$A$114&gt;35,BY49+BX50-CG49,IF(A50&lt;'Données projet'!$A$114,$BV$205^A50,IF(A50='Données projet'!$A$114,'Données projet'!$B$114,BY49+BX50-CG49)))</f>
        <v>308.61648351648358</v>
      </c>
      <c r="BZ50" s="13">
        <f>BY50*VLOOKUP('Données projet'!$B$12,Paramètres!$A$1:$I$89,3,0)*VLOOKUP('Données projet'!$B$12,Paramètres!$A$1:$I$89,5,0)</f>
        <v>144.43251428571432</v>
      </c>
      <c r="CA50" s="13">
        <f t="shared" si="39"/>
        <v>37.310582871696397</v>
      </c>
      <c r="CB50" s="20">
        <f t="shared" si="10"/>
        <v>316.5358942158237</v>
      </c>
      <c r="CC50" s="59">
        <f t="shared" si="11"/>
        <v>609.86922754915702</v>
      </c>
      <c r="CD50" s="59">
        <f ca="1">AVERAGE(OFFSET($CC$3,0,0,'Données projet'!$E$12+1,1))-AVERAGE(OFFSET($H$3,0,0,'Données projet'!$E$12+1,1))</f>
        <v>158.58786357608489</v>
      </c>
      <c r="CE50" s="59">
        <f t="shared" si="40"/>
        <v>163.20074068819849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7.7</v>
      </c>
      <c r="CT50" s="12">
        <f>IF('Données projet'!$A$140&gt;35,CT49+CS50-DB49,IF(A50&lt;'Données projet'!$A$140,$CQ$205^A50,IF(A50='Données projet'!$A$140,'Données projet'!$B$140,CT49+CS50-DB49)))</f>
        <v>217.89999999999978</v>
      </c>
      <c r="CU50" s="17">
        <f>CT50*VLOOKUP('Données projet'!$B$13,Paramètres!$A$1:$I$89,3,0)*VLOOKUP('Données projet'!$B$13,Paramètres!$A$1:$I$89,5,0)</f>
        <v>159.76427999999981</v>
      </c>
      <c r="CV50" s="13">
        <f t="shared" si="41"/>
        <v>40.789343541489288</v>
      </c>
      <c r="CW50" s="20">
        <f t="shared" si="13"/>
        <v>349.29756100142686</v>
      </c>
      <c r="CX50" s="59">
        <f t="shared" si="14"/>
        <v>642.63089433476011</v>
      </c>
      <c r="CY50" s="59">
        <f ca="1">AVERAGE(OFFSET($CX$3,0,0,'Données projet'!$E$13+1,1))-AVERAGE(OFFSET($H$3,0,0,'Données projet'!$E$13+1,1))</f>
        <v>178.12968684094687</v>
      </c>
      <c r="CZ50" s="59">
        <f t="shared" si="42"/>
        <v>219.36004077210373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4.7988669899509624</v>
      </c>
      <c r="DH50" s="21">
        <f>EXP(-LN(2)/2)*DH49+(1-EXP(-LN(2)/2))/(LN(2)/2)*DB50*DE50*VLOOKUP('Données projet'!$B$13,Paramètres!$A$1:$I$89,3,0)*0.475*44/12</f>
        <v>2.7393522752076273E-2</v>
      </c>
      <c r="DI50" s="22">
        <f t="shared" si="15"/>
        <v>4.8262605127030387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-8.5265128291212022E-14</v>
      </c>
      <c r="DP50" s="17">
        <f>DO50*VLOOKUP('Données projet'!$B$14,Paramètres!$A$1:$I$89,3,0)*VLOOKUP('Données projet'!$B$14,Paramètres!$A$1:$I$89,5,0)</f>
        <v>-7.7147888077888636E-14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225.28075317732998</v>
      </c>
      <c r="DU50" s="59">
        <f t="shared" si="44"/>
        <v>358.43407531256207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1.6021979321912105</v>
      </c>
      <c r="EB50" s="21">
        <f>EXP(-LN(2)/25)*EB49+(1-EXP(-LN(2)/25))/(LN(2)/25)*Calculateur!DW50*Calculateur!DY50*VLOOKUP('Données projet'!$B$14,Paramètres!$A$1:$I$89,3,0)*0.475*44/12</f>
        <v>5.1631305279830366</v>
      </c>
      <c r="EC50" s="21">
        <f>EXP(-LN(2)/2)*EC49+(1-EXP(-LN(2)/2))/(LN(2)/2)*DW50*DZ50*VLOOKUP('Données projet'!$B$14,Paramètres!$A$1:$I$89,3,0)*0.475*44/12</f>
        <v>1.2192126026154514E-2</v>
      </c>
      <c r="ED50" s="22">
        <f t="shared" si="18"/>
        <v>6.777520586200402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9.9423076923076934</v>
      </c>
      <c r="EJ50" s="12">
        <f>IF('Données projet'!$A$192&gt;35,EJ49+EI50-ER49,IF(A50&lt;'Données projet'!$A$192,$EG$205^A50,IF(A50='Données projet'!$A$192,'Données projet'!$B$192,EJ49+EI50-ER49)))</f>
        <v>193.17307692307685</v>
      </c>
      <c r="EK50" s="17">
        <f>EJ50*VLOOKUP('Données projet'!$B$15,Paramètres!$A$1:$I$89,3,0)*VLOOKUP('Données projet'!$B$15,Paramètres!$A$1:$I$89,5,0)</f>
        <v>195.87749999999994</v>
      </c>
      <c r="EL50" s="13">
        <f t="shared" si="45"/>
        <v>48.837071690401778</v>
      </c>
      <c r="EM50" s="20">
        <f t="shared" si="19"/>
        <v>426.21121236078301</v>
      </c>
      <c r="EN50" s="59">
        <f t="shared" si="20"/>
        <v>719.54454569411632</v>
      </c>
      <c r="EO50" s="59">
        <f ca="1">AVERAGE(OFFSET($EN$3,0,0,'Données projet'!$E$15+1,1))-AVERAGE(OFFSET($H$3,0,0,'Données projet'!$E$15+1,1))</f>
        <v>363.98308691765931</v>
      </c>
      <c r="EP50" s="59">
        <f t="shared" si="46"/>
        <v>181.47089407988187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9.9423076923076934</v>
      </c>
      <c r="FE50" s="12">
        <f>IF('Données projet'!$A$218&gt;35,FE49+FD50-FM49,IF(A50&lt;'Données projet'!$A$218,$FB$205^A50,IF(A50='Données projet'!$A$218,'Données projet'!$B$218,FE49+FD50-FM49)))</f>
        <v>193.17307692307685</v>
      </c>
      <c r="FF50" s="17">
        <f>FE50*VLOOKUP('Données projet'!$B$16,Paramètres!$A$1:$I$89,3,0)*VLOOKUP('Données projet'!$B$16,Paramètres!$A$1:$I$89,5,0)</f>
        <v>207.93149999999991</v>
      </c>
      <c r="FG50" s="13">
        <f t="shared" si="47"/>
        <v>51.483306321677262</v>
      </c>
      <c r="FH50" s="20">
        <f t="shared" si="22"/>
        <v>451.81412101025444</v>
      </c>
      <c r="FI50" s="59">
        <f t="shared" si="23"/>
        <v>745.1474543435877</v>
      </c>
      <c r="FJ50" s="59">
        <f ca="1">AVERAGE(OFFSET($FI$3,0,0,'Données projet'!$E$16+1,1))-AVERAGE(OFFSET($H$3,0,0,'Données projet'!$E$16+1,1))</f>
        <v>395.30533160963489</v>
      </c>
      <c r="FK50" s="59">
        <f t="shared" si="48"/>
        <v>196.02102977695085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6.8</v>
      </c>
      <c r="FZ50" s="12">
        <f>IF('Données projet'!$A$244&gt;35,FZ49+FY50-GH49,IF(A50&lt;'Données projet'!$A$244,$FW$205^A50,IF(A50='Données projet'!$A$244,'Données projet'!$B$244,FZ49+FY50-GH49)))</f>
        <v>192.59999999999994</v>
      </c>
      <c r="GA50" s="17">
        <f>FZ50*VLOOKUP('Données projet'!$B$17,Paramètres!$A$1:$I$89,3,0)*VLOOKUP('Données projet'!$B$17,Paramètres!$A$1:$I$89,5,0)</f>
        <v>201.30551999999997</v>
      </c>
      <c r="GB50" s="13">
        <f t="shared" si="49"/>
        <v>50.030972770730415</v>
      </c>
      <c r="GC50" s="20">
        <f t="shared" si="25"/>
        <v>437.74439157568872</v>
      </c>
      <c r="GD50" s="59">
        <f t="shared" si="26"/>
        <v>731.07772490902198</v>
      </c>
      <c r="GE50" s="59">
        <f ca="1">AVERAGE(OFFSET($GD$3,0,0,'Données projet'!$E$17+1,1))-AVERAGE(OFFSET($H$3,0,0,'Données projet'!$E$17+1,1))</f>
        <v>269.41185214595805</v>
      </c>
      <c r="GF50" s="59">
        <f t="shared" si="50"/>
        <v>299.70148160580993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4.5286204745422118</v>
      </c>
      <c r="GM50" s="21">
        <f>EXP(-LN(2)/25)*GM49+(1-EXP(-LN(2)/25))/(LN(2)/25)*Calculateur!GH50*Calculateur!GJ50*VLOOKUP('Données projet'!$B$17,Paramètres!$A$1:$I$89,3,0)*0.475*44/12</f>
        <v>10.126120410555798</v>
      </c>
      <c r="GN50" s="21">
        <f>EXP(-LN(2)/2)*GN49+(1-EXP(-LN(2)/2))/(LN(2)/2)*GH50*GK50*VLOOKUP('Données projet'!$B$17,Paramètres!$A$1:$I$89,3,0)*0.475*44/12</f>
        <v>5.2780738752274008E-2</v>
      </c>
      <c r="GO50" s="21">
        <f t="shared" si="27"/>
        <v>14.707521623850283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7.7</v>
      </c>
      <c r="GU50" s="12">
        <f>IF('Données projet'!$A$270&gt;35,GU49+GT50-HC49,IF(A50&lt;'Données projet'!$A$270,$GR$205^A50,IF(A50='Données projet'!$A$270,'Données projet'!$B$270,GU49+GT50-HC49)))</f>
        <v>217.89999999999978</v>
      </c>
      <c r="GV50" s="17">
        <f>GU50*VLOOKUP('Données projet'!$B$18,Paramètres!$A$1:$I$89,3,0)*VLOOKUP('Données projet'!$B$18,Paramètres!$A$1:$I$89,5,0)</f>
        <v>190.35743999999983</v>
      </c>
      <c r="GW50" s="13">
        <f t="shared" si="51"/>
        <v>47.618969113870712</v>
      </c>
      <c r="GX50" s="20">
        <f t="shared" si="28"/>
        <v>414.47557920665781</v>
      </c>
      <c r="GY50" s="59">
        <f t="shared" si="29"/>
        <v>707.80891253999107</v>
      </c>
      <c r="GZ50" s="59">
        <f ca="1">AVERAGE(OFFSET($GY$3,0,0,'Données projet'!$E$18+1,1))-AVERAGE(OFFSET($H$3,0,0,'Données projet'!$E$18+1,1))</f>
        <v>226.35975611953359</v>
      </c>
      <c r="HA50" s="59">
        <f t="shared" si="52"/>
        <v>271.65876694892461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7.0475196566919651</v>
      </c>
      <c r="HI50" s="21">
        <f>EXP(-LN(2)/2)*HI49+(1-EXP(-LN(2)/2))/(LN(2)/2)*HC50*HF50*VLOOKUP('Données projet'!$B$18,Paramètres!$A$1:$I$89,3,0)*0.475*44/12</f>
        <v>3.2639090938644061E-2</v>
      </c>
      <c r="HJ50" s="22">
        <f t="shared" si="30"/>
        <v>7.0801587476306089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9.9423076923076934</v>
      </c>
      <c r="N51" s="13">
        <f>IF('Données projet'!$A$36&gt;35,N50+M51-V50,IF(A51&lt;'Données projet'!$A$36,$K$205^A51,IF(A51='Données projet'!$A$36,'Données projet'!$B$36,N50+M51-V50)))</f>
        <v>203.11538461538453</v>
      </c>
      <c r="O51" s="13">
        <f>N51*VLOOKUP('Données projet'!$B$9,Paramètres!$A$1:$I$89,3,0)*VLOOKUP('Données projet'!$B$9,Paramètres!$A$1:$I$89,5,0)</f>
        <v>183.7787999999999</v>
      </c>
      <c r="P51" s="13">
        <f t="shared" si="33"/>
        <v>46.161880289388137</v>
      </c>
      <c r="Q51" s="20">
        <f t="shared" si="53"/>
        <v>400.48001817068416</v>
      </c>
      <c r="R51" s="59">
        <f t="shared" si="0"/>
        <v>693.81335150401742</v>
      </c>
      <c r="S51" s="59">
        <f ca="1">AVERAGE(OFFSET($R$3,0,0,'Données projet'!$E$9+1,1))-AVERAGE(OFFSET($H$3,0,0,'Données projet'!$E$9+1,1))</f>
        <v>309.07357540707869</v>
      </c>
      <c r="T51" s="59">
        <f t="shared" si="34"/>
        <v>155.9593924683299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</v>
      </c>
      <c r="AI51" s="13">
        <f>IF('Données projet'!$A$62&gt;35,AI50+AH51-AQ50,IF(A51&lt;'Données projet'!$A$62,$AF$205^A51,IF(A51='Données projet'!$A$62,'Données projet'!$B$62,AI50+AH51-AQ50)))</f>
        <v>199.39999999999995</v>
      </c>
      <c r="AJ51" s="13">
        <f>AI51*VLOOKUP('Données projet'!$B$10,Paramètres!$A$1:$I$89,3,0)*VLOOKUP('Données projet'!$B$10,Paramètres!$A$1:$I$89,5,0)</f>
        <v>174.19583999999998</v>
      </c>
      <c r="AK51" s="13">
        <f t="shared" si="35"/>
        <v>44.028414526076745</v>
      </c>
      <c r="AL51" s="20">
        <f t="shared" si="4"/>
        <v>380.07390996625026</v>
      </c>
      <c r="AM51" s="59">
        <f t="shared" si="5"/>
        <v>673.40724329958357</v>
      </c>
      <c r="AN51" s="59">
        <f ca="1">AVERAGE(OFFSET($AM$3,0,0,'Données projet'!$E$10+1,1))-AVERAGE(OFFSET($H$3,0,0,'Données projet'!$E$10+1,1))</f>
        <v>210.07838338464626</v>
      </c>
      <c r="AO51" s="59">
        <f t="shared" si="36"/>
        <v>241.76003724236273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3.7108918118872003</v>
      </c>
      <c r="AV51" s="21">
        <f>EXP(-LN(2)/25)*AV50+(1-EXP(-LN(2)/25))/(LN(2)/25)*Calculateur!AQ51*Calculateur!AS51*VLOOKUP('Données projet'!$B$10,Paramètres!$A$1:$I$89,3,0)*0.475*44/12</f>
        <v>8.2321848128880397</v>
      </c>
      <c r="AW51" s="21">
        <f>EXP(-LN(2)/2)*AW50+(1-EXP(-LN(2)/2))/(LN(2)/2)*AQ51*AT51*VLOOKUP('Données projet'!$B$10,Paramètres!$A$1:$I$89,3,0)*0.475*44/12</f>
        <v>3.1194188419627459E-2</v>
      </c>
      <c r="AX51" s="21">
        <f t="shared" si="6"/>
        <v>11.974270813194869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</v>
      </c>
      <c r="BD51" s="12">
        <f>IF('Données projet'!$A$88&gt;35,BD50+BC51-BL50,IF(A51&lt;'Données projet'!$A$88,$BA$205^A51,IF(A51='Données projet'!$A$88,'Données projet'!$B$88,BD50+BC51-BL50)))</f>
        <v>282.19999999999993</v>
      </c>
      <c r="BE51" s="13">
        <f>BD51*VLOOKUP('Données projet'!$B$11,Paramètres!$A$1:$I$89,3,0)*VLOOKUP('Données projet'!$B$11,Paramètres!$A$1:$I$89,5,0)</f>
        <v>154.08119999999997</v>
      </c>
      <c r="BF51" s="13">
        <f t="shared" si="37"/>
        <v>39.504598975531827</v>
      </c>
      <c r="BG51" s="20">
        <f t="shared" si="7"/>
        <v>337.16193321571785</v>
      </c>
      <c r="BH51" s="59">
        <f t="shared" si="8"/>
        <v>630.49526654905117</v>
      </c>
      <c r="BI51" s="59">
        <f ca="1">AVERAGE(OFFSET($BH$3,0,0,'Données projet'!$E$11+1,1))-AVERAGE(OFFSET($H$3,0,0,'Données projet'!$E$11+1,1))</f>
        <v>168.72306536277267</v>
      </c>
      <c r="BJ51" s="59">
        <f t="shared" si="38"/>
        <v>203.35476578922339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2.129878664796232</v>
      </c>
      <c r="BQ51" s="21">
        <f>EXP(-LN(2)/25)*BQ50+(1-EXP(-LN(2)/25))/(LN(2)/25)*Calculateur!BL51*Calculateur!BN51*VLOOKUP('Données projet'!$B$11,Paramètres!$A$1:$I$89,3,0)*0.475*44/12</f>
        <v>13.954147789667111</v>
      </c>
      <c r="BR51" s="21">
        <f>EXP(-LN(2)/2)*BR50+(1-EXP(-LN(2)/2))/(LN(2)/2)*BL51*BO51*VLOOKUP('Données projet'!$B$11,Paramètres!$A$1:$I$89,3,0)*0.475*44/12</f>
        <v>3.9109075433768084E-2</v>
      </c>
      <c r="BS51" s="22">
        <f t="shared" si="9"/>
        <v>16.123135529897109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15.618681318681309</v>
      </c>
      <c r="BY51" s="12">
        <f>IF('Données projet'!$A$114&gt;35,BY50+BX51-CG50,IF(A51&lt;'Données projet'!$A$114,$BV$205^A51,IF(A51='Données projet'!$A$114,'Données projet'!$B$114,BY50+BX51-CG50)))</f>
        <v>324.23516483516488</v>
      </c>
      <c r="BZ51" s="13">
        <f>BY51*VLOOKUP('Données projet'!$B$12,Paramètres!$A$1:$I$89,3,0)*VLOOKUP('Données projet'!$B$12,Paramètres!$A$1:$I$89,5,0)</f>
        <v>151.74205714285716</v>
      </c>
      <c r="CA51" s="13">
        <f t="shared" si="39"/>
        <v>38.974207918733512</v>
      </c>
      <c r="CB51" s="20">
        <f t="shared" si="10"/>
        <v>332.16416164893707</v>
      </c>
      <c r="CC51" s="59">
        <f t="shared" si="11"/>
        <v>625.49749498227038</v>
      </c>
      <c r="CD51" s="59">
        <f ca="1">AVERAGE(OFFSET($CC$3,0,0,'Données projet'!$E$12+1,1))-AVERAGE(OFFSET($H$3,0,0,'Données projet'!$E$12+1,1))</f>
        <v>158.58786357608489</v>
      </c>
      <c r="CE51" s="59">
        <f t="shared" si="40"/>
        <v>163.20074068819849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7.7</v>
      </c>
      <c r="CT51" s="12">
        <f>IF('Données projet'!$A$140&gt;35,CT50+CS51-DB50,IF(A51&lt;'Données projet'!$A$140,$CQ$205^A51,IF(A51='Données projet'!$A$140,'Données projet'!$B$140,CT50+CS51-DB50)))</f>
        <v>225.59999999999977</v>
      </c>
      <c r="CU51" s="17">
        <f>CT51*VLOOKUP('Données projet'!$B$13,Paramètres!$A$1:$I$89,3,0)*VLOOKUP('Données projet'!$B$13,Paramètres!$A$1:$I$89,5,0)</f>
        <v>165.40991999999983</v>
      </c>
      <c r="CV51" s="13">
        <f t="shared" si="41"/>
        <v>42.060366422582085</v>
      </c>
      <c r="CW51" s="20">
        <f t="shared" si="13"/>
        <v>361.3440821859968</v>
      </c>
      <c r="CX51" s="59">
        <f t="shared" si="14"/>
        <v>654.67741551933011</v>
      </c>
      <c r="CY51" s="59">
        <f ca="1">AVERAGE(OFFSET($CX$3,0,0,'Données projet'!$E$13+1,1))-AVERAGE(OFFSET($H$3,0,0,'Données projet'!$E$13+1,1))</f>
        <v>178.12968684094687</v>
      </c>
      <c r="CZ51" s="59">
        <f t="shared" si="42"/>
        <v>219.36004077210373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4.6676417197493061</v>
      </c>
      <c r="DH51" s="21">
        <f>EXP(-LN(2)/2)*DH50+(1-EXP(-LN(2)/2))/(LN(2)/2)*DB51*DE51*VLOOKUP('Données projet'!$B$13,Paramètres!$A$1:$I$89,3,0)*0.475*44/12</f>
        <v>1.9370145698581108E-2</v>
      </c>
      <c r="DI51" s="22">
        <f t="shared" si="15"/>
        <v>4.6870118654478876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-8.5265128291212022E-14</v>
      </c>
      <c r="DP51" s="17">
        <f>DO51*VLOOKUP('Données projet'!$B$14,Paramètres!$A$1:$I$89,3,0)*VLOOKUP('Données projet'!$B$14,Paramètres!$A$1:$I$89,5,0)</f>
        <v>-7.7147888077888636E-14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225.28075317732998</v>
      </c>
      <c r="DU51" s="59">
        <f t="shared" si="44"/>
        <v>358.43407531256207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1.5707798079851847</v>
      </c>
      <c r="EB51" s="21">
        <f>EXP(-LN(2)/25)*EB50+(1-EXP(-LN(2)/25))/(LN(2)/25)*Calculateur!DW51*Calculateur!DY51*VLOOKUP('Données projet'!$B$14,Paramètres!$A$1:$I$89,3,0)*0.475*44/12</f>
        <v>5.0219444521781069</v>
      </c>
      <c r="EC51" s="21">
        <f>EXP(-LN(2)/2)*EC50+(1-EXP(-LN(2)/2))/(LN(2)/2)*DW51*DZ51*VLOOKUP('Données projet'!$B$14,Paramètres!$A$1:$I$89,3,0)*0.475*44/12</f>
        <v>8.6211349901748509E-3</v>
      </c>
      <c r="ED51" s="22">
        <f t="shared" si="18"/>
        <v>6.6013453951534666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9.9423076923076934</v>
      </c>
      <c r="EJ51" s="12">
        <f>IF('Données projet'!$A$192&gt;35,EJ50+EI51-ER50,IF(A51&lt;'Données projet'!$A$192,$EG$205^A51,IF(A51='Données projet'!$A$192,'Données projet'!$B$192,EJ50+EI51-ER50)))</f>
        <v>203.11538461538453</v>
      </c>
      <c r="EK51" s="17">
        <f>EJ51*VLOOKUP('Données projet'!$B$15,Paramètres!$A$1:$I$89,3,0)*VLOOKUP('Données projet'!$B$15,Paramètres!$A$1:$I$89,5,0)</f>
        <v>205.95899999999992</v>
      </c>
      <c r="EL51" s="13">
        <f t="shared" si="45"/>
        <v>51.0515294039621</v>
      </c>
      <c r="EM51" s="20">
        <f t="shared" si="19"/>
        <v>447.62667204523387</v>
      </c>
      <c r="EN51" s="59">
        <f t="shared" si="20"/>
        <v>740.96000537856719</v>
      </c>
      <c r="EO51" s="59">
        <f ca="1">AVERAGE(OFFSET($EN$3,0,0,'Données projet'!$E$15+1,1))-AVERAGE(OFFSET($H$3,0,0,'Données projet'!$E$15+1,1))</f>
        <v>363.98308691765931</v>
      </c>
      <c r="EP51" s="59">
        <f t="shared" si="46"/>
        <v>181.47089407988187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9.9423076923076934</v>
      </c>
      <c r="FE51" s="12">
        <f>IF('Données projet'!$A$218&gt;35,FE50+FD51-FM50,IF(A51&lt;'Données projet'!$A$218,$FB$205^A51,IF(A51='Données projet'!$A$218,'Données projet'!$B$218,FE50+FD51-FM50)))</f>
        <v>203.11538461538453</v>
      </c>
      <c r="FF51" s="17">
        <f>FE51*VLOOKUP('Données projet'!$B$16,Paramètres!$A$1:$I$89,3,0)*VLOOKUP('Données projet'!$B$16,Paramètres!$A$1:$I$89,5,0)</f>
        <v>218.63339999999991</v>
      </c>
      <c r="FG51" s="13">
        <f t="shared" si="47"/>
        <v>53.817754331303384</v>
      </c>
      <c r="FH51" s="20">
        <f t="shared" si="22"/>
        <v>474.51909379368664</v>
      </c>
      <c r="FI51" s="59">
        <f t="shared" si="23"/>
        <v>767.85242712701995</v>
      </c>
      <c r="FJ51" s="59">
        <f ca="1">AVERAGE(OFFSET($FI$3,0,0,'Données projet'!$E$16+1,1))-AVERAGE(OFFSET($H$3,0,0,'Données projet'!$E$16+1,1))</f>
        <v>395.30533160963489</v>
      </c>
      <c r="FK51" s="59">
        <f t="shared" si="48"/>
        <v>196.02102977695085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6.8</v>
      </c>
      <c r="FZ51" s="12">
        <f>IF('Données projet'!$A$244&gt;35,FZ50+FY51-GH50,IF(A51&lt;'Données projet'!$A$244,$FW$205^A51,IF(A51='Données projet'!$A$244,'Données projet'!$B$244,FZ50+FY51-GH50)))</f>
        <v>199.39999999999995</v>
      </c>
      <c r="GA51" s="17">
        <f>FZ51*VLOOKUP('Données projet'!$B$17,Paramètres!$A$1:$I$89,3,0)*VLOOKUP('Données projet'!$B$17,Paramètres!$A$1:$I$89,5,0)</f>
        <v>208.41287999999997</v>
      </c>
      <c r="GB51" s="13">
        <f t="shared" si="49"/>
        <v>51.588607061789673</v>
      </c>
      <c r="GC51" s="20">
        <f t="shared" si="25"/>
        <v>452.83592329928359</v>
      </c>
      <c r="GD51" s="59">
        <f t="shared" si="26"/>
        <v>746.16925663261691</v>
      </c>
      <c r="GE51" s="59">
        <f ca="1">AVERAGE(OFFSET($GD$3,0,0,'Données projet'!$E$17+1,1))-AVERAGE(OFFSET($H$3,0,0,'Données projet'!$E$17+1,1))</f>
        <v>269.41185214595805</v>
      </c>
      <c r="GF51" s="59">
        <f t="shared" si="50"/>
        <v>299.70148160580993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4.4398169892221855</v>
      </c>
      <c r="GM51" s="21">
        <f>EXP(-LN(2)/25)*GM50+(1-EXP(-LN(2)/25))/(LN(2)/25)*Calculateur!GH51*Calculateur!GJ51*VLOOKUP('Données projet'!$B$17,Paramètres!$A$1:$I$89,3,0)*0.475*44/12</f>
        <v>9.8492211154196205</v>
      </c>
      <c r="GN51" s="21">
        <f>EXP(-LN(2)/2)*GN50+(1-EXP(-LN(2)/2))/(LN(2)/2)*GH51*GK51*VLOOKUP('Données projet'!$B$17,Paramètres!$A$1:$I$89,3,0)*0.475*44/12</f>
        <v>3.7321618287768546E-2</v>
      </c>
      <c r="GO51" s="21">
        <f t="shared" si="27"/>
        <v>14.326359722929574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7.7</v>
      </c>
      <c r="GU51" s="12">
        <f>IF('Données projet'!$A$270&gt;35,GU50+GT51-HC50,IF(A51&lt;'Données projet'!$A$270,$GR$205^A51,IF(A51='Données projet'!$A$270,'Données projet'!$B$270,GU50+GT51-HC50)))</f>
        <v>225.59999999999977</v>
      </c>
      <c r="GV51" s="17">
        <f>GU51*VLOOKUP('Données projet'!$B$18,Paramètres!$A$1:$I$89,3,0)*VLOOKUP('Données projet'!$B$18,Paramètres!$A$1:$I$89,5,0)</f>
        <v>197.08415999999983</v>
      </c>
      <c r="GW51" s="13">
        <f t="shared" si="51"/>
        <v>49.102807637925835</v>
      </c>
      <c r="GX51" s="20">
        <f t="shared" si="28"/>
        <v>428.7756353027205</v>
      </c>
      <c r="GY51" s="59">
        <f t="shared" si="29"/>
        <v>722.10896863605376</v>
      </c>
      <c r="GZ51" s="59">
        <f ca="1">AVERAGE(OFFSET($GY$3,0,0,'Données projet'!$E$18+1,1))-AVERAGE(OFFSET($H$3,0,0,'Données projet'!$E$18+1,1))</f>
        <v>226.35975611953359</v>
      </c>
      <c r="HA51" s="59">
        <f t="shared" si="52"/>
        <v>271.65876694892461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6.8548048610667722</v>
      </c>
      <c r="HI51" s="21">
        <f>EXP(-LN(2)/2)*HI50+(1-EXP(-LN(2)/2))/(LN(2)/2)*HC51*HF51*VLOOKUP('Données projet'!$B$18,Paramètres!$A$1:$I$89,3,0)*0.475*44/12</f>
        <v>2.3079322534479613E-2</v>
      </c>
      <c r="HJ51" s="22">
        <f t="shared" si="30"/>
        <v>6.8778841836012514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9.9423076923076934</v>
      </c>
      <c r="N52" s="13">
        <f>IF('Données projet'!$A$36&gt;35,N51+M52-V51,IF(A52&lt;'Données projet'!$A$36,$K$205^A52,IF(A52='Données projet'!$A$36,'Données projet'!$B$36,N51+M52-V51)))</f>
        <v>213.05769230769221</v>
      </c>
      <c r="O52" s="13">
        <f>N52*VLOOKUP('Données projet'!$B$9,Paramètres!$A$1:$I$89,3,0)*VLOOKUP('Données projet'!$B$9,Paramètres!$A$1:$I$89,5,0)</f>
        <v>192.77459999999991</v>
      </c>
      <c r="P52" s="13">
        <f t="shared" si="33"/>
        <v>48.152858976416411</v>
      </c>
      <c r="Q52" s="20">
        <f t="shared" si="53"/>
        <v>419.6153243839251</v>
      </c>
      <c r="R52" s="59">
        <f t="shared" si="0"/>
        <v>712.94865771725836</v>
      </c>
      <c r="S52" s="59">
        <f ca="1">AVERAGE(OFFSET($R$3,0,0,'Données projet'!$E$9+1,1))-AVERAGE(OFFSET($H$3,0,0,'Données projet'!$E$9+1,1))</f>
        <v>309.07357540707869</v>
      </c>
      <c r="T52" s="59">
        <f t="shared" si="34"/>
        <v>155.9593924683299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</v>
      </c>
      <c r="AI52" s="13">
        <f>IF('Données projet'!$A$62&gt;35,AI51+AH52-AQ51,IF(A52&lt;'Données projet'!$A$62,$AF$205^A52,IF(A52='Données projet'!$A$62,'Données projet'!$B$62,AI51+AH52-AQ51)))</f>
        <v>206.19999999999996</v>
      </c>
      <c r="AJ52" s="13">
        <f>AI52*VLOOKUP('Données projet'!$B$10,Paramètres!$A$1:$I$89,3,0)*VLOOKUP('Données projet'!$B$10,Paramètres!$A$1:$I$89,5,0)</f>
        <v>180.13631999999998</v>
      </c>
      <c r="AK52" s="13">
        <f t="shared" si="35"/>
        <v>45.352513518602102</v>
      </c>
      <c r="AL52" s="20">
        <f t="shared" si="4"/>
        <v>392.72638504489856</v>
      </c>
      <c r="AM52" s="59">
        <f t="shared" si="5"/>
        <v>686.05971837823188</v>
      </c>
      <c r="AN52" s="59">
        <f ca="1">AVERAGE(OFFSET($AM$3,0,0,'Données projet'!$E$10+1,1))-AVERAGE(OFFSET($H$3,0,0,'Données projet'!$E$10+1,1))</f>
        <v>210.07838338464626</v>
      </c>
      <c r="AO52" s="59">
        <f t="shared" si="36"/>
        <v>241.76003724236273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3.6381234868766033</v>
      </c>
      <c r="AV52" s="21">
        <f>EXP(-LN(2)/25)*AV51+(1-EXP(-LN(2)/25))/(LN(2)/25)*Calculateur!AQ52*Calculateur!AS52*VLOOKUP('Données projet'!$B$10,Paramètres!$A$1:$I$89,3,0)*0.475*44/12</f>
        <v>8.0070752862678312</v>
      </c>
      <c r="AW52" s="21">
        <f>EXP(-LN(2)/2)*AW51+(1-EXP(-LN(2)/2))/(LN(2)/2)*AQ52*AT52*VLOOKUP('Données projet'!$B$10,Paramètres!$A$1:$I$89,3,0)*0.475*44/12</f>
        <v>2.2057622165129451E-2</v>
      </c>
      <c r="AX52" s="21">
        <f t="shared" si="6"/>
        <v>11.667256395309565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</v>
      </c>
      <c r="BD52" s="12">
        <f>IF('Données projet'!$A$88&gt;35,BD51+BC52-BL51,IF(A52&lt;'Données projet'!$A$88,$BA$205^A52,IF(A52='Données projet'!$A$88,'Données projet'!$B$88,BD51+BC52-BL51)))</f>
        <v>292.09999999999991</v>
      </c>
      <c r="BE52" s="13">
        <f>BD52*VLOOKUP('Données projet'!$B$11,Paramètres!$A$1:$I$89,3,0)*VLOOKUP('Données projet'!$B$11,Paramètres!$A$1:$I$89,5,0)</f>
        <v>159.48659999999995</v>
      </c>
      <c r="BF52" s="13">
        <f t="shared" si="37"/>
        <v>40.72669495241923</v>
      </c>
      <c r="BG52" s="20">
        <f t="shared" si="7"/>
        <v>348.70482204213005</v>
      </c>
      <c r="BH52" s="59">
        <f t="shared" si="8"/>
        <v>642.03815537546336</v>
      </c>
      <c r="BI52" s="59">
        <f ca="1">AVERAGE(OFFSET($BH$3,0,0,'Données projet'!$E$11+1,1))-AVERAGE(OFFSET($H$3,0,0,'Données projet'!$E$11+1,1))</f>
        <v>168.72306536277267</v>
      </c>
      <c r="BJ52" s="59">
        <f t="shared" si="38"/>
        <v>203.35476578922339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2.0881130432772883</v>
      </c>
      <c r="BQ52" s="21">
        <f>EXP(-LN(2)/25)*BQ51+(1-EXP(-LN(2)/25))/(LN(2)/25)*Calculateur!BL52*Calculateur!BN52*VLOOKUP('Données projet'!$B$11,Paramètres!$A$1:$I$89,3,0)*0.475*44/12</f>
        <v>13.572570884541925</v>
      </c>
      <c r="BR52" s="21">
        <f>EXP(-LN(2)/2)*BR51+(1-EXP(-LN(2)/2))/(LN(2)/2)*BL52*BO52*VLOOKUP('Données projet'!$B$11,Paramètres!$A$1:$I$89,3,0)*0.475*44/12</f>
        <v>2.7654292445153633E-2</v>
      </c>
      <c r="BS52" s="22">
        <f t="shared" si="9"/>
        <v>15.688338220264368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>
        <f>VLOOKUP(A52,'Données projet'!$A$113:$I$133,2,0)</f>
        <v>339.85384615384612</v>
      </c>
      <c r="BW52" s="12">
        <f>VLOOKUP(A52,'Données projet'!$A$113:$I$133,9,0)</f>
        <v>15.618681318681309</v>
      </c>
      <c r="BX52" s="12">
        <f t="array" ref="BX52">INDEX(BW:BW,MIN(IF(ISNUMBER(BW52:BW248),ROW(BW52:BW248),"")))</f>
        <v>15.618681318681309</v>
      </c>
      <c r="BY52" s="12">
        <f>IF('Données projet'!$A$114&gt;35,BY51+BX52-CG51,IF(A52&lt;'Données projet'!$A$114,$BV$205^A52,IF(A52='Données projet'!$A$114,'Données projet'!$B$114,BY51+BX52-CG51)))</f>
        <v>339.85384615384618</v>
      </c>
      <c r="BZ52" s="13">
        <f>BY52*VLOOKUP('Données projet'!$B$12,Paramètres!$A$1:$I$89,3,0)*VLOOKUP('Données projet'!$B$12,Paramètres!$A$1:$I$89,5,0)</f>
        <v>159.05160000000001</v>
      </c>
      <c r="CA52" s="13">
        <f t="shared" si="39"/>
        <v>40.628527179850586</v>
      </c>
      <c r="CB52" s="20">
        <f t="shared" si="10"/>
        <v>347.77622150490646</v>
      </c>
      <c r="CC52" s="59">
        <f t="shared" si="11"/>
        <v>641.10955483823977</v>
      </c>
      <c r="CD52" s="59">
        <f ca="1">AVERAGE(OFFSET($CC$3,0,0,'Données projet'!$E$12+1,1))-AVERAGE(OFFSET($H$3,0,0,'Données projet'!$E$12+1,1))</f>
        <v>158.58786357608489</v>
      </c>
      <c r="CE52" s="59">
        <f t="shared" si="40"/>
        <v>163.20074068819849</v>
      </c>
      <c r="CF52" s="15">
        <f>IF(ISNA(VLOOKUP(A52,'Données projet'!$A$113:$I$133,3,0)),0,VLOOKUP(A52,'Données projet'!$A$113:$I$133,3,0))</f>
        <v>2</v>
      </c>
      <c r="CG52" s="15">
        <f>IF(ISNA(VLOOKUP(A52,'Données projet'!$A$113:$I$133,4,0)),0,VLOOKUP(A52,'Données projet'!$A$113:$I$133,4,0))</f>
        <v>94.476923076923072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7.7</v>
      </c>
      <c r="CT52" s="12">
        <f>IF('Données projet'!$A$140&gt;35,CT51+CS52-DB51,IF(A52&lt;'Données projet'!$A$140,$CQ$205^A52,IF(A52='Données projet'!$A$140,'Données projet'!$B$140,CT51+CS52-DB51)))</f>
        <v>233.29999999999976</v>
      </c>
      <c r="CU52" s="17">
        <f>CT52*VLOOKUP('Données projet'!$B$13,Paramètres!$A$1:$I$89,3,0)*VLOOKUP('Données projet'!$B$13,Paramètres!$A$1:$I$89,5,0)</f>
        <v>171.05555999999982</v>
      </c>
      <c r="CV52" s="13">
        <f t="shared" si="41"/>
        <v>43.326348675621681</v>
      </c>
      <c r="CW52" s="20">
        <f t="shared" si="13"/>
        <v>373.38182427670745</v>
      </c>
      <c r="CX52" s="59">
        <f t="shared" si="14"/>
        <v>666.71515761004071</v>
      </c>
      <c r="CY52" s="59">
        <f ca="1">AVERAGE(OFFSET($CX$3,0,0,'Données projet'!$E$13+1,1))-AVERAGE(OFFSET($H$3,0,0,'Données projet'!$E$13+1,1))</f>
        <v>178.12968684094687</v>
      </c>
      <c r="CZ52" s="59">
        <f t="shared" si="42"/>
        <v>219.36004077210373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4.5400048114621514</v>
      </c>
      <c r="DH52" s="21">
        <f>EXP(-LN(2)/2)*DH51+(1-EXP(-LN(2)/2))/(LN(2)/2)*DB52*DE52*VLOOKUP('Données projet'!$B$13,Paramètres!$A$1:$I$89,3,0)*0.475*44/12</f>
        <v>1.3696761376038136E-2</v>
      </c>
      <c r="DI52" s="22">
        <f t="shared" si="15"/>
        <v>4.5537015728381895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-8.5265128291212022E-14</v>
      </c>
      <c r="DP52" s="17">
        <f>DO52*VLOOKUP('Données projet'!$B$14,Paramètres!$A$1:$I$89,3,0)*VLOOKUP('Données projet'!$B$14,Paramètres!$A$1:$I$89,5,0)</f>
        <v>-7.7147888077888636E-14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225.28075317732998</v>
      </c>
      <c r="DU52" s="59">
        <f t="shared" si="44"/>
        <v>358.43407531256207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1.5399777740316754</v>
      </c>
      <c r="EB52" s="21">
        <f>EXP(-LN(2)/25)*EB51+(1-EXP(-LN(2)/25))/(LN(2)/25)*Calculateur!DW52*Calculateur!DY52*VLOOKUP('Données projet'!$B$14,Paramètres!$A$1:$I$89,3,0)*0.475*44/12</f>
        <v>4.8846191170407156</v>
      </c>
      <c r="EC52" s="21">
        <f>EXP(-LN(2)/2)*EC51+(1-EXP(-LN(2)/2))/(LN(2)/2)*DW52*DZ52*VLOOKUP('Données projet'!$B$14,Paramètres!$A$1:$I$89,3,0)*0.475*44/12</f>
        <v>6.0960630130772568E-3</v>
      </c>
      <c r="ED52" s="22">
        <f t="shared" si="18"/>
        <v>6.430692954085468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9.9423076923076934</v>
      </c>
      <c r="EJ52" s="12">
        <f>IF('Données projet'!$A$192&gt;35,EJ51+EI52-ER51,IF(A52&lt;'Données projet'!$A$192,$EG$205^A52,IF(A52='Données projet'!$A$192,'Données projet'!$B$192,EJ51+EI52-ER51)))</f>
        <v>213.05769230769221</v>
      </c>
      <c r="EK52" s="17">
        <f>EJ52*VLOOKUP('Données projet'!$B$15,Paramètres!$A$1:$I$89,3,0)*VLOOKUP('Données projet'!$B$15,Paramètres!$A$1:$I$89,5,0)</f>
        <v>216.04049999999989</v>
      </c>
      <c r="EL52" s="13">
        <f t="shared" si="45"/>
        <v>53.253400435780783</v>
      </c>
      <c r="EM52" s="20">
        <f t="shared" si="19"/>
        <v>469.02020992565139</v>
      </c>
      <c r="EN52" s="59">
        <f t="shared" si="20"/>
        <v>762.3535432589847</v>
      </c>
      <c r="EO52" s="59">
        <f ca="1">AVERAGE(OFFSET($EN$3,0,0,'Données projet'!$E$15+1,1))-AVERAGE(OFFSET($H$3,0,0,'Données projet'!$E$15+1,1))</f>
        <v>363.98308691765931</v>
      </c>
      <c r="EP52" s="59">
        <f t="shared" si="46"/>
        <v>181.47089407988187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9.9423076923076934</v>
      </c>
      <c r="FE52" s="12">
        <f>IF('Données projet'!$A$218&gt;35,FE51+FD52-FM51,IF(A52&lt;'Données projet'!$A$218,$FB$205^A52,IF(A52='Données projet'!$A$218,'Données projet'!$B$218,FE51+FD52-FM51)))</f>
        <v>213.05769230769221</v>
      </c>
      <c r="FF52" s="17">
        <f>FE52*VLOOKUP('Données projet'!$B$16,Paramètres!$A$1:$I$89,3,0)*VLOOKUP('Données projet'!$B$16,Paramètres!$A$1:$I$89,5,0)</f>
        <v>229.3352999999999</v>
      </c>
      <c r="FG52" s="13">
        <f t="shared" si="47"/>
        <v>56.138933650378547</v>
      </c>
      <c r="FH52" s="20">
        <f t="shared" si="22"/>
        <v>497.20095694107573</v>
      </c>
      <c r="FI52" s="59">
        <f t="shared" si="23"/>
        <v>790.53429027440905</v>
      </c>
      <c r="FJ52" s="59">
        <f ca="1">AVERAGE(OFFSET($FI$3,0,0,'Données projet'!$E$16+1,1))-AVERAGE(OFFSET($H$3,0,0,'Données projet'!$E$16+1,1))</f>
        <v>395.30533160963489</v>
      </c>
      <c r="FK52" s="59">
        <f t="shared" si="48"/>
        <v>196.02102977695085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6.8</v>
      </c>
      <c r="FZ52" s="12">
        <f>IF('Données projet'!$A$244&gt;35,FZ51+FY52-GH51,IF(A52&lt;'Données projet'!$A$244,$FW$205^A52,IF(A52='Données projet'!$A$244,'Données projet'!$B$244,FZ51+FY52-GH51)))</f>
        <v>206.19999999999996</v>
      </c>
      <c r="GA52" s="17">
        <f>FZ52*VLOOKUP('Données projet'!$B$17,Paramètres!$A$1:$I$89,3,0)*VLOOKUP('Données projet'!$B$17,Paramètres!$A$1:$I$89,5,0)</f>
        <v>215.52023999999994</v>
      </c>
      <c r="GB52" s="13">
        <f t="shared" si="49"/>
        <v>53.140069302062884</v>
      </c>
      <c r="GC52" s="20">
        <f t="shared" si="25"/>
        <v>467.91670536775945</v>
      </c>
      <c r="GD52" s="59">
        <f t="shared" si="26"/>
        <v>761.25003870109276</v>
      </c>
      <c r="GE52" s="59">
        <f ca="1">AVERAGE(OFFSET($GD$3,0,0,'Données projet'!$E$17+1,1))-AVERAGE(OFFSET($H$3,0,0,'Données projet'!$E$17+1,1))</f>
        <v>269.41185214595805</v>
      </c>
      <c r="GF52" s="59">
        <f t="shared" si="50"/>
        <v>299.70148160580993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4.3527548860845071</v>
      </c>
      <c r="GM52" s="21">
        <f>EXP(-LN(2)/25)*GM51+(1-EXP(-LN(2)/25))/(LN(2)/25)*Calculateur!GH52*Calculateur!GJ52*VLOOKUP('Données projet'!$B$17,Paramètres!$A$1:$I$89,3,0)*0.475*44/12</f>
        <v>9.5798936460704436</v>
      </c>
      <c r="GN52" s="21">
        <f>EXP(-LN(2)/2)*GN51+(1-EXP(-LN(2)/2))/(LN(2)/2)*GH52*GK52*VLOOKUP('Données projet'!$B$17,Paramètres!$A$1:$I$89,3,0)*0.475*44/12</f>
        <v>2.6390369376137004E-2</v>
      </c>
      <c r="GO52" s="21">
        <f t="shared" si="27"/>
        <v>13.959038901531088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7.7</v>
      </c>
      <c r="GU52" s="12">
        <f>IF('Données projet'!$A$270&gt;35,GU51+GT52-HC51,IF(A52&lt;'Données projet'!$A$270,$GR$205^A52,IF(A52='Données projet'!$A$270,'Données projet'!$B$270,GU51+GT52-HC51)))</f>
        <v>233.29999999999976</v>
      </c>
      <c r="GV52" s="17">
        <f>GU52*VLOOKUP('Données projet'!$B$18,Paramètres!$A$1:$I$89,3,0)*VLOOKUP('Données projet'!$B$18,Paramètres!$A$1:$I$89,5,0)</f>
        <v>203.81087999999983</v>
      </c>
      <c r="GW52" s="13">
        <f t="shared" si="51"/>
        <v>50.580761548728134</v>
      </c>
      <c r="GX52" s="20">
        <f t="shared" si="28"/>
        <v>443.06544236403448</v>
      </c>
      <c r="GY52" s="59">
        <f t="shared" si="29"/>
        <v>736.3987756973678</v>
      </c>
      <c r="GZ52" s="59">
        <f ca="1">AVERAGE(OFFSET($GY$3,0,0,'Données projet'!$E$18+1,1))-AVERAGE(OFFSET($H$3,0,0,'Données projet'!$E$18+1,1))</f>
        <v>226.35975611953359</v>
      </c>
      <c r="HA52" s="59">
        <f t="shared" si="52"/>
        <v>271.65876694892461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6.6673598616623808</v>
      </c>
      <c r="HI52" s="21">
        <f>EXP(-LN(2)/2)*HI51+(1-EXP(-LN(2)/2))/(LN(2)/2)*HC52*HF52*VLOOKUP('Données projet'!$B$18,Paramètres!$A$1:$I$89,3,0)*0.475*44/12</f>
        <v>1.631954546932203E-2</v>
      </c>
      <c r="HJ52" s="22">
        <f t="shared" si="30"/>
        <v>6.6836794071317032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223</v>
      </c>
      <c r="L53" s="12">
        <f>VLOOKUP(A53,'Données projet'!$A$35:$I$55,9,0)</f>
        <v>9.9423076923076934</v>
      </c>
      <c r="M53" s="12">
        <f t="array" ref="M53">INDEX(L:L,MIN(IF(ISNUMBER(L53:L249),ROW(L53:L249),"")))</f>
        <v>9.9423076923076934</v>
      </c>
      <c r="N53" s="13">
        <f>IF('Données projet'!$A$36&gt;35,N52+M53-V52,IF(A53&lt;'Données projet'!$A$36,$K$205^A53,IF(A53='Données projet'!$A$36,'Données projet'!$B$36,N52+M53-V52)))</f>
        <v>222.99999999999989</v>
      </c>
      <c r="O53" s="13">
        <f>N53*VLOOKUP('Données projet'!$B$9,Paramètres!$A$1:$I$89,3,0)*VLOOKUP('Données projet'!$B$9,Paramètres!$A$1:$I$89,5,0)</f>
        <v>201.77039999999988</v>
      </c>
      <c r="P53" s="13">
        <f t="shared" si="33"/>
        <v>50.133048269036053</v>
      </c>
      <c r="Q53" s="20">
        <f t="shared" si="53"/>
        <v>438.73183906857093</v>
      </c>
      <c r="R53" s="59">
        <f t="shared" si="0"/>
        <v>732.06517240190419</v>
      </c>
      <c r="S53" s="59">
        <f ca="1">AVERAGE(OFFSET($R$3,0,0,'Données projet'!$E$9+1,1))-AVERAGE(OFFSET($H$3,0,0,'Données projet'!$E$9+1,1))</f>
        <v>309.07357540707869</v>
      </c>
      <c r="T53" s="59">
        <f t="shared" si="34"/>
        <v>155.9593924683299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52.282051282051285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213</v>
      </c>
      <c r="AG53" s="12">
        <f>VLOOKUP(A53,'Données projet'!$A$61:$I$81,9,0)</f>
        <v>6.8</v>
      </c>
      <c r="AH53" s="12">
        <f t="array" ref="AH53">INDEX(AG:AG,MIN(IF(ISNUMBER(AG53:AG249),ROW(AG53:AG249),"")))</f>
        <v>6.8</v>
      </c>
      <c r="AI53" s="13">
        <f>IF('Données projet'!$A$62&gt;35,AI52+AH53-AQ52,IF(A53&lt;'Données projet'!$A$62,$AF$205^A53,IF(A53='Données projet'!$A$62,'Données projet'!$B$62,AI52+AH53-AQ52)))</f>
        <v>212.99999999999997</v>
      </c>
      <c r="AJ53" s="13">
        <f>AI53*VLOOKUP('Données projet'!$B$10,Paramètres!$A$1:$I$89,3,0)*VLOOKUP('Données projet'!$B$10,Paramètres!$A$1:$I$89,5,0)</f>
        <v>186.07680000000002</v>
      </c>
      <c r="AK53" s="13">
        <f t="shared" si="35"/>
        <v>46.671538591528673</v>
      </c>
      <c r="AL53" s="20">
        <f t="shared" si="4"/>
        <v>405.37002304691242</v>
      </c>
      <c r="AM53" s="59">
        <f t="shared" si="5"/>
        <v>698.70335638024574</v>
      </c>
      <c r="AN53" s="59">
        <f ca="1">AVERAGE(OFFSET($AM$3,0,0,'Données projet'!$E$10+1,1))-AVERAGE(OFFSET($H$3,0,0,'Données projet'!$E$10+1,1))</f>
        <v>210.07838338464626</v>
      </c>
      <c r="AO53" s="59">
        <f t="shared" si="36"/>
        <v>241.76003724236273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3.5667821043351684</v>
      </c>
      <c r="AV53" s="21">
        <f>EXP(-LN(2)/25)*AV52+(1-EXP(-LN(2)/25))/(LN(2)/25)*Calculateur!AQ53*Calculateur!AS53*VLOOKUP('Données projet'!$B$10,Paramètres!$A$1:$I$89,3,0)*0.475*44/12</f>
        <v>7.7881213914910488</v>
      </c>
      <c r="AW53" s="21">
        <f>EXP(-LN(2)/2)*AW52+(1-EXP(-LN(2)/2))/(LN(2)/2)*AQ53*AT53*VLOOKUP('Données projet'!$B$10,Paramètres!$A$1:$I$89,3,0)*0.475*44/12</f>
        <v>1.5597094209813733E-2</v>
      </c>
      <c r="AX53" s="21">
        <f t="shared" si="6"/>
        <v>11.370500590036031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302</v>
      </c>
      <c r="BB53" s="12">
        <f>VLOOKUP(A53,'Données projet'!$A$87:$I$107,9,0)</f>
        <v>9.9</v>
      </c>
      <c r="BC53" s="12">
        <f t="array" ref="BC53">INDEX(BB:BB,MIN(IF(ISNUMBER(BB53:BB249),ROW(BB53:BB249),"")))</f>
        <v>9.9</v>
      </c>
      <c r="BD53" s="12">
        <f>IF('Données projet'!$A$88&gt;35,BD52+BC53-BL52,IF(A53&lt;'Données projet'!$A$88,$BA$205^A53,IF(A53='Données projet'!$A$88,'Données projet'!$B$88,BD52+BC53-BL52)))</f>
        <v>301.99999999999989</v>
      </c>
      <c r="BE53" s="13">
        <f>BD53*VLOOKUP('Données projet'!$B$11,Paramètres!$A$1:$I$89,3,0)*VLOOKUP('Données projet'!$B$11,Paramètres!$A$1:$I$89,5,0)</f>
        <v>164.89199999999994</v>
      </c>
      <c r="BF53" s="13">
        <f t="shared" si="37"/>
        <v>41.943978178295076</v>
      </c>
      <c r="BG53" s="20">
        <f t="shared" si="7"/>
        <v>360.23932866053048</v>
      </c>
      <c r="BH53" s="59">
        <f t="shared" si="8"/>
        <v>653.57266199386379</v>
      </c>
      <c r="BI53" s="59">
        <f ca="1">AVERAGE(OFFSET($BH$3,0,0,'Données projet'!$E$11+1,1))-AVERAGE(OFFSET($H$3,0,0,'Données projet'!$E$11+1,1))</f>
        <v>168.72306536277267</v>
      </c>
      <c r="BJ53" s="59">
        <f t="shared" si="38"/>
        <v>203.35476578922339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2.0471664201218172</v>
      </c>
      <c r="BQ53" s="21">
        <f>EXP(-LN(2)/25)*BQ52+(1-EXP(-LN(2)/25))/(LN(2)/25)*Calculateur!BL53*Calculateur!BN53*VLOOKUP('Données projet'!$B$11,Paramètres!$A$1:$I$89,3,0)*0.475*44/12</f>
        <v>13.201428219953643</v>
      </c>
      <c r="BR53" s="21">
        <f>EXP(-LN(2)/2)*BR52+(1-EXP(-LN(2)/2))/(LN(2)/2)*BL53*BO53*VLOOKUP('Données projet'!$B$11,Paramètres!$A$1:$I$89,3,0)*0.475*44/12</f>
        <v>1.9554537716884045E-2</v>
      </c>
      <c r="BS53" s="22">
        <f t="shared" si="9"/>
        <v>15.268149177792344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14.668131868131875</v>
      </c>
      <c r="BY53" s="12">
        <f>IF('Données projet'!$A$114&gt;35,BY52+BX53-CG52,IF(A53&lt;'Données projet'!$A$114,$BV$205^A53,IF(A53='Données projet'!$A$114,'Données projet'!$B$114,BY52+BX53-CG52)))</f>
        <v>260.04505494505497</v>
      </c>
      <c r="BZ53" s="13">
        <f>BY53*VLOOKUP('Données projet'!$B$12,Paramètres!$A$1:$I$89,3,0)*VLOOKUP('Données projet'!$B$12,Paramètres!$A$1:$I$89,5,0)</f>
        <v>121.70108571428571</v>
      </c>
      <c r="CA53" s="13">
        <f t="shared" si="39"/>
        <v>32.071423986344442</v>
      </c>
      <c r="CB53" s="20">
        <f t="shared" si="10"/>
        <v>267.82045439526422</v>
      </c>
      <c r="CC53" s="59">
        <f t="shared" si="11"/>
        <v>561.15378772859754</v>
      </c>
      <c r="CD53" s="59">
        <f ca="1">AVERAGE(OFFSET($CC$3,0,0,'Données projet'!$E$12+1,1))-AVERAGE(OFFSET($H$3,0,0,'Données projet'!$E$12+1,1))</f>
        <v>158.58786357608489</v>
      </c>
      <c r="CE53" s="59">
        <f t="shared" si="40"/>
        <v>163.20074068819849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241</v>
      </c>
      <c r="CR53" s="12">
        <f>VLOOKUP(A53,'Données projet'!$A$139:$I$159,9,0)</f>
        <v>7.7</v>
      </c>
      <c r="CS53" s="12">
        <f t="array" ref="CS53">INDEX(CR:CR,MIN(IF(ISNUMBER(CR53:CR249),ROW(CR53:CR249),"")))</f>
        <v>7.7</v>
      </c>
      <c r="CT53" s="12">
        <f>IF('Données projet'!$A$140&gt;35,CT52+CS53-DB52,IF(A53&lt;'Données projet'!$A$140,$CQ$205^A53,IF(A53='Données projet'!$A$140,'Données projet'!$B$140,CT52+CS53-DB52)))</f>
        <v>240.99999999999974</v>
      </c>
      <c r="CU53" s="17">
        <f>CT53*VLOOKUP('Données projet'!$B$13,Paramètres!$A$1:$I$89,3,0)*VLOOKUP('Données projet'!$B$13,Paramètres!$A$1:$I$89,5,0)</f>
        <v>176.7011999999998</v>
      </c>
      <c r="CV53" s="13">
        <f t="shared" si="41"/>
        <v>44.587475741993309</v>
      </c>
      <c r="CW53" s="20">
        <f t="shared" si="13"/>
        <v>385.41111025063793</v>
      </c>
      <c r="CX53" s="59">
        <f t="shared" si="14"/>
        <v>678.74444358397125</v>
      </c>
      <c r="CY53" s="59">
        <f ca="1">AVERAGE(OFFSET($CX$3,0,0,'Données projet'!$E$13+1,1))-AVERAGE(OFFSET($H$3,0,0,'Données projet'!$E$13+1,1))</f>
        <v>178.12968684094687</v>
      </c>
      <c r="CZ53" s="59">
        <f t="shared" si="42"/>
        <v>219.36004077210373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39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4.4158581411442421</v>
      </c>
      <c r="DH53" s="21">
        <f>EXP(-LN(2)/2)*DH52+(1-EXP(-LN(2)/2))/(LN(2)/2)*DB53*DE53*VLOOKUP('Données projet'!$B$13,Paramètres!$A$1:$I$89,3,0)*0.475*44/12</f>
        <v>9.685072849290554E-3</v>
      </c>
      <c r="DI53" s="22">
        <f t="shared" si="15"/>
        <v>4.4255432139935325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-8.5265128291212022E-14</v>
      </c>
      <c r="DP53" s="17">
        <f>DO53*VLOOKUP('Données projet'!$B$14,Paramètres!$A$1:$I$89,3,0)*VLOOKUP('Données projet'!$B$14,Paramètres!$A$1:$I$89,5,0)</f>
        <v>-7.7147888077888636E-14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225.28075317732998</v>
      </c>
      <c r="DU53" s="59">
        <f t="shared" si="44"/>
        <v>358.43407531256207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1.5097797491766087</v>
      </c>
      <c r="EB53" s="21">
        <f>EXP(-LN(2)/25)*EB52+(1-EXP(-LN(2)/25))/(LN(2)/25)*Calculateur!DW53*Calculateur!DY53*VLOOKUP('Données projet'!$B$14,Paramètres!$A$1:$I$89,3,0)*0.475*44/12</f>
        <v>4.7510489504142814</v>
      </c>
      <c r="EC53" s="21">
        <f>EXP(-LN(2)/2)*EC52+(1-EXP(-LN(2)/2))/(LN(2)/2)*DW53*DZ53*VLOOKUP('Données projet'!$B$14,Paramètres!$A$1:$I$89,3,0)*0.475*44/12</f>
        <v>4.3105674950874254E-3</v>
      </c>
      <c r="ED53" s="22">
        <f t="shared" si="18"/>
        <v>6.2651392670859778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223</v>
      </c>
      <c r="EH53" s="12">
        <f>VLOOKUP(A53,'Données projet'!$A$191:$I$211,9,0)</f>
        <v>9.9423076923076934</v>
      </c>
      <c r="EI53" s="12">
        <f t="array" ref="EI53">INDEX(EH:EH,MIN(IF(ISNUMBER(EH53:EH249),ROW(EH53:EH249),"")))</f>
        <v>9.9423076923076934</v>
      </c>
      <c r="EJ53" s="12">
        <f>IF('Données projet'!$A$192&gt;35,EJ52+EI53-ER52,IF(A53&lt;'Données projet'!$A$192,$EG$205^A53,IF(A53='Données projet'!$A$192,'Données projet'!$B$192,EJ52+EI53-ER52)))</f>
        <v>222.99999999999989</v>
      </c>
      <c r="EK53" s="17">
        <f>EJ53*VLOOKUP('Données projet'!$B$15,Paramètres!$A$1:$I$89,3,0)*VLOOKUP('Données projet'!$B$15,Paramètres!$A$1:$I$89,5,0)</f>
        <v>226.1219999999999</v>
      </c>
      <c r="EL53" s="13">
        <f t="shared" si="45"/>
        <v>55.443339217820046</v>
      </c>
      <c r="EM53" s="20">
        <f t="shared" si="19"/>
        <v>490.39296580436968</v>
      </c>
      <c r="EN53" s="59">
        <f t="shared" si="20"/>
        <v>783.72629913770299</v>
      </c>
      <c r="EO53" s="59">
        <f ca="1">AVERAGE(OFFSET($EN$3,0,0,'Données projet'!$E$15+1,1))-AVERAGE(OFFSET($H$3,0,0,'Données projet'!$E$15+1,1))</f>
        <v>363.98308691765931</v>
      </c>
      <c r="EP53" s="59">
        <f t="shared" si="46"/>
        <v>181.47089407988187</v>
      </c>
      <c r="EQ53" s="15">
        <f>IF(ISNA(VLOOKUP(A53,'Données projet'!$A$191:$I$211,3,0)),0,VLOOKUP(A53,'Données projet'!$A$191:$I$211,3,0))</f>
        <v>3</v>
      </c>
      <c r="ER53" s="15">
        <f>IF(ISNA(VLOOKUP(A53,'Données projet'!$A$191:$I$211,4,0)),0,VLOOKUP(A53,'Données projet'!$A$191:$I$211,4,0))</f>
        <v>52.282051282051285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223</v>
      </c>
      <c r="FC53" s="12">
        <f>VLOOKUP(A53,'Données projet'!$A$217:$I$237,9,0)</f>
        <v>9.9423076923076934</v>
      </c>
      <c r="FD53" s="12">
        <f t="array" ref="FD53">INDEX(FC:FC,MIN(IF(ISNUMBER(FC53:FC249),ROW(FC53:FC249),"")))</f>
        <v>9.9423076923076934</v>
      </c>
      <c r="FE53" s="12">
        <f>IF('Données projet'!$A$218&gt;35,FE52+FD53-FM52,IF(A53&lt;'Données projet'!$A$218,$FB$205^A53,IF(A53='Données projet'!$A$218,'Données projet'!$B$218,FE52+FD53-FM52)))</f>
        <v>222.99999999999989</v>
      </c>
      <c r="FF53" s="17">
        <f>FE53*VLOOKUP('Données projet'!$B$16,Paramètres!$A$1:$I$89,3,0)*VLOOKUP('Données projet'!$B$16,Paramètres!$A$1:$I$89,5,0)</f>
        <v>240.03719999999987</v>
      </c>
      <c r="FG53" s="13">
        <f t="shared" si="47"/>
        <v>58.447534171232491</v>
      </c>
      <c r="FH53" s="20">
        <f t="shared" si="22"/>
        <v>519.86091201489637</v>
      </c>
      <c r="FI53" s="59">
        <f t="shared" si="23"/>
        <v>813.19424534822974</v>
      </c>
      <c r="FJ53" s="59">
        <f ca="1">AVERAGE(OFFSET($FI$3,0,0,'Données projet'!$E$16+1,1))-AVERAGE(OFFSET($H$3,0,0,'Données projet'!$E$16+1,1))</f>
        <v>395.30533160963489</v>
      </c>
      <c r="FK53" s="59">
        <f t="shared" si="48"/>
        <v>196.02102977695085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52.282051282051285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213</v>
      </c>
      <c r="FX53" s="12">
        <f>VLOOKUP(A53,'Données projet'!$A$243:$I$263,9,0)</f>
        <v>6.8</v>
      </c>
      <c r="FY53" s="12">
        <f t="array" ref="FY53">INDEX(FX:FX,MIN(IF(ISNUMBER(FX53:FX249),ROW(FX53:FX249),"")))</f>
        <v>6.8</v>
      </c>
      <c r="FZ53" s="12">
        <f>IF('Données projet'!$A$244&gt;35,FZ52+FY53-GH52,IF(A53&lt;'Données projet'!$A$244,$FW$205^A53,IF(A53='Données projet'!$A$244,'Données projet'!$B$244,FZ52+FY53-GH52)))</f>
        <v>212.99999999999997</v>
      </c>
      <c r="GA53" s="17">
        <f>FZ53*VLOOKUP('Données projet'!$B$17,Paramètres!$A$1:$I$89,3,0)*VLOOKUP('Données projet'!$B$17,Paramètres!$A$1:$I$89,5,0)</f>
        <v>222.62759999999997</v>
      </c>
      <c r="GB53" s="13">
        <f t="shared" si="49"/>
        <v>54.685586371535265</v>
      </c>
      <c r="GC53" s="20">
        <f t="shared" si="25"/>
        <v>482.98713293042391</v>
      </c>
      <c r="GD53" s="59">
        <f t="shared" si="26"/>
        <v>776.32046626375723</v>
      </c>
      <c r="GE53" s="59">
        <f ca="1">AVERAGE(OFFSET($GD$3,0,0,'Données projet'!$E$17+1,1))-AVERAGE(OFFSET($H$3,0,0,'Données projet'!$E$17+1,1))</f>
        <v>269.41185214595805</v>
      </c>
      <c r="GF53" s="59">
        <f t="shared" si="50"/>
        <v>299.70148160580993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43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4.2674000176867191</v>
      </c>
      <c r="GM53" s="21">
        <f>EXP(-LN(2)/25)*GM52+(1-EXP(-LN(2)/25))/(LN(2)/25)*Calculateur!GH53*Calculateur!GJ53*VLOOKUP('Données projet'!$B$17,Paramètres!$A$1:$I$89,3,0)*0.475*44/12</f>
        <v>9.3179309505339347</v>
      </c>
      <c r="GN53" s="21">
        <f>EXP(-LN(2)/2)*GN52+(1-EXP(-LN(2)/2))/(LN(2)/2)*GH53*GK53*VLOOKUP('Données projet'!$B$17,Paramètres!$A$1:$I$89,3,0)*0.475*44/12</f>
        <v>1.8660809143884273E-2</v>
      </c>
      <c r="GO53" s="21">
        <f t="shared" si="27"/>
        <v>13.603991777364538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241</v>
      </c>
      <c r="GS53" s="12">
        <f>VLOOKUP(A53,'Données projet'!$A$269:$I$289,9,0)</f>
        <v>7.7</v>
      </c>
      <c r="GT53" s="12">
        <f t="array" ref="GT53">INDEX(GS:GS,MIN(IF(ISNUMBER(GS53:GS249),ROW(GS53:GS249),"")))</f>
        <v>7.7</v>
      </c>
      <c r="GU53" s="12">
        <f>IF('Données projet'!$A$270&gt;35,GU52+GT53-HC52,IF(A53&lt;'Données projet'!$A$270,$GR$205^A53,IF(A53='Données projet'!$A$270,'Données projet'!$B$270,GU52+GT53-HC52)))</f>
        <v>240.99999999999974</v>
      </c>
      <c r="GV53" s="17">
        <f>GU53*VLOOKUP('Données projet'!$B$18,Paramètres!$A$1:$I$89,3,0)*VLOOKUP('Données projet'!$B$18,Paramètres!$A$1:$I$89,5,0)</f>
        <v>210.5375999999998</v>
      </c>
      <c r="GW53" s="13">
        <f t="shared" si="51"/>
        <v>52.053047337322234</v>
      </c>
      <c r="GX53" s="20">
        <f t="shared" si="28"/>
        <v>457.34537744583582</v>
      </c>
      <c r="GY53" s="59">
        <f t="shared" si="29"/>
        <v>750.67871077916914</v>
      </c>
      <c r="GZ53" s="59">
        <f ca="1">AVERAGE(OFFSET($GY$3,0,0,'Données projet'!$E$18+1,1))-AVERAGE(OFFSET($H$3,0,0,'Données projet'!$E$18+1,1))</f>
        <v>226.35975611953359</v>
      </c>
      <c r="HA53" s="59">
        <f t="shared" si="52"/>
        <v>271.65876694892461</v>
      </c>
      <c r="HB53" s="15">
        <f>IF(ISNA(VLOOKUP(A53,'Données projet'!$A$269:$I$289,3,0)),0,VLOOKUP(A53,'Données projet'!$A$269:$I$289,3,0))</f>
        <v>4</v>
      </c>
      <c r="HC53" s="15">
        <f>IF(ISNA(VLOOKUP(A53,'Données projet'!$A$269:$I$289,4,0)),0,VLOOKUP(A53,'Données projet'!$A$269:$I$289,4,0))</f>
        <v>39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6.4850405556240061</v>
      </c>
      <c r="HI53" s="21">
        <f>EXP(-LN(2)/2)*HI52+(1-EXP(-LN(2)/2))/(LN(2)/2)*HC53*HF53*VLOOKUP('Données projet'!$B$18,Paramètres!$A$1:$I$89,3,0)*0.475*44/12</f>
        <v>1.1539661267239806E-2</v>
      </c>
      <c r="HJ53" s="22">
        <f t="shared" si="30"/>
        <v>6.4965802168912461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9.6586538461538431</v>
      </c>
      <c r="N54" s="13">
        <f>IF('Données projet'!$A$36&gt;35,N53+M54-V53,IF(A54&lt;'Données projet'!$A$36,$K$205^A54,IF(A54='Données projet'!$A$36,'Données projet'!$B$36,N53+M54-V53)))</f>
        <v>180.37660256410243</v>
      </c>
      <c r="O54" s="13">
        <f>N54*VLOOKUP('Données projet'!$B$9,Paramètres!$A$1:$I$89,3,0)*VLOOKUP('Données projet'!$B$9,Paramètres!$A$1:$I$89,5,0)</f>
        <v>163.20474999999988</v>
      </c>
      <c r="P54" s="13">
        <f t="shared" si="33"/>
        <v>41.564519294689731</v>
      </c>
      <c r="Q54" s="20">
        <f t="shared" si="53"/>
        <v>356.63981068825109</v>
      </c>
      <c r="R54" s="59">
        <f t="shared" si="0"/>
        <v>649.9731440215844</v>
      </c>
      <c r="S54" s="59">
        <f ca="1">AVERAGE(OFFSET($R$3,0,0,'Données projet'!$E$9+1,1))-AVERAGE(OFFSET($H$3,0,0,'Données projet'!$E$9+1,1))</f>
        <v>309.07357540707869</v>
      </c>
      <c r="T54" s="59">
        <f t="shared" si="34"/>
        <v>155.9593924683299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5.7</v>
      </c>
      <c r="AI54" s="13">
        <f>IF('Données projet'!$A$62&gt;35,AI53+AH54-AQ53,IF(A54&lt;'Données projet'!$A$62,$AF$205^A54,IF(A54='Données projet'!$A$62,'Données projet'!$B$62,AI53+AH54-AQ53)))</f>
        <v>175.69999999999996</v>
      </c>
      <c r="AJ54" s="13">
        <f>AI54*VLOOKUP('Données projet'!$B$10,Paramètres!$A$1:$I$89,3,0)*VLOOKUP('Données projet'!$B$10,Paramètres!$A$1:$I$89,5,0)</f>
        <v>153.49151999999998</v>
      </c>
      <c r="AK54" s="13">
        <f t="shared" si="35"/>
        <v>39.370980358987183</v>
      </c>
      <c r="AL54" s="20">
        <f t="shared" si="4"/>
        <v>335.90218812523602</v>
      </c>
      <c r="AM54" s="59">
        <f t="shared" si="5"/>
        <v>629.23552145856934</v>
      </c>
      <c r="AN54" s="59">
        <f ca="1">AVERAGE(OFFSET($AM$3,0,0,'Données projet'!$E$10+1,1))-AVERAGE(OFFSET($H$3,0,0,'Données projet'!$E$10+1,1))</f>
        <v>210.07838338464626</v>
      </c>
      <c r="AO54" s="59">
        <f t="shared" si="36"/>
        <v>241.76003724236273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3.4968396827914243</v>
      </c>
      <c r="AV54" s="21">
        <f>EXP(-LN(2)/25)*AV53+(1-EXP(-LN(2)/25))/(LN(2)/25)*Calculateur!AQ54*Calculateur!AS54*VLOOKUP('Données projet'!$B$10,Paramètres!$A$1:$I$89,3,0)*0.475*44/12</f>
        <v>7.5751548024812223</v>
      </c>
      <c r="AW54" s="21">
        <f>EXP(-LN(2)/2)*AW53+(1-EXP(-LN(2)/2))/(LN(2)/2)*AQ54*AT54*VLOOKUP('Données projet'!$B$10,Paramètres!$A$1:$I$89,3,0)*0.475*44/12</f>
        <v>1.1028811082564727E-2</v>
      </c>
      <c r="AX54" s="21">
        <f t="shared" si="6"/>
        <v>11.083023296355211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8.1999999999999993</v>
      </c>
      <c r="BD54" s="12">
        <f>IF('Données projet'!$A$88&gt;35,BD53+BC54-BL53,IF(A54&lt;'Données projet'!$A$88,$BA$205^A54,IF(A54='Données projet'!$A$88,'Données projet'!$B$88,BD53+BC54-BL53)))</f>
        <v>255.19999999999987</v>
      </c>
      <c r="BE54" s="13">
        <f>BD54*VLOOKUP('Données projet'!$B$11,Paramètres!$A$1:$I$89,3,0)*VLOOKUP('Données projet'!$B$11,Paramètres!$A$1:$I$89,5,0)</f>
        <v>139.33919999999992</v>
      </c>
      <c r="BF54" s="13">
        <f t="shared" si="37"/>
        <v>36.145583836349623</v>
      </c>
      <c r="BG54" s="20">
        <f t="shared" si="7"/>
        <v>305.63599851497548</v>
      </c>
      <c r="BH54" s="59">
        <f t="shared" si="8"/>
        <v>598.9693318483088</v>
      </c>
      <c r="BI54" s="59">
        <f ca="1">AVERAGE(OFFSET($BH$3,0,0,'Données projet'!$E$11+1,1))-AVERAGE(OFFSET($H$3,0,0,'Données projet'!$E$11+1,1))</f>
        <v>168.72306536277267</v>
      </c>
      <c r="BJ54" s="59">
        <f t="shared" si="38"/>
        <v>203.35476578922339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2.0070227352714509</v>
      </c>
      <c r="BQ54" s="21">
        <f>EXP(-LN(2)/25)*BQ53+(1-EXP(-LN(2)/25))/(LN(2)/25)*Calculateur!BL54*Calculateur!BN54*VLOOKUP('Données projet'!$B$11,Paramètres!$A$1:$I$89,3,0)*0.475*44/12</f>
        <v>12.840434471046073</v>
      </c>
      <c r="BR54" s="21">
        <f>EXP(-LN(2)/2)*BR53+(1-EXP(-LN(2)/2))/(LN(2)/2)*BL54*BO54*VLOOKUP('Données projet'!$B$11,Paramètres!$A$1:$I$89,3,0)*0.475*44/12</f>
        <v>1.3827146222576818E-2</v>
      </c>
      <c r="BS54" s="22">
        <f t="shared" si="9"/>
        <v>14.861284352540101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14.668131868131875</v>
      </c>
      <c r="BY54" s="12">
        <f>IF('Données projet'!$A$114&gt;35,BY53+BX54-CG53,IF(A54&lt;'Données projet'!$A$114,$BV$205^A54,IF(A54='Données projet'!$A$114,'Données projet'!$B$114,BY53+BX54-CG53)))</f>
        <v>274.71318681318684</v>
      </c>
      <c r="BZ54" s="13">
        <f>BY54*VLOOKUP('Données projet'!$B$12,Paramètres!$A$1:$I$89,3,0)*VLOOKUP('Données projet'!$B$12,Paramètres!$A$1:$I$89,5,0)</f>
        <v>128.56577142857145</v>
      </c>
      <c r="CA54" s="13">
        <f t="shared" si="39"/>
        <v>33.664737545838108</v>
      </c>
      <c r="CB54" s="20">
        <f t="shared" si="10"/>
        <v>282.55146979709662</v>
      </c>
      <c r="CC54" s="59">
        <f t="shared" si="11"/>
        <v>575.88480313042987</v>
      </c>
      <c r="CD54" s="59">
        <f ca="1">AVERAGE(OFFSET($CC$3,0,0,'Données projet'!$E$12+1,1))-AVERAGE(OFFSET($H$3,0,0,'Données projet'!$E$12+1,1))</f>
        <v>158.58786357608489</v>
      </c>
      <c r="CE54" s="59">
        <f t="shared" si="40"/>
        <v>163.20074068819849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207.59999999999974</v>
      </c>
      <c r="CU54" s="17">
        <f>CT54*VLOOKUP('Données projet'!$B$13,Paramètres!$A$1:$I$89,3,0)*VLOOKUP('Données projet'!$B$13,Paramètres!$A$1:$I$89,5,0)</f>
        <v>152.21231999999981</v>
      </c>
      <c r="CV54" s="13">
        <f t="shared" si="41"/>
        <v>39.08091407255835</v>
      </c>
      <c r="CW54" s="20">
        <f t="shared" si="13"/>
        <v>333.16904934303881</v>
      </c>
      <c r="CX54" s="59">
        <f t="shared" si="14"/>
        <v>626.50238267637212</v>
      </c>
      <c r="CY54" s="59">
        <f ca="1">AVERAGE(OFFSET($CX$3,0,0,'Données projet'!$E$13+1,1))-AVERAGE(OFFSET($H$3,0,0,'Données projet'!$E$13+1,1))</f>
        <v>178.12968684094687</v>
      </c>
      <c r="CZ54" s="59">
        <f t="shared" si="42"/>
        <v>219.36004077210373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4.2951062680547656</v>
      </c>
      <c r="DH54" s="21">
        <f>EXP(-LN(2)/2)*DH53+(1-EXP(-LN(2)/2))/(LN(2)/2)*DB54*DE54*VLOOKUP('Données projet'!$B$13,Paramètres!$A$1:$I$89,3,0)*0.475*44/12</f>
        <v>6.8483806880190682E-3</v>
      </c>
      <c r="DI54" s="22">
        <f t="shared" si="15"/>
        <v>4.3019546487427842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-8.5265128291212022E-14</v>
      </c>
      <c r="DP54" s="17">
        <f>DO54*VLOOKUP('Données projet'!$B$14,Paramètres!$A$1:$I$89,3,0)*VLOOKUP('Données projet'!$B$14,Paramètres!$A$1:$I$89,5,0)</f>
        <v>-7.7147888077888636E-14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225.28075317732998</v>
      </c>
      <c r="DU54" s="59">
        <f t="shared" si="44"/>
        <v>358.43407531256207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1.4801738891699736</v>
      </c>
      <c r="EB54" s="21">
        <f>EXP(-LN(2)/25)*EB53+(1-EXP(-LN(2)/25))/(LN(2)/25)*Calculateur!DW54*Calculateur!DY54*VLOOKUP('Données projet'!$B$14,Paramètres!$A$1:$I$89,3,0)*0.475*44/12</f>
        <v>4.6211312670183977</v>
      </c>
      <c r="EC54" s="21">
        <f>EXP(-LN(2)/2)*EC53+(1-EXP(-LN(2)/2))/(LN(2)/2)*DW54*DZ54*VLOOKUP('Données projet'!$B$14,Paramètres!$A$1:$I$89,3,0)*0.475*44/12</f>
        <v>3.0480315065386284E-3</v>
      </c>
      <c r="ED54" s="22">
        <f t="shared" si="18"/>
        <v>6.10435318769491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9.6586538461538431</v>
      </c>
      <c r="EJ54" s="12">
        <f>IF('Données projet'!$A$192&gt;35,EJ53+EI54-ER53,IF(A54&lt;'Données projet'!$A$192,$EG$205^A54,IF(A54='Données projet'!$A$192,'Données projet'!$B$192,EJ53+EI54-ER53)))</f>
        <v>180.37660256410243</v>
      </c>
      <c r="EK54" s="17">
        <f>EJ54*VLOOKUP('Données projet'!$B$15,Paramètres!$A$1:$I$89,3,0)*VLOOKUP('Données projet'!$B$15,Paramètres!$A$1:$I$89,5,0)</f>
        <v>182.90187499999988</v>
      </c>
      <c r="EL54" s="13">
        <f t="shared" si="45"/>
        <v>45.96719773180908</v>
      </c>
      <c r="EM54" s="20">
        <f t="shared" si="19"/>
        <v>398.61363500790065</v>
      </c>
      <c r="EN54" s="59">
        <f t="shared" si="20"/>
        <v>691.94696834123397</v>
      </c>
      <c r="EO54" s="59">
        <f ca="1">AVERAGE(OFFSET($EN$3,0,0,'Données projet'!$E$15+1,1))-AVERAGE(OFFSET($H$3,0,0,'Données projet'!$E$15+1,1))</f>
        <v>363.98308691765931</v>
      </c>
      <c r="EP54" s="59">
        <f t="shared" si="46"/>
        <v>181.47089407988187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9.6586538461538431</v>
      </c>
      <c r="FE54" s="12">
        <f>IF('Données projet'!$A$218&gt;35,FE53+FD54-FM53,IF(A54&lt;'Données projet'!$A$218,$FB$205^A54,IF(A54='Données projet'!$A$218,'Données projet'!$B$218,FE53+FD54-FM53)))</f>
        <v>180.37660256410243</v>
      </c>
      <c r="FF54" s="17">
        <f>FE54*VLOOKUP('Données projet'!$B$16,Paramètres!$A$1:$I$89,3,0)*VLOOKUP('Données projet'!$B$16,Paramètres!$A$1:$I$89,5,0)</f>
        <v>194.15737499999986</v>
      </c>
      <c r="FG54" s="13">
        <f t="shared" si="47"/>
        <v>48.45792836594142</v>
      </c>
      <c r="FH54" s="20">
        <f t="shared" si="22"/>
        <v>422.55498669568107</v>
      </c>
      <c r="FI54" s="59">
        <f t="shared" si="23"/>
        <v>715.88832002901438</v>
      </c>
      <c r="FJ54" s="59">
        <f ca="1">AVERAGE(OFFSET($FI$3,0,0,'Données projet'!$E$16+1,1))-AVERAGE(OFFSET($H$3,0,0,'Données projet'!$E$16+1,1))</f>
        <v>395.30533160963489</v>
      </c>
      <c r="FK54" s="59">
        <f t="shared" si="48"/>
        <v>196.02102977695085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5.7</v>
      </c>
      <c r="FZ54" s="12">
        <f>IF('Données projet'!$A$244&gt;35,FZ53+FY54-GH53,IF(A54&lt;'Données projet'!$A$244,$FW$205^A54,IF(A54='Données projet'!$A$244,'Données projet'!$B$244,FZ53+FY54-GH53)))</f>
        <v>175.69999999999996</v>
      </c>
      <c r="GA54" s="17">
        <f>FZ54*VLOOKUP('Données projet'!$B$17,Paramètres!$A$1:$I$89,3,0)*VLOOKUP('Données projet'!$B$17,Paramètres!$A$1:$I$89,5,0)</f>
        <v>183.64163999999997</v>
      </c>
      <c r="GB54" s="13">
        <f t="shared" si="49"/>
        <v>46.131437101244586</v>
      </c>
      <c r="GC54" s="20">
        <f t="shared" si="25"/>
        <v>400.18810928466763</v>
      </c>
      <c r="GD54" s="59">
        <f t="shared" si="26"/>
        <v>693.52144261800095</v>
      </c>
      <c r="GE54" s="59">
        <f ca="1">AVERAGE(OFFSET($GD$3,0,0,'Données projet'!$E$17+1,1))-AVERAGE(OFFSET($H$3,0,0,'Données projet'!$E$17+1,1))</f>
        <v>269.41185214595805</v>
      </c>
      <c r="GF54" s="59">
        <f t="shared" si="50"/>
        <v>299.70148160580993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4.1837189061968827</v>
      </c>
      <c r="GM54" s="21">
        <f>EXP(-LN(2)/25)*GM53+(1-EXP(-LN(2)/25))/(LN(2)/25)*Calculateur!GH54*Calculateur!GJ54*VLOOKUP('Données projet'!$B$17,Paramètres!$A$1:$I$89,3,0)*0.475*44/12</f>
        <v>9.0631316386828917</v>
      </c>
      <c r="GN54" s="21">
        <f>EXP(-LN(2)/2)*GN53+(1-EXP(-LN(2)/2))/(LN(2)/2)*GH54*GK54*VLOOKUP('Données projet'!$B$17,Paramètres!$A$1:$I$89,3,0)*0.475*44/12</f>
        <v>1.3195184688068502E-2</v>
      </c>
      <c r="GO54" s="21">
        <f t="shared" si="27"/>
        <v>13.260045729567842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5.6</v>
      </c>
      <c r="GU54" s="12">
        <f>IF('Données projet'!$A$270&gt;35,GU53+GT54-HC53,IF(A54&lt;'Données projet'!$A$270,$GR$205^A54,IF(A54='Données projet'!$A$270,'Données projet'!$B$270,GU53+GT54-HC53)))</f>
        <v>207.59999999999974</v>
      </c>
      <c r="GV54" s="17">
        <f>GU54*VLOOKUP('Données projet'!$B$18,Paramètres!$A$1:$I$89,3,0)*VLOOKUP('Données projet'!$B$18,Paramètres!$A$1:$I$89,5,0)</f>
        <v>181.35935999999978</v>
      </c>
      <c r="GW54" s="13">
        <f t="shared" si="51"/>
        <v>45.624486166835801</v>
      </c>
      <c r="GX54" s="20">
        <f t="shared" si="28"/>
        <v>395.33019874057192</v>
      </c>
      <c r="GY54" s="59">
        <f t="shared" si="29"/>
        <v>688.66353207390523</v>
      </c>
      <c r="GZ54" s="59">
        <f ca="1">AVERAGE(OFFSET($GY$3,0,0,'Données projet'!$E$18+1,1))-AVERAGE(OFFSET($H$3,0,0,'Données projet'!$E$18+1,1))</f>
        <v>226.35975611953359</v>
      </c>
      <c r="HA54" s="59">
        <f t="shared" si="52"/>
        <v>271.65876694892461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6.3077067805970062</v>
      </c>
      <c r="HI54" s="21">
        <f>EXP(-LN(2)/2)*HI53+(1-EXP(-LN(2)/2))/(LN(2)/2)*HC54*HF54*VLOOKUP('Données projet'!$B$18,Paramètres!$A$1:$I$89,3,0)*0.475*44/12</f>
        <v>8.1597727346610152E-3</v>
      </c>
      <c r="HJ54" s="22">
        <f t="shared" si="30"/>
        <v>6.3158665533316674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9.6586538461538431</v>
      </c>
      <c r="N55" s="13">
        <f>IF('Données projet'!$A$36&gt;35,N54+M55-V54,IF(A55&lt;'Données projet'!$A$36,$K$205^A55,IF(A55='Données projet'!$A$36,'Données projet'!$B$36,N54+M55-V54)))</f>
        <v>190.03525641025627</v>
      </c>
      <c r="O55" s="13">
        <f>N55*VLOOKUP('Données projet'!$B$9,Paramètres!$A$1:$I$89,3,0)*VLOOKUP('Données projet'!$B$9,Paramètres!$A$1:$I$89,5,0)</f>
        <v>171.94389999999987</v>
      </c>
      <c r="P55" s="13">
        <f t="shared" si="33"/>
        <v>43.525104007742414</v>
      </c>
      <c r="Q55" s="20">
        <f t="shared" si="53"/>
        <v>375.2751819801511</v>
      </c>
      <c r="R55" s="59">
        <f t="shared" si="0"/>
        <v>668.60851531348442</v>
      </c>
      <c r="S55" s="59">
        <f ca="1">AVERAGE(OFFSET($R$3,0,0,'Données projet'!$E$9+1,1))-AVERAGE(OFFSET($H$3,0,0,'Données projet'!$E$9+1,1))</f>
        <v>309.07357540707869</v>
      </c>
      <c r="T55" s="59">
        <f t="shared" si="34"/>
        <v>155.9593924683299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5.7</v>
      </c>
      <c r="AI55" s="13">
        <f>IF('Données projet'!$A$62&gt;35,AI54+AH55-AQ54,IF(A55&lt;'Données projet'!$A$62,$AF$205^A55,IF(A55='Données projet'!$A$62,'Données projet'!$B$62,AI54+AH55-AQ54)))</f>
        <v>181.39999999999995</v>
      </c>
      <c r="AJ55" s="13">
        <f>AI55*VLOOKUP('Données projet'!$B$10,Paramètres!$A$1:$I$89,3,0)*VLOOKUP('Données projet'!$B$10,Paramètres!$A$1:$I$89,5,0)</f>
        <v>158.47103999999996</v>
      </c>
      <c r="AK55" s="13">
        <f t="shared" si="35"/>
        <v>40.497461727609561</v>
      </c>
      <c r="AL55" s="20">
        <f t="shared" si="4"/>
        <v>346.53680717558655</v>
      </c>
      <c r="AM55" s="59">
        <f t="shared" si="5"/>
        <v>639.8701405089198</v>
      </c>
      <c r="AN55" s="59">
        <f ca="1">AVERAGE(OFFSET($AM$3,0,0,'Données projet'!$E$10+1,1))-AVERAGE(OFFSET($H$3,0,0,'Données projet'!$E$10+1,1))</f>
        <v>210.07838338464626</v>
      </c>
      <c r="AO55" s="59">
        <f t="shared" si="36"/>
        <v>241.76003724236273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3.4282687894734885</v>
      </c>
      <c r="AV55" s="21">
        <f>EXP(-LN(2)/25)*AV54+(1-EXP(-LN(2)/25))/(LN(2)/25)*Calculateur!AQ55*Calculateur!AS55*VLOOKUP('Données projet'!$B$10,Paramètres!$A$1:$I$89,3,0)*0.475*44/12</f>
        <v>7.3680117960472957</v>
      </c>
      <c r="AW55" s="21">
        <f>EXP(-LN(2)/2)*AW54+(1-EXP(-LN(2)/2))/(LN(2)/2)*AQ55*AT55*VLOOKUP('Données projet'!$B$10,Paramètres!$A$1:$I$89,3,0)*0.475*44/12</f>
        <v>7.7985471049068673E-3</v>
      </c>
      <c r="AX55" s="21">
        <f t="shared" si="6"/>
        <v>10.80407913262569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8.1999999999999993</v>
      </c>
      <c r="BD55" s="12">
        <f>IF('Données projet'!$A$88&gt;35,BD54+BC55-BL54,IF(A55&lt;'Données projet'!$A$88,$BA$205^A55,IF(A55='Données projet'!$A$88,'Données projet'!$B$88,BD54+BC55-BL54)))</f>
        <v>263.39999999999986</v>
      </c>
      <c r="BE55" s="13">
        <f>BD55*VLOOKUP('Données projet'!$B$11,Paramètres!$A$1:$I$89,3,0)*VLOOKUP('Données projet'!$B$11,Paramètres!$A$1:$I$89,5,0)</f>
        <v>143.81639999999993</v>
      </c>
      <c r="BF55" s="13">
        <f t="shared" si="37"/>
        <v>37.169915935828818</v>
      </c>
      <c r="BG55" s="20">
        <f t="shared" si="7"/>
        <v>315.21783358823507</v>
      </c>
      <c r="BH55" s="59">
        <f t="shared" si="8"/>
        <v>608.55116692156844</v>
      </c>
      <c r="BI55" s="59">
        <f ca="1">AVERAGE(OFFSET($BH$3,0,0,'Données projet'!$E$11+1,1))-AVERAGE(OFFSET($H$3,0,0,'Données projet'!$E$11+1,1))</f>
        <v>168.72306536277267</v>
      </c>
      <c r="BJ55" s="59">
        <f t="shared" si="38"/>
        <v>203.35476578922339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1.9676662435957701</v>
      </c>
      <c r="BQ55" s="21">
        <f>EXP(-LN(2)/25)*BQ54+(1-EXP(-LN(2)/25))/(LN(2)/25)*Calculateur!BL55*Calculateur!BN55*VLOOKUP('Données projet'!$B$11,Paramètres!$A$1:$I$89,3,0)*0.475*44/12</f>
        <v>12.489312115186216</v>
      </c>
      <c r="BR55" s="21">
        <f>EXP(-LN(2)/2)*BR54+(1-EXP(-LN(2)/2))/(LN(2)/2)*BL55*BO55*VLOOKUP('Données projet'!$B$11,Paramètres!$A$1:$I$89,3,0)*0.475*44/12</f>
        <v>9.7772688584420245E-3</v>
      </c>
      <c r="BS55" s="22">
        <f t="shared" si="9"/>
        <v>14.466755627640429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14.668131868131875</v>
      </c>
      <c r="BY55" s="12">
        <f>IF('Données projet'!$A$114&gt;35,BY54+BX55-CG54,IF(A55&lt;'Données projet'!$A$114,$BV$205^A55,IF(A55='Données projet'!$A$114,'Données projet'!$B$114,BY54+BX55-CG54)))</f>
        <v>289.3813186813187</v>
      </c>
      <c r="BZ55" s="13">
        <f>BY55*VLOOKUP('Données projet'!$B$12,Paramètres!$A$1:$I$89,3,0)*VLOOKUP('Données projet'!$B$12,Paramètres!$A$1:$I$89,5,0)</f>
        <v>135.43045714285716</v>
      </c>
      <c r="CA55" s="13">
        <f t="shared" si="39"/>
        <v>35.248174253598229</v>
      </c>
      <c r="CB55" s="20">
        <f t="shared" si="10"/>
        <v>297.26528301549314</v>
      </c>
      <c r="CC55" s="59">
        <f t="shared" si="11"/>
        <v>590.59861634882645</v>
      </c>
      <c r="CD55" s="59">
        <f ca="1">AVERAGE(OFFSET($CC$3,0,0,'Données projet'!$E$12+1,1))-AVERAGE(OFFSET($H$3,0,0,'Données projet'!$E$12+1,1))</f>
        <v>158.58786357608489</v>
      </c>
      <c r="CE55" s="59">
        <f t="shared" si="40"/>
        <v>163.20074068819849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213.19999999999973</v>
      </c>
      <c r="CU55" s="17">
        <f>CT55*VLOOKUP('Données projet'!$B$13,Paramètres!$A$1:$I$89,3,0)*VLOOKUP('Données projet'!$B$13,Paramètres!$A$1:$I$89,5,0)</f>
        <v>156.3182399999998</v>
      </c>
      <c r="CV55" s="13">
        <f t="shared" si="41"/>
        <v>40.010962373637788</v>
      </c>
      <c r="CW55" s="20">
        <f t="shared" si="13"/>
        <v>341.94002746741876</v>
      </c>
      <c r="CX55" s="59">
        <f t="shared" si="14"/>
        <v>635.27336080075202</v>
      </c>
      <c r="CY55" s="59">
        <f ca="1">AVERAGE(OFFSET($CX$3,0,0,'Données projet'!$E$13+1,1))-AVERAGE(OFFSET($H$3,0,0,'Données projet'!$E$13+1,1))</f>
        <v>178.12968684094687</v>
      </c>
      <c r="CZ55" s="59">
        <f t="shared" si="42"/>
        <v>219.36004077210373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4.1776563612849857</v>
      </c>
      <c r="DH55" s="21">
        <f>EXP(-LN(2)/2)*DH54+(1-EXP(-LN(2)/2))/(LN(2)/2)*DB55*DE55*VLOOKUP('Données projet'!$B$13,Paramètres!$A$1:$I$89,3,0)*0.475*44/12</f>
        <v>4.842536424645277E-3</v>
      </c>
      <c r="DI55" s="22">
        <f t="shared" si="15"/>
        <v>4.1824988977096309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-8.5265128291212022E-14</v>
      </c>
      <c r="DP55" s="17">
        <f>DO55*VLOOKUP('Données projet'!$B$14,Paramètres!$A$1:$I$89,3,0)*VLOOKUP('Données projet'!$B$14,Paramètres!$A$1:$I$89,5,0)</f>
        <v>-7.7147888077888636E-14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225.28075317732998</v>
      </c>
      <c r="DU55" s="59">
        <f t="shared" si="44"/>
        <v>358.43407531256207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1.451148582020277</v>
      </c>
      <c r="EB55" s="21">
        <f>EXP(-LN(2)/25)*EB54+(1-EXP(-LN(2)/25))/(LN(2)/25)*Calculateur!DW55*Calculateur!DY55*VLOOKUP('Données projet'!$B$14,Paramètres!$A$1:$I$89,3,0)*0.475*44/12</f>
        <v>4.4947661895070476</v>
      </c>
      <c r="EC55" s="21">
        <f>EXP(-LN(2)/2)*EC54+(1-EXP(-LN(2)/2))/(LN(2)/2)*DW55*DZ55*VLOOKUP('Données projet'!$B$14,Paramètres!$A$1:$I$89,3,0)*0.475*44/12</f>
        <v>2.1552837475437127E-3</v>
      </c>
      <c r="ED55" s="22">
        <f t="shared" si="18"/>
        <v>5.9480700552748687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9.6586538461538431</v>
      </c>
      <c r="EJ55" s="12">
        <f>IF('Données projet'!$A$192&gt;35,EJ54+EI55-ER54,IF(A55&lt;'Données projet'!$A$192,$EG$205^A55,IF(A55='Données projet'!$A$192,'Données projet'!$B$192,EJ54+EI55-ER54)))</f>
        <v>190.03525641025627</v>
      </c>
      <c r="EK55" s="17">
        <f>EJ55*VLOOKUP('Données projet'!$B$15,Paramètres!$A$1:$I$89,3,0)*VLOOKUP('Données projet'!$B$15,Paramètres!$A$1:$I$89,5,0)</f>
        <v>192.69574999999986</v>
      </c>
      <c r="EL55" s="13">
        <f t="shared" si="45"/>
        <v>48.135455339599268</v>
      </c>
      <c r="EM55" s="20">
        <f t="shared" si="19"/>
        <v>419.44768263313517</v>
      </c>
      <c r="EN55" s="59">
        <f t="shared" si="20"/>
        <v>712.78101596646843</v>
      </c>
      <c r="EO55" s="59">
        <f ca="1">AVERAGE(OFFSET($EN$3,0,0,'Données projet'!$E$15+1,1))-AVERAGE(OFFSET($H$3,0,0,'Données projet'!$E$15+1,1))</f>
        <v>363.98308691765931</v>
      </c>
      <c r="EP55" s="59">
        <f t="shared" si="46"/>
        <v>181.47089407988187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9.6586538461538431</v>
      </c>
      <c r="FE55" s="12">
        <f>IF('Données projet'!$A$218&gt;35,FE54+FD55-FM54,IF(A55&lt;'Données projet'!$A$218,$FB$205^A55,IF(A55='Données projet'!$A$218,'Données projet'!$B$218,FE54+FD55-FM54)))</f>
        <v>190.03525641025627</v>
      </c>
      <c r="FF55" s="17">
        <f>FE55*VLOOKUP('Données projet'!$B$16,Paramètres!$A$1:$I$89,3,0)*VLOOKUP('Données projet'!$B$16,Paramètres!$A$1:$I$89,5,0)</f>
        <v>204.55394999999982</v>
      </c>
      <c r="FG55" s="13">
        <f t="shared" si="47"/>
        <v>50.743672919051235</v>
      </c>
      <c r="FH55" s="20">
        <f t="shared" si="22"/>
        <v>444.6433599173472</v>
      </c>
      <c r="FI55" s="59">
        <f t="shared" si="23"/>
        <v>737.97669325068046</v>
      </c>
      <c r="FJ55" s="59">
        <f ca="1">AVERAGE(OFFSET($FI$3,0,0,'Données projet'!$E$16+1,1))-AVERAGE(OFFSET($H$3,0,0,'Données projet'!$E$16+1,1))</f>
        <v>395.30533160963489</v>
      </c>
      <c r="FK55" s="59">
        <f t="shared" si="48"/>
        <v>196.02102977695085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5.7</v>
      </c>
      <c r="FZ55" s="12">
        <f>IF('Données projet'!$A$244&gt;35,FZ54+FY55-GH54,IF(A55&lt;'Données projet'!$A$244,$FW$205^A55,IF(A55='Données projet'!$A$244,'Données projet'!$B$244,FZ54+FY55-GH54)))</f>
        <v>181.39999999999995</v>
      </c>
      <c r="GA55" s="17">
        <f>FZ55*VLOOKUP('Données projet'!$B$17,Paramètres!$A$1:$I$89,3,0)*VLOOKUP('Données projet'!$B$17,Paramètres!$A$1:$I$89,5,0)</f>
        <v>189.59927999999996</v>
      </c>
      <c r="GB55" s="13">
        <f t="shared" si="49"/>
        <v>47.451348465617379</v>
      </c>
      <c r="GC55" s="20">
        <f t="shared" si="25"/>
        <v>412.86317791095013</v>
      </c>
      <c r="GD55" s="59">
        <f t="shared" si="26"/>
        <v>706.19651124428344</v>
      </c>
      <c r="GE55" s="59">
        <f ca="1">AVERAGE(OFFSET($GD$3,0,0,'Données projet'!$E$17+1,1))-AVERAGE(OFFSET($H$3,0,0,'Données projet'!$E$17+1,1))</f>
        <v>269.41185214595805</v>
      </c>
      <c r="GF55" s="59">
        <f t="shared" si="50"/>
        <v>299.70148160580993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4.1016787302629236</v>
      </c>
      <c r="GM55" s="21">
        <f>EXP(-LN(2)/25)*GM54+(1-EXP(-LN(2)/25))/(LN(2)/25)*Calculateur!GH55*Calculateur!GJ55*VLOOKUP('Données projet'!$B$17,Paramètres!$A$1:$I$89,3,0)*0.475*44/12</f>
        <v>8.81529982741373</v>
      </c>
      <c r="GN55" s="21">
        <f>EXP(-LN(2)/2)*GN54+(1-EXP(-LN(2)/2))/(LN(2)/2)*GH55*GK55*VLOOKUP('Données projet'!$B$17,Paramètres!$A$1:$I$89,3,0)*0.475*44/12</f>
        <v>9.3304045719421365E-3</v>
      </c>
      <c r="GO55" s="21">
        <f t="shared" si="27"/>
        <v>12.926308962248596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5.6</v>
      </c>
      <c r="GU55" s="12">
        <f>IF('Données projet'!$A$270&gt;35,GU54+GT55-HC54,IF(A55&lt;'Données projet'!$A$270,$GR$205^A55,IF(A55='Données projet'!$A$270,'Données projet'!$B$270,GU54+GT55-HC54)))</f>
        <v>213.19999999999973</v>
      </c>
      <c r="GV55" s="17">
        <f>GU55*VLOOKUP('Données projet'!$B$18,Paramètres!$A$1:$I$89,3,0)*VLOOKUP('Données projet'!$B$18,Paramètres!$A$1:$I$89,5,0)</f>
        <v>186.2515199999998</v>
      </c>
      <c r="GW55" s="13">
        <f t="shared" si="51"/>
        <v>46.710258515156667</v>
      </c>
      <c r="GX55" s="20">
        <f t="shared" si="28"/>
        <v>405.74176424723083</v>
      </c>
      <c r="GY55" s="59">
        <f t="shared" si="29"/>
        <v>699.07509758056415</v>
      </c>
      <c r="GZ55" s="59">
        <f ca="1">AVERAGE(OFFSET($GY$3,0,0,'Données projet'!$E$18+1,1))-AVERAGE(OFFSET($H$3,0,0,'Données projet'!$E$18+1,1))</f>
        <v>226.35975611953359</v>
      </c>
      <c r="HA55" s="59">
        <f t="shared" si="52"/>
        <v>271.65876694892461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6.1352222069736984</v>
      </c>
      <c r="HI55" s="21">
        <f>EXP(-LN(2)/2)*HI54+(1-EXP(-LN(2)/2))/(LN(2)/2)*HC55*HF55*VLOOKUP('Données projet'!$B$18,Paramètres!$A$1:$I$89,3,0)*0.475*44/12</f>
        <v>5.7698306336199032E-3</v>
      </c>
      <c r="HJ55" s="22">
        <f t="shared" si="30"/>
        <v>6.1409920376073179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9.6586538461538431</v>
      </c>
      <c r="N56" s="13">
        <f>IF('Données projet'!$A$36&gt;35,N55+M56-V55,IF(A56&lt;'Données projet'!$A$36,$K$205^A56,IF(A56='Données projet'!$A$36,'Données projet'!$B$36,N55+M56-V55)))</f>
        <v>199.69391025641011</v>
      </c>
      <c r="O56" s="13">
        <f>N56*VLOOKUP('Données projet'!$B$9,Paramètres!$A$1:$I$89,3,0)*VLOOKUP('Données projet'!$B$9,Paramètres!$A$1:$I$89,5,0)</f>
        <v>180.68304999999987</v>
      </c>
      <c r="P56" s="13">
        <f t="shared" si="33"/>
        <v>45.474118692283398</v>
      </c>
      <c r="Q56" s="20">
        <f t="shared" si="53"/>
        <v>393.89040213906009</v>
      </c>
      <c r="R56" s="59">
        <f t="shared" si="0"/>
        <v>687.2237354723934</v>
      </c>
      <c r="S56" s="59">
        <f ca="1">AVERAGE(OFFSET($R$3,0,0,'Données projet'!$E$9+1,1))-AVERAGE(OFFSET($H$3,0,0,'Données projet'!$E$9+1,1))</f>
        <v>309.07357540707869</v>
      </c>
      <c r="T56" s="59">
        <f t="shared" si="34"/>
        <v>155.9593924683299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5.7</v>
      </c>
      <c r="AI56" s="13">
        <f>IF('Données projet'!$A$62&gt;35,AI55+AH56-AQ55,IF(A56&lt;'Données projet'!$A$62,$AF$205^A56,IF(A56='Données projet'!$A$62,'Données projet'!$B$62,AI55+AH56-AQ55)))</f>
        <v>187.09999999999994</v>
      </c>
      <c r="AJ56" s="13">
        <f>AI56*VLOOKUP('Données projet'!$B$10,Paramètres!$A$1:$I$89,3,0)*VLOOKUP('Données projet'!$B$10,Paramètres!$A$1:$I$89,5,0)</f>
        <v>163.45055999999997</v>
      </c>
      <c r="AK56" s="13">
        <f t="shared" si="35"/>
        <v>41.619829742162572</v>
      </c>
      <c r="AL56" s="20">
        <f t="shared" si="4"/>
        <v>357.16426213426638</v>
      </c>
      <c r="AM56" s="59">
        <f t="shared" si="5"/>
        <v>650.49759546759969</v>
      </c>
      <c r="AN56" s="59">
        <f ca="1">AVERAGE(OFFSET($AM$3,0,0,'Données projet'!$E$10+1,1))-AVERAGE(OFFSET($H$3,0,0,'Données projet'!$E$10+1,1))</f>
        <v>210.07838338464626</v>
      </c>
      <c r="AO56" s="59">
        <f t="shared" si="36"/>
        <v>241.76003724236273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3.361042529549402</v>
      </c>
      <c r="AV56" s="21">
        <f>EXP(-LN(2)/25)*AV55+(1-EXP(-LN(2)/25))/(LN(2)/25)*Calculateur!AQ56*Calculateur!AS56*VLOOKUP('Données projet'!$B$10,Paramètres!$A$1:$I$89,3,0)*0.475*44/12</f>
        <v>7.166533126017482</v>
      </c>
      <c r="AW56" s="21">
        <f>EXP(-LN(2)/2)*AW55+(1-EXP(-LN(2)/2))/(LN(2)/2)*AQ56*AT56*VLOOKUP('Données projet'!$B$10,Paramètres!$A$1:$I$89,3,0)*0.475*44/12</f>
        <v>5.5144055412823644E-3</v>
      </c>
      <c r="AX56" s="21">
        <f t="shared" si="6"/>
        <v>10.533090061108167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8.1999999999999993</v>
      </c>
      <c r="BD56" s="12">
        <f>IF('Données projet'!$A$88&gt;35,BD55+BC56-BL55,IF(A56&lt;'Données projet'!$A$88,$BA$205^A56,IF(A56='Données projet'!$A$88,'Données projet'!$B$88,BD55+BC56-BL55)))</f>
        <v>271.59999999999985</v>
      </c>
      <c r="BE56" s="13">
        <f>BD56*VLOOKUP('Données projet'!$B$11,Paramètres!$A$1:$I$89,3,0)*VLOOKUP('Données projet'!$B$11,Paramètres!$A$1:$I$89,5,0)</f>
        <v>148.29359999999991</v>
      </c>
      <c r="BF56" s="13">
        <f t="shared" si="37"/>
        <v>38.190542257893661</v>
      </c>
      <c r="BG56" s="20">
        <f t="shared" si="7"/>
        <v>324.79321443249796</v>
      </c>
      <c r="BH56" s="59">
        <f t="shared" si="8"/>
        <v>618.12654776583122</v>
      </c>
      <c r="BI56" s="59">
        <f ca="1">AVERAGE(OFFSET($BH$3,0,0,'Données projet'!$E$11+1,1))-AVERAGE(OFFSET($H$3,0,0,'Données projet'!$E$11+1,1))</f>
        <v>168.72306536277267</v>
      </c>
      <c r="BJ56" s="59">
        <f t="shared" si="38"/>
        <v>203.35476578922339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1.9290815087167599</v>
      </c>
      <c r="BQ56" s="21">
        <f>EXP(-LN(2)/25)*BQ55+(1-EXP(-LN(2)/25))/(LN(2)/25)*Calculateur!BL56*Calculateur!BN56*VLOOKUP('Données projet'!$B$11,Paramètres!$A$1:$I$89,3,0)*0.475*44/12</f>
        <v>12.14779121861207</v>
      </c>
      <c r="BR56" s="21">
        <f>EXP(-LN(2)/2)*BR55+(1-EXP(-LN(2)/2))/(LN(2)/2)*BL56*BO56*VLOOKUP('Données projet'!$B$11,Paramètres!$A$1:$I$89,3,0)*0.475*44/12</f>
        <v>6.91357311128841E-3</v>
      </c>
      <c r="BS56" s="22">
        <f t="shared" si="9"/>
        <v>14.083786300440119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14.668131868131875</v>
      </c>
      <c r="BY56" s="12">
        <f>IF('Données projet'!$A$114&gt;35,BY55+BX56-CG55,IF(A56&lt;'Données projet'!$A$114,$BV$205^A56,IF(A56='Données projet'!$A$114,'Données projet'!$B$114,BY55+BX56-CG55)))</f>
        <v>304.04945054945057</v>
      </c>
      <c r="BZ56" s="13">
        <f>BY56*VLOOKUP('Données projet'!$B$12,Paramètres!$A$1:$I$89,3,0)*VLOOKUP('Données projet'!$B$12,Paramètres!$A$1:$I$89,5,0)</f>
        <v>142.29514285714285</v>
      </c>
      <c r="CA56" s="13">
        <f t="shared" si="39"/>
        <v>36.822291864436032</v>
      </c>
      <c r="CB56" s="20">
        <f t="shared" si="10"/>
        <v>311.96286547341651</v>
      </c>
      <c r="CC56" s="59">
        <f t="shared" si="11"/>
        <v>605.29619880674977</v>
      </c>
      <c r="CD56" s="59">
        <f ca="1">AVERAGE(OFFSET($CC$3,0,0,'Données projet'!$E$12+1,1))-AVERAGE(OFFSET($H$3,0,0,'Données projet'!$E$12+1,1))</f>
        <v>158.58786357608489</v>
      </c>
      <c r="CE56" s="59">
        <f t="shared" si="40"/>
        <v>163.20074068819849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218.79999999999973</v>
      </c>
      <c r="CU56" s="17">
        <f>CT56*VLOOKUP('Données projet'!$B$13,Paramètres!$A$1:$I$89,3,0)*VLOOKUP('Données projet'!$B$13,Paramètres!$A$1:$I$89,5,0)</f>
        <v>160.4241599999998</v>
      </c>
      <c r="CV56" s="13">
        <f t="shared" si="41"/>
        <v>40.938171132384412</v>
      </c>
      <c r="CW56" s="20">
        <f t="shared" si="13"/>
        <v>350.70606005556914</v>
      </c>
      <c r="CX56" s="59">
        <f t="shared" si="14"/>
        <v>644.03939338890245</v>
      </c>
      <c r="CY56" s="59">
        <f ca="1">AVERAGE(OFFSET($CX$3,0,0,'Données projet'!$E$13+1,1))-AVERAGE(OFFSET($H$3,0,0,'Données projet'!$E$13+1,1))</f>
        <v>178.12968684094687</v>
      </c>
      <c r="CZ56" s="59">
        <f t="shared" si="42"/>
        <v>219.36004077210373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4.0634181283922484</v>
      </c>
      <c r="DH56" s="21">
        <f>EXP(-LN(2)/2)*DH55+(1-EXP(-LN(2)/2))/(LN(2)/2)*DB56*DE56*VLOOKUP('Données projet'!$B$13,Paramètres!$A$1:$I$89,3,0)*0.475*44/12</f>
        <v>3.4241903440095341E-3</v>
      </c>
      <c r="DI56" s="22">
        <f t="shared" si="15"/>
        <v>4.0668423187362581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-8.5265128291212022E-14</v>
      </c>
      <c r="DP56" s="17">
        <f>DO56*VLOOKUP('Données projet'!$B$14,Paramètres!$A$1:$I$89,3,0)*VLOOKUP('Données projet'!$B$14,Paramètres!$A$1:$I$89,5,0)</f>
        <v>-7.7147888077888636E-14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225.28075317732998</v>
      </c>
      <c r="DU56" s="59">
        <f t="shared" si="44"/>
        <v>358.43407531256207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1.4226924434400967</v>
      </c>
      <c r="EB56" s="21">
        <f>EXP(-LN(2)/25)*EB55+(1-EXP(-LN(2)/25))/(LN(2)/25)*Calculateur!DW56*Calculateur!DY56*VLOOKUP('Données projet'!$B$14,Paramètres!$A$1:$I$89,3,0)*0.475*44/12</f>
        <v>4.3718565716854965</v>
      </c>
      <c r="EC56" s="21">
        <f>EXP(-LN(2)/2)*EC55+(1-EXP(-LN(2)/2))/(LN(2)/2)*DW56*DZ56*VLOOKUP('Données projet'!$B$14,Paramètres!$A$1:$I$89,3,0)*0.475*44/12</f>
        <v>1.5240157532693142E-3</v>
      </c>
      <c r="ED56" s="22">
        <f t="shared" si="18"/>
        <v>5.7960730308788628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9.6586538461538431</v>
      </c>
      <c r="EJ56" s="12">
        <f>IF('Données projet'!$A$192&gt;35,EJ55+EI56-ER55,IF(A56&lt;'Données projet'!$A$192,$EG$205^A56,IF(A56='Données projet'!$A$192,'Données projet'!$B$192,EJ55+EI56-ER55)))</f>
        <v>199.69391025641011</v>
      </c>
      <c r="EK56" s="17">
        <f>EJ56*VLOOKUP('Données projet'!$B$15,Paramètres!$A$1:$I$89,3,0)*VLOOKUP('Données projet'!$B$15,Paramètres!$A$1:$I$89,5,0)</f>
        <v>202.48962499999988</v>
      </c>
      <c r="EL56" s="13">
        <f t="shared" si="45"/>
        <v>50.290917375652235</v>
      </c>
      <c r="EM56" s="20">
        <f t="shared" si="19"/>
        <v>440.25944463759407</v>
      </c>
      <c r="EN56" s="59">
        <f t="shared" si="20"/>
        <v>733.59277797092739</v>
      </c>
      <c r="EO56" s="59">
        <f ca="1">AVERAGE(OFFSET($EN$3,0,0,'Données projet'!$E$15+1,1))-AVERAGE(OFFSET($H$3,0,0,'Données projet'!$E$15+1,1))</f>
        <v>363.98308691765931</v>
      </c>
      <c r="EP56" s="59">
        <f t="shared" si="46"/>
        <v>181.47089407988187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9.6586538461538431</v>
      </c>
      <c r="FE56" s="12">
        <f>IF('Données projet'!$A$218&gt;35,FE55+FD56-FM55,IF(A56&lt;'Données projet'!$A$218,$FB$205^A56,IF(A56='Données projet'!$A$218,'Données projet'!$B$218,FE55+FD56-FM55)))</f>
        <v>199.69391025641011</v>
      </c>
      <c r="FF56" s="17">
        <f>FE56*VLOOKUP('Données projet'!$B$16,Paramètres!$A$1:$I$89,3,0)*VLOOKUP('Données projet'!$B$16,Paramètres!$A$1:$I$89,5,0)</f>
        <v>214.95052499999986</v>
      </c>
      <c r="FG56" s="13">
        <f t="shared" si="47"/>
        <v>53.015928572919051</v>
      </c>
      <c r="FH56" s="20">
        <f t="shared" si="22"/>
        <v>466.70823997283372</v>
      </c>
      <c r="FI56" s="59">
        <f t="shared" si="23"/>
        <v>760.04157330616704</v>
      </c>
      <c r="FJ56" s="59">
        <f ca="1">AVERAGE(OFFSET($FI$3,0,0,'Données projet'!$E$16+1,1))-AVERAGE(OFFSET($H$3,0,0,'Données projet'!$E$16+1,1))</f>
        <v>395.30533160963489</v>
      </c>
      <c r="FK56" s="59">
        <f t="shared" si="48"/>
        <v>196.02102977695085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5.7</v>
      </c>
      <c r="FZ56" s="12">
        <f>IF('Données projet'!$A$244&gt;35,FZ55+FY56-GH55,IF(A56&lt;'Données projet'!$A$244,$FW$205^A56,IF(A56='Données projet'!$A$244,'Données projet'!$B$244,FZ55+FY56-GH55)))</f>
        <v>187.09999999999994</v>
      </c>
      <c r="GA56" s="17">
        <f>FZ56*VLOOKUP('Données projet'!$B$17,Paramètres!$A$1:$I$89,3,0)*VLOOKUP('Données projet'!$B$17,Paramètres!$A$1:$I$89,5,0)</f>
        <v>195.55691999999996</v>
      </c>
      <c r="GB56" s="13">
        <f t="shared" si="49"/>
        <v>48.766440165028975</v>
      </c>
      <c r="GC56" s="20">
        <f t="shared" si="25"/>
        <v>425.5298522874254</v>
      </c>
      <c r="GD56" s="59">
        <f t="shared" si="26"/>
        <v>718.86318562075871</v>
      </c>
      <c r="GE56" s="59">
        <f ca="1">AVERAGE(OFFSET($GD$3,0,0,'Données projet'!$E$17+1,1))-AVERAGE(OFFSET($H$3,0,0,'Données projet'!$E$17+1,1))</f>
        <v>269.41185214595805</v>
      </c>
      <c r="GF56" s="59">
        <f t="shared" si="50"/>
        <v>299.70148160580993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4.0212473121394634</v>
      </c>
      <c r="GM56" s="21">
        <f>EXP(-LN(2)/25)*GM55+(1-EXP(-LN(2)/25))/(LN(2)/25)*Calculateur!GH56*Calculateur!GJ56*VLOOKUP('Données projet'!$B$17,Paramètres!$A$1:$I$89,3,0)*0.475*44/12</f>
        <v>8.5742449900566307</v>
      </c>
      <c r="GN56" s="21">
        <f>EXP(-LN(2)/2)*GN55+(1-EXP(-LN(2)/2))/(LN(2)/2)*GH56*GK56*VLOOKUP('Données projet'!$B$17,Paramètres!$A$1:$I$89,3,0)*0.475*44/12</f>
        <v>6.597592344034251E-3</v>
      </c>
      <c r="GO56" s="21">
        <f t="shared" si="27"/>
        <v>12.602089894540129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5.6</v>
      </c>
      <c r="GU56" s="12">
        <f>IF('Données projet'!$A$270&gt;35,GU55+GT56-HC55,IF(A56&lt;'Données projet'!$A$270,$GR$205^A56,IF(A56='Données projet'!$A$270,'Données projet'!$B$270,GU55+GT56-HC55)))</f>
        <v>218.79999999999973</v>
      </c>
      <c r="GV56" s="17">
        <f>GU56*VLOOKUP('Données projet'!$B$18,Paramètres!$A$1:$I$89,3,0)*VLOOKUP('Données projet'!$B$18,Paramètres!$A$1:$I$89,5,0)</f>
        <v>191.14367999999979</v>
      </c>
      <c r="GW56" s="13">
        <f t="shared" si="51"/>
        <v>47.792715878069501</v>
      </c>
      <c r="GX56" s="20">
        <f t="shared" si="28"/>
        <v>416.14755615430403</v>
      </c>
      <c r="GY56" s="59">
        <f t="shared" si="29"/>
        <v>709.48088948763734</v>
      </c>
      <c r="GZ56" s="59">
        <f ca="1">AVERAGE(OFFSET($GY$3,0,0,'Données projet'!$E$18+1,1))-AVERAGE(OFFSET($H$3,0,0,'Données projet'!$E$18+1,1))</f>
        <v>226.35975611953359</v>
      </c>
      <c r="HA56" s="59">
        <f t="shared" si="52"/>
        <v>271.65876694892461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5.9674542330866887</v>
      </c>
      <c r="HI56" s="21">
        <f>EXP(-LN(2)/2)*HI55+(1-EXP(-LN(2)/2))/(LN(2)/2)*HC56*HF56*VLOOKUP('Données projet'!$B$18,Paramètres!$A$1:$I$89,3,0)*0.475*44/12</f>
        <v>4.0798863673305076E-3</v>
      </c>
      <c r="HJ56" s="22">
        <f t="shared" si="30"/>
        <v>5.9715341194540192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9.6586538461538431</v>
      </c>
      <c r="N57" s="13">
        <f>IF('Données projet'!$A$36&gt;35,N56+M57-V56,IF(A57&lt;'Données projet'!$A$36,$K$205^A57,IF(A57='Données projet'!$A$36,'Données projet'!$B$36,N56+M57-V56)))</f>
        <v>209.35256410256395</v>
      </c>
      <c r="O57" s="13">
        <f>N57*VLOOKUP('Données projet'!$B$9,Paramètres!$A$1:$I$89,3,0)*VLOOKUP('Données projet'!$B$9,Paramètres!$A$1:$I$89,5,0)</f>
        <v>189.42219999999983</v>
      </c>
      <c r="P57" s="13">
        <f t="shared" si="33"/>
        <v>47.412186840122445</v>
      </c>
      <c r="Q57" s="20">
        <f t="shared" si="53"/>
        <v>412.48655707987967</v>
      </c>
      <c r="R57" s="59">
        <f t="shared" si="0"/>
        <v>705.81989041321299</v>
      </c>
      <c r="S57" s="59">
        <f ca="1">AVERAGE(OFFSET($R$3,0,0,'Données projet'!$E$9+1,1))-AVERAGE(OFFSET($H$3,0,0,'Données projet'!$E$9+1,1))</f>
        <v>309.07357540707869</v>
      </c>
      <c r="T57" s="59">
        <f t="shared" si="34"/>
        <v>155.9593924683299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5.7</v>
      </c>
      <c r="AI57" s="13">
        <f>IF('Données projet'!$A$62&gt;35,AI56+AH57-AQ56,IF(A57&lt;'Données projet'!$A$62,$AF$205^A57,IF(A57='Données projet'!$A$62,'Données projet'!$B$62,AI56+AH57-AQ56)))</f>
        <v>192.79999999999993</v>
      </c>
      <c r="AJ57" s="13">
        <f>AI57*VLOOKUP('Données projet'!$B$10,Paramètres!$A$1:$I$89,3,0)*VLOOKUP('Données projet'!$B$10,Paramètres!$A$1:$I$89,5,0)</f>
        <v>168.43007999999998</v>
      </c>
      <c r="AK57" s="13">
        <f t="shared" si="35"/>
        <v>42.738224098484984</v>
      </c>
      <c r="AL57" s="20">
        <f t="shared" si="4"/>
        <v>367.78479630486135</v>
      </c>
      <c r="AM57" s="59">
        <f t="shared" si="5"/>
        <v>661.11812963819466</v>
      </c>
      <c r="AN57" s="59">
        <f ca="1">AVERAGE(OFFSET($AM$3,0,0,'Données projet'!$E$10+1,1))-AVERAGE(OFFSET($H$3,0,0,'Données projet'!$E$10+1,1))</f>
        <v>210.07838338464626</v>
      </c>
      <c r="AO57" s="59">
        <f t="shared" si="36"/>
        <v>241.76003724236273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3.2951345355784571</v>
      </c>
      <c r="AV57" s="21">
        <f>EXP(-LN(2)/25)*AV56+(1-EXP(-LN(2)/25))/(LN(2)/25)*Calculateur!AQ57*Calculateur!AS57*VLOOKUP('Données projet'!$B$10,Paramètres!$A$1:$I$89,3,0)*0.475*44/12</f>
        <v>6.9705639008149358</v>
      </c>
      <c r="AW57" s="21">
        <f>EXP(-LN(2)/2)*AW56+(1-EXP(-LN(2)/2))/(LN(2)/2)*AQ57*AT57*VLOOKUP('Données projet'!$B$10,Paramètres!$A$1:$I$89,3,0)*0.475*44/12</f>
        <v>3.8992735524534341E-3</v>
      </c>
      <c r="AX57" s="21">
        <f t="shared" si="6"/>
        <v>10.269597709945847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8.1999999999999993</v>
      </c>
      <c r="BD57" s="12">
        <f>IF('Données projet'!$A$88&gt;35,BD56+BC57-BL56,IF(A57&lt;'Données projet'!$A$88,$BA$205^A57,IF(A57='Données projet'!$A$88,'Données projet'!$B$88,BD56+BC57-BL56)))</f>
        <v>279.79999999999984</v>
      </c>
      <c r="BE57" s="13">
        <f>BD57*VLOOKUP('Données projet'!$B$11,Paramètres!$A$1:$I$89,3,0)*VLOOKUP('Données projet'!$B$11,Paramètres!$A$1:$I$89,5,0)</f>
        <v>152.77079999999992</v>
      </c>
      <c r="BF57" s="13">
        <f t="shared" si="37"/>
        <v>39.207587527735704</v>
      </c>
      <c r="BG57" s="20">
        <f t="shared" si="7"/>
        <v>334.36235827747288</v>
      </c>
      <c r="BH57" s="59">
        <f t="shared" si="8"/>
        <v>627.69569161080619</v>
      </c>
      <c r="BI57" s="59">
        <f ca="1">AVERAGE(OFFSET($BH$3,0,0,'Données projet'!$E$11+1,1))-AVERAGE(OFFSET($H$3,0,0,'Données projet'!$E$11+1,1))</f>
        <v>168.72306536277267</v>
      </c>
      <c r="BJ57" s="59">
        <f t="shared" si="38"/>
        <v>203.35476578922339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1.8912533969543626</v>
      </c>
      <c r="BQ57" s="21">
        <f>EXP(-LN(2)/25)*BQ56+(1-EXP(-LN(2)/25))/(LN(2)/25)*Calculateur!BL57*Calculateur!BN57*VLOOKUP('Données projet'!$B$11,Paramètres!$A$1:$I$89,3,0)*0.475*44/12</f>
        <v>11.815609228914548</v>
      </c>
      <c r="BR57" s="21">
        <f>EXP(-LN(2)/2)*BR56+(1-EXP(-LN(2)/2))/(LN(2)/2)*BL57*BO57*VLOOKUP('Données projet'!$B$11,Paramètres!$A$1:$I$89,3,0)*0.475*44/12</f>
        <v>4.8886344292210122E-3</v>
      </c>
      <c r="BS57" s="22">
        <f t="shared" si="9"/>
        <v>13.711751260298133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14.668131868131875</v>
      </c>
      <c r="BY57" s="12">
        <f>IF('Données projet'!$A$114&gt;35,BY56+BX57-CG56,IF(A57&lt;'Données projet'!$A$114,$BV$205^A57,IF(A57='Données projet'!$A$114,'Données projet'!$B$114,BY56+BX57-CG56)))</f>
        <v>318.71758241758243</v>
      </c>
      <c r="BZ57" s="13">
        <f>BY57*VLOOKUP('Données projet'!$B$12,Paramètres!$A$1:$I$89,3,0)*VLOOKUP('Données projet'!$B$12,Paramètres!$A$1:$I$89,5,0)</f>
        <v>149.15982857142859</v>
      </c>
      <c r="CA57" s="13">
        <f t="shared" si="39"/>
        <v>38.387591277502224</v>
      </c>
      <c r="CB57" s="20">
        <f t="shared" si="10"/>
        <v>326.64508957022116</v>
      </c>
      <c r="CC57" s="59">
        <f t="shared" si="11"/>
        <v>619.97842290355447</v>
      </c>
      <c r="CD57" s="59">
        <f ca="1">AVERAGE(OFFSET($CC$3,0,0,'Données projet'!$E$12+1,1))-AVERAGE(OFFSET($H$3,0,0,'Données projet'!$E$12+1,1))</f>
        <v>158.58786357608489</v>
      </c>
      <c r="CE57" s="59">
        <f t="shared" si="40"/>
        <v>163.20074068819849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224.39999999999972</v>
      </c>
      <c r="CU57" s="17">
        <f>CT57*VLOOKUP('Données projet'!$B$13,Paramètres!$A$1:$I$89,3,0)*VLOOKUP('Données projet'!$B$13,Paramètres!$A$1:$I$89,5,0)</f>
        <v>164.5300799999998</v>
      </c>
      <c r="CV57" s="13">
        <f t="shared" si="41"/>
        <v>41.862621381083734</v>
      </c>
      <c r="CW57" s="20">
        <f t="shared" si="13"/>
        <v>359.46728823872041</v>
      </c>
      <c r="CX57" s="59">
        <f t="shared" si="14"/>
        <v>652.80062157205373</v>
      </c>
      <c r="CY57" s="59">
        <f ca="1">AVERAGE(OFFSET($CX$3,0,0,'Données projet'!$E$13+1,1))-AVERAGE(OFFSET($H$3,0,0,'Données projet'!$E$13+1,1))</f>
        <v>178.12968684094687</v>
      </c>
      <c r="CZ57" s="59">
        <f t="shared" si="42"/>
        <v>219.36004077210373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3.9523037459854899</v>
      </c>
      <c r="DH57" s="21">
        <f>EXP(-LN(2)/2)*DH56+(1-EXP(-LN(2)/2))/(LN(2)/2)*DB57*DE57*VLOOKUP('Données projet'!$B$13,Paramètres!$A$1:$I$89,3,0)*0.475*44/12</f>
        <v>2.4212682123226385E-3</v>
      </c>
      <c r="DI57" s="22">
        <f t="shared" si="15"/>
        <v>3.9547250141978125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-8.5265128291212022E-14</v>
      </c>
      <c r="DP57" s="17">
        <f>DO57*VLOOKUP('Données projet'!$B$14,Paramètres!$A$1:$I$89,3,0)*VLOOKUP('Données projet'!$B$14,Paramètres!$A$1:$I$89,5,0)</f>
        <v>-7.7147888077888636E-14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225.28075317732998</v>
      </c>
      <c r="DU57" s="59">
        <f t="shared" si="44"/>
        <v>358.43407531256207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1.394794312380943</v>
      </c>
      <c r="EB57" s="21">
        <f>EXP(-LN(2)/25)*EB56+(1-EXP(-LN(2)/25))/(LN(2)/25)*Calculateur!DW57*Calculateur!DY57*VLOOKUP('Données projet'!$B$14,Paramètres!$A$1:$I$89,3,0)*0.475*44/12</f>
        <v>4.2523079238268116</v>
      </c>
      <c r="EC57" s="21">
        <f>EXP(-LN(2)/2)*EC56+(1-EXP(-LN(2)/2))/(LN(2)/2)*DW57*DZ57*VLOOKUP('Données projet'!$B$14,Paramètres!$A$1:$I$89,3,0)*0.475*44/12</f>
        <v>1.0776418737718564E-3</v>
      </c>
      <c r="ED57" s="22">
        <f t="shared" si="18"/>
        <v>5.6481798780815256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9.6586538461538431</v>
      </c>
      <c r="EJ57" s="12">
        <f>IF('Données projet'!$A$192&gt;35,EJ56+EI57-ER56,IF(A57&lt;'Données projet'!$A$192,$EG$205^A57,IF(A57='Données projet'!$A$192,'Données projet'!$B$192,EJ56+EI57-ER56)))</f>
        <v>209.35256410256395</v>
      </c>
      <c r="EK57" s="17">
        <f>EJ57*VLOOKUP('Données projet'!$B$15,Paramètres!$A$1:$I$89,3,0)*VLOOKUP('Données projet'!$B$15,Paramètres!$A$1:$I$89,5,0)</f>
        <v>212.28349999999986</v>
      </c>
      <c r="EL57" s="13">
        <f t="shared" si="45"/>
        <v>52.434273374498595</v>
      </c>
      <c r="EM57" s="20">
        <f t="shared" si="19"/>
        <v>461.05012196058482</v>
      </c>
      <c r="EN57" s="59">
        <f t="shared" si="20"/>
        <v>754.38345529391813</v>
      </c>
      <c r="EO57" s="59">
        <f ca="1">AVERAGE(OFFSET($EN$3,0,0,'Données projet'!$E$15+1,1))-AVERAGE(OFFSET($H$3,0,0,'Données projet'!$E$15+1,1))</f>
        <v>363.98308691765931</v>
      </c>
      <c r="EP57" s="59">
        <f t="shared" si="46"/>
        <v>181.47089407988187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9.6586538461538431</v>
      </c>
      <c r="FE57" s="12">
        <f>IF('Données projet'!$A$218&gt;35,FE56+FD57-FM56,IF(A57&lt;'Données projet'!$A$218,$FB$205^A57,IF(A57='Données projet'!$A$218,'Données projet'!$B$218,FE56+FD57-FM56)))</f>
        <v>209.35256410256395</v>
      </c>
      <c r="FF57" s="17">
        <f>FE57*VLOOKUP('Données projet'!$B$16,Paramètres!$A$1:$I$89,3,0)*VLOOKUP('Données projet'!$B$16,Paramètres!$A$1:$I$89,5,0)</f>
        <v>225.34709999999981</v>
      </c>
      <c r="FG57" s="13">
        <f t="shared" si="47"/>
        <v>55.275422224474262</v>
      </c>
      <c r="FH57" s="20">
        <f t="shared" si="22"/>
        <v>488.75089287429233</v>
      </c>
      <c r="FI57" s="59">
        <f t="shared" si="23"/>
        <v>782.08422620762565</v>
      </c>
      <c r="FJ57" s="59">
        <f ca="1">AVERAGE(OFFSET($FI$3,0,0,'Données projet'!$E$16+1,1))-AVERAGE(OFFSET($H$3,0,0,'Données projet'!$E$16+1,1))</f>
        <v>395.30533160963489</v>
      </c>
      <c r="FK57" s="59">
        <f t="shared" si="48"/>
        <v>196.02102977695085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5.7</v>
      </c>
      <c r="FZ57" s="12">
        <f>IF('Données projet'!$A$244&gt;35,FZ56+FY57-GH56,IF(A57&lt;'Données projet'!$A$244,$FW$205^A57,IF(A57='Données projet'!$A$244,'Données projet'!$B$244,FZ56+FY57-GH56)))</f>
        <v>192.79999999999993</v>
      </c>
      <c r="GA57" s="17">
        <f>FZ57*VLOOKUP('Données projet'!$B$17,Paramètres!$A$1:$I$89,3,0)*VLOOKUP('Données projet'!$B$17,Paramètres!$A$1:$I$89,5,0)</f>
        <v>201.51455999999993</v>
      </c>
      <c r="GB57" s="13">
        <f t="shared" si="49"/>
        <v>50.076875882723741</v>
      </c>
      <c r="GC57" s="20">
        <f t="shared" si="25"/>
        <v>438.18841749574364</v>
      </c>
      <c r="GD57" s="59">
        <f t="shared" si="26"/>
        <v>731.52175082907695</v>
      </c>
      <c r="GE57" s="59">
        <f ca="1">AVERAGE(OFFSET($GD$3,0,0,'Données projet'!$E$17+1,1))-AVERAGE(OFFSET($H$3,0,0,'Données projet'!$E$17+1,1))</f>
        <v>269.41185214595805</v>
      </c>
      <c r="GF57" s="59">
        <f t="shared" si="50"/>
        <v>299.70148160580993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3.9423931050670831</v>
      </c>
      <c r="GM57" s="21">
        <f>EXP(-LN(2)/25)*GM56+(1-EXP(-LN(2)/25))/(LN(2)/25)*Calculateur!GH57*Calculateur!GJ57*VLOOKUP('Données projet'!$B$17,Paramètres!$A$1:$I$89,3,0)*0.475*44/12</f>
        <v>8.3397818099035845</v>
      </c>
      <c r="GN57" s="21">
        <f>EXP(-LN(2)/2)*GN56+(1-EXP(-LN(2)/2))/(LN(2)/2)*GH57*GK57*VLOOKUP('Données projet'!$B$17,Paramètres!$A$1:$I$89,3,0)*0.475*44/12</f>
        <v>4.6652022859710682E-3</v>
      </c>
      <c r="GO57" s="21">
        <f t="shared" si="27"/>
        <v>12.286840117256638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5.6</v>
      </c>
      <c r="GU57" s="12">
        <f>IF('Données projet'!$A$270&gt;35,GU56+GT57-HC56,IF(A57&lt;'Données projet'!$A$270,$GR$205^A57,IF(A57='Données projet'!$A$270,'Données projet'!$B$270,GU56+GT57-HC56)))</f>
        <v>224.39999999999972</v>
      </c>
      <c r="GV57" s="17">
        <f>GU57*VLOOKUP('Données projet'!$B$18,Paramètres!$A$1:$I$89,3,0)*VLOOKUP('Données projet'!$B$18,Paramètres!$A$1:$I$89,5,0)</f>
        <v>196.03583999999978</v>
      </c>
      <c r="GW57" s="13">
        <f t="shared" si="51"/>
        <v>48.871952855623412</v>
      </c>
      <c r="GX57" s="20">
        <f t="shared" si="28"/>
        <v>426.54773922354372</v>
      </c>
      <c r="GY57" s="59">
        <f t="shared" si="29"/>
        <v>719.88107255687703</v>
      </c>
      <c r="GZ57" s="59">
        <f ca="1">AVERAGE(OFFSET($GY$3,0,0,'Données projet'!$E$18+1,1))-AVERAGE(OFFSET($H$3,0,0,'Données projet'!$E$18+1,1))</f>
        <v>226.35975611953359</v>
      </c>
      <c r="HA57" s="59">
        <f t="shared" si="52"/>
        <v>271.65876694892461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5.804273883268154</v>
      </c>
      <c r="HI57" s="21">
        <f>EXP(-LN(2)/2)*HI56+(1-EXP(-LN(2)/2))/(LN(2)/2)*HC57*HF57*VLOOKUP('Données projet'!$B$18,Paramètres!$A$1:$I$89,3,0)*0.475*44/12</f>
        <v>2.8849153168099516E-3</v>
      </c>
      <c r="HJ57" s="22">
        <f t="shared" si="30"/>
        <v>5.8071587985849638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9.6586538461538431</v>
      </c>
      <c r="N58" s="13">
        <f>IF('Données projet'!$A$36&gt;35,N57+M58-V57,IF(A58&lt;'Données projet'!$A$36,$K$205^A58,IF(A58='Données projet'!$A$36,'Données projet'!$B$36,N57+M58-V57)))</f>
        <v>219.01121794871779</v>
      </c>
      <c r="O58" s="13">
        <f>N58*VLOOKUP('Données projet'!$B$9,Paramètres!$A$1:$I$89,3,0)*VLOOKUP('Données projet'!$B$9,Paramètres!$A$1:$I$89,5,0)</f>
        <v>198.16134999999983</v>
      </c>
      <c r="P58" s="13">
        <f t="shared" si="33"/>
        <v>49.339871160864917</v>
      </c>
      <c r="Q58" s="20">
        <f t="shared" si="53"/>
        <v>431.06462685517272</v>
      </c>
      <c r="R58" s="59">
        <f t="shared" si="0"/>
        <v>724.39796018850598</v>
      </c>
      <c r="S58" s="59">
        <f ca="1">AVERAGE(OFFSET($R$3,0,0,'Données projet'!$E$9+1,1))-AVERAGE(OFFSET($H$3,0,0,'Données projet'!$E$9+1,1))</f>
        <v>309.07357540707869</v>
      </c>
      <c r="T58" s="59">
        <f t="shared" si="34"/>
        <v>155.9593924683299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5.7</v>
      </c>
      <c r="AI58" s="13">
        <f>IF('Données projet'!$A$62&gt;35,AI57+AH58-AQ57,IF(A58&lt;'Données projet'!$A$62,$AF$205^A58,IF(A58='Données projet'!$A$62,'Données projet'!$B$62,AI57+AH58-AQ57)))</f>
        <v>198.49999999999991</v>
      </c>
      <c r="AJ58" s="13">
        <f>AI58*VLOOKUP('Données projet'!$B$10,Paramètres!$A$1:$I$89,3,0)*VLOOKUP('Données projet'!$B$10,Paramètres!$A$1:$I$89,5,0)</f>
        <v>173.40959999999995</v>
      </c>
      <c r="AK58" s="13">
        <f t="shared" si="35"/>
        <v>43.852775762829346</v>
      </c>
      <c r="AL58" s="20">
        <f t="shared" si="4"/>
        <v>378.39863778692774</v>
      </c>
      <c r="AM58" s="59">
        <f t="shared" si="5"/>
        <v>671.73197112026105</v>
      </c>
      <c r="AN58" s="59">
        <f ca="1">AVERAGE(OFFSET($AM$3,0,0,'Données projet'!$E$10+1,1))-AVERAGE(OFFSET($H$3,0,0,'Données projet'!$E$10+1,1))</f>
        <v>210.07838338464626</v>
      </c>
      <c r="AO58" s="59">
        <f t="shared" si="36"/>
        <v>241.76003724236273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3.2305189571693758</v>
      </c>
      <c r="AV58" s="21">
        <f>EXP(-LN(2)/25)*AV57+(1-EXP(-LN(2)/25))/(LN(2)/25)*Calculateur!AQ58*Calculateur!AS58*VLOOKUP('Données projet'!$B$10,Paramètres!$A$1:$I$89,3,0)*0.475*44/12</f>
        <v>6.7799534643811272</v>
      </c>
      <c r="AW58" s="21">
        <f>EXP(-LN(2)/2)*AW57+(1-EXP(-LN(2)/2))/(LN(2)/2)*AQ58*AT58*VLOOKUP('Données projet'!$B$10,Paramètres!$A$1:$I$89,3,0)*0.475*44/12</f>
        <v>2.7572027706411826E-3</v>
      </c>
      <c r="AX58" s="21">
        <f t="shared" si="6"/>
        <v>10.013229624321145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8.1999999999999993</v>
      </c>
      <c r="BD58" s="12">
        <f>IF('Données projet'!$A$88&gt;35,BD57+BC58-BL57,IF(A58&lt;'Données projet'!$A$88,$BA$205^A58,IF(A58='Données projet'!$A$88,'Données projet'!$B$88,BD57+BC58-BL57)))</f>
        <v>287.99999999999983</v>
      </c>
      <c r="BE58" s="13">
        <f>BD58*VLOOKUP('Données projet'!$B$11,Paramètres!$A$1:$I$89,3,0)*VLOOKUP('Données projet'!$B$11,Paramètres!$A$1:$I$89,5,0)</f>
        <v>157.24799999999991</v>
      </c>
      <c r="BF58" s="13">
        <f t="shared" si="37"/>
        <v>40.22116874434861</v>
      </c>
      <c r="BG58" s="20">
        <f t="shared" si="7"/>
        <v>343.92546889640698</v>
      </c>
      <c r="BH58" s="59">
        <f t="shared" si="8"/>
        <v>637.25880222974024</v>
      </c>
      <c r="BI58" s="59">
        <f ca="1">AVERAGE(OFFSET($BH$3,0,0,'Données projet'!$E$11+1,1))-AVERAGE(OFFSET($H$3,0,0,'Données projet'!$E$11+1,1))</f>
        <v>168.72306536277267</v>
      </c>
      <c r="BJ58" s="59">
        <f t="shared" si="38"/>
        <v>203.35476578922339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1.8541670713907561</v>
      </c>
      <c r="BQ58" s="21">
        <f>EXP(-LN(2)/25)*BQ57+(1-EXP(-LN(2)/25))/(LN(2)/25)*Calculateur!BL58*Calculateur!BN58*VLOOKUP('Données projet'!$B$11,Paramètres!$A$1:$I$89,3,0)*0.475*44/12</f>
        <v>11.492510773193995</v>
      </c>
      <c r="BR58" s="21">
        <f>EXP(-LN(2)/2)*BR57+(1-EXP(-LN(2)/2))/(LN(2)/2)*BL58*BO58*VLOOKUP('Données projet'!$B$11,Paramètres!$A$1:$I$89,3,0)*0.475*44/12</f>
        <v>3.456786555644205E-3</v>
      </c>
      <c r="BS58" s="22">
        <f t="shared" si="9"/>
        <v>13.350134631140396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14.668131868131875</v>
      </c>
      <c r="BY58" s="12">
        <f>IF('Données projet'!$A$114&gt;35,BY57+BX58-CG57,IF(A58&lt;'Données projet'!$A$114,$BV$205^A58,IF(A58='Données projet'!$A$114,'Données projet'!$B$114,BY57+BX58-CG57)))</f>
        <v>333.3857142857143</v>
      </c>
      <c r="BZ58" s="13">
        <f>BY58*VLOOKUP('Données projet'!$B$12,Paramètres!$A$1:$I$89,3,0)*VLOOKUP('Données projet'!$B$12,Paramètres!$A$1:$I$89,5,0)</f>
        <v>156.0245142857143</v>
      </c>
      <c r="CA58" s="13">
        <f t="shared" si="39"/>
        <v>39.944524680961258</v>
      </c>
      <c r="CB58" s="20">
        <f t="shared" si="10"/>
        <v>341.31274286695992</v>
      </c>
      <c r="CC58" s="59">
        <f t="shared" si="11"/>
        <v>634.64607620029324</v>
      </c>
      <c r="CD58" s="59">
        <f ca="1">AVERAGE(OFFSET($CC$3,0,0,'Données projet'!$E$12+1,1))-AVERAGE(OFFSET($H$3,0,0,'Données projet'!$E$12+1,1))</f>
        <v>158.58786357608489</v>
      </c>
      <c r="CE58" s="59">
        <f t="shared" si="40"/>
        <v>163.20074068819849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229.99999999999972</v>
      </c>
      <c r="CU58" s="17">
        <f>CT58*VLOOKUP('Données projet'!$B$13,Paramètres!$A$1:$I$89,3,0)*VLOOKUP('Données projet'!$B$13,Paramètres!$A$1:$I$89,5,0)</f>
        <v>168.6359999999998</v>
      </c>
      <c r="CV58" s="13">
        <f t="shared" si="41"/>
        <v>42.784389877117853</v>
      </c>
      <c r="CW58" s="20">
        <f t="shared" si="13"/>
        <v>368.22384570264654</v>
      </c>
      <c r="CX58" s="59">
        <f t="shared" si="14"/>
        <v>661.55717903597986</v>
      </c>
      <c r="CY58" s="59">
        <f ca="1">AVERAGE(OFFSET($CX$3,0,0,'Données projet'!$E$13+1,1))-AVERAGE(OFFSET($H$3,0,0,'Données projet'!$E$13+1,1))</f>
        <v>178.12968684094687</v>
      </c>
      <c r="CZ58" s="59">
        <f t="shared" si="42"/>
        <v>219.36004077210373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3.8442277922088959</v>
      </c>
      <c r="DH58" s="21">
        <f>EXP(-LN(2)/2)*DH57+(1-EXP(-LN(2)/2))/(LN(2)/2)*DB58*DE58*VLOOKUP('Données projet'!$B$13,Paramètres!$A$1:$I$89,3,0)*0.475*44/12</f>
        <v>1.712095172004767E-3</v>
      </c>
      <c r="DI58" s="22">
        <f t="shared" si="15"/>
        <v>3.8459398873809008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-8.5265128291212022E-14</v>
      </c>
      <c r="DP58" s="17">
        <f>DO58*VLOOKUP('Données projet'!$B$14,Paramètres!$A$1:$I$89,3,0)*VLOOKUP('Données projet'!$B$14,Paramètres!$A$1:$I$89,5,0)</f>
        <v>-7.7147888077888636E-14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225.28075317732998</v>
      </c>
      <c r="DU58" s="59">
        <f t="shared" si="44"/>
        <v>358.43407531256207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1.3674432466556796</v>
      </c>
      <c r="EB58" s="21">
        <f>EXP(-LN(2)/25)*EB57+(1-EXP(-LN(2)/25))/(LN(2)/25)*Calculateur!DW58*Calculateur!DY58*VLOOKUP('Données projet'!$B$14,Paramètres!$A$1:$I$89,3,0)*0.475*44/12</f>
        <v>4.1360283400306121</v>
      </c>
      <c r="EC58" s="21">
        <f>EXP(-LN(2)/2)*EC57+(1-EXP(-LN(2)/2))/(LN(2)/2)*DW58*DZ58*VLOOKUP('Données projet'!$B$14,Paramètres!$A$1:$I$89,3,0)*0.475*44/12</f>
        <v>7.620078766346571E-4</v>
      </c>
      <c r="ED58" s="22">
        <f t="shared" si="18"/>
        <v>5.5042335945629262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9.6586538461538431</v>
      </c>
      <c r="EJ58" s="12">
        <f>IF('Données projet'!$A$192&gt;35,EJ57+EI58-ER57,IF(A58&lt;'Données projet'!$A$192,$EG$205^A58,IF(A58='Données projet'!$A$192,'Données projet'!$B$192,EJ57+EI58-ER57)))</f>
        <v>219.01121794871779</v>
      </c>
      <c r="EK58" s="17">
        <f>EJ58*VLOOKUP('Données projet'!$B$15,Paramètres!$A$1:$I$89,3,0)*VLOOKUP('Données projet'!$B$15,Paramètres!$A$1:$I$89,5,0)</f>
        <v>222.07737499999985</v>
      </c>
      <c r="EL58" s="13">
        <f t="shared" si="45"/>
        <v>54.566145650172906</v>
      </c>
      <c r="EM58" s="20">
        <f t="shared" si="19"/>
        <v>481.82079846571759</v>
      </c>
      <c r="EN58" s="59">
        <f t="shared" si="20"/>
        <v>775.1541317990509</v>
      </c>
      <c r="EO58" s="59">
        <f ca="1">AVERAGE(OFFSET($EN$3,0,0,'Données projet'!$E$15+1,1))-AVERAGE(OFFSET($H$3,0,0,'Données projet'!$E$15+1,1))</f>
        <v>363.98308691765931</v>
      </c>
      <c r="EP58" s="59">
        <f t="shared" si="46"/>
        <v>181.47089407988187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9.6586538461538431</v>
      </c>
      <c r="FE58" s="12">
        <f>IF('Données projet'!$A$218&gt;35,FE57+FD58-FM57,IF(A58&lt;'Données projet'!$A$218,$FB$205^A58,IF(A58='Données projet'!$A$218,'Données projet'!$B$218,FE57+FD58-FM57)))</f>
        <v>219.01121794871779</v>
      </c>
      <c r="FF58" s="17">
        <f>FE58*VLOOKUP('Données projet'!$B$16,Paramètres!$A$1:$I$89,3,0)*VLOOKUP('Données projet'!$B$16,Paramètres!$A$1:$I$89,5,0)</f>
        <v>235.74367499999983</v>
      </c>
      <c r="FG58" s="13">
        <f t="shared" si="47"/>
        <v>57.522809907810782</v>
      </c>
      <c r="FH58" s="20">
        <f t="shared" si="22"/>
        <v>510.77246121443682</v>
      </c>
      <c r="FI58" s="59">
        <f t="shared" si="23"/>
        <v>804.10579454777007</v>
      </c>
      <c r="FJ58" s="59">
        <f ca="1">AVERAGE(OFFSET($FI$3,0,0,'Données projet'!$E$16+1,1))-AVERAGE(OFFSET($H$3,0,0,'Données projet'!$E$16+1,1))</f>
        <v>395.30533160963489</v>
      </c>
      <c r="FK58" s="59">
        <f t="shared" si="48"/>
        <v>196.02102977695085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5.7</v>
      </c>
      <c r="FZ58" s="12">
        <f>IF('Données projet'!$A$244&gt;35,FZ57+FY58-GH57,IF(A58&lt;'Données projet'!$A$244,$FW$205^A58,IF(A58='Données projet'!$A$244,'Données projet'!$B$244,FZ57+FY58-GH57)))</f>
        <v>198.49999999999991</v>
      </c>
      <c r="GA58" s="17">
        <f>FZ58*VLOOKUP('Données projet'!$B$17,Paramètres!$A$1:$I$89,3,0)*VLOOKUP('Données projet'!$B$17,Paramètres!$A$1:$I$89,5,0)</f>
        <v>207.47219999999993</v>
      </c>
      <c r="GB58" s="13">
        <f t="shared" si="49"/>
        <v>51.382809073387932</v>
      </c>
      <c r="GC58" s="20">
        <f t="shared" si="25"/>
        <v>450.83914080281716</v>
      </c>
      <c r="GD58" s="59">
        <f t="shared" si="26"/>
        <v>744.17247413615041</v>
      </c>
      <c r="GE58" s="59">
        <f ca="1">AVERAGE(OFFSET($GD$3,0,0,'Données projet'!$E$17+1,1))-AVERAGE(OFFSET($H$3,0,0,'Données projet'!$E$17+1,1))</f>
        <v>269.41185214595805</v>
      </c>
      <c r="GF58" s="59">
        <f t="shared" si="50"/>
        <v>299.70148160580993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3.8650851808990749</v>
      </c>
      <c r="GM58" s="21">
        <f>EXP(-LN(2)/25)*GM57+(1-EXP(-LN(2)/25))/(LN(2)/25)*Calculateur!GH58*Calculateur!GJ58*VLOOKUP('Données projet'!$B$17,Paramètres!$A$1:$I$89,3,0)*0.475*44/12</f>
        <v>8.1117300377417063</v>
      </c>
      <c r="GN58" s="21">
        <f>EXP(-LN(2)/2)*GN57+(1-EXP(-LN(2)/2))/(LN(2)/2)*GH58*GK58*VLOOKUP('Données projet'!$B$17,Paramètres!$A$1:$I$89,3,0)*0.475*44/12</f>
        <v>3.2987961720171255E-3</v>
      </c>
      <c r="GO58" s="21">
        <f t="shared" si="27"/>
        <v>11.980114014812797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5.6</v>
      </c>
      <c r="GU58" s="12">
        <f>IF('Données projet'!$A$270&gt;35,GU57+GT58-HC57,IF(A58&lt;'Données projet'!$A$270,$GR$205^A58,IF(A58='Données projet'!$A$270,'Données projet'!$B$270,GU57+GT58-HC57)))</f>
        <v>229.99999999999972</v>
      </c>
      <c r="GV58" s="17">
        <f>GU58*VLOOKUP('Données projet'!$B$18,Paramètres!$A$1:$I$89,3,0)*VLOOKUP('Données projet'!$B$18,Paramètres!$A$1:$I$89,5,0)</f>
        <v>200.92799999999977</v>
      </c>
      <c r="GW58" s="13">
        <f t="shared" si="51"/>
        <v>49.948059057188999</v>
      </c>
      <c r="GX58" s="20">
        <f t="shared" si="28"/>
        <v>436.94246952460372</v>
      </c>
      <c r="GY58" s="59">
        <f t="shared" si="29"/>
        <v>730.27580285793704</v>
      </c>
      <c r="GZ58" s="59">
        <f ca="1">AVERAGE(OFFSET($GY$3,0,0,'Données projet'!$E$18+1,1))-AVERAGE(OFFSET($H$3,0,0,'Données projet'!$E$18+1,1))</f>
        <v>226.35975611953359</v>
      </c>
      <c r="HA58" s="59">
        <f t="shared" si="52"/>
        <v>271.65876694892461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5.6455557086966888</v>
      </c>
      <c r="HI58" s="21">
        <f>EXP(-LN(2)/2)*HI57+(1-EXP(-LN(2)/2))/(LN(2)/2)*HC58*HF58*VLOOKUP('Données projet'!$B$18,Paramètres!$A$1:$I$89,3,0)*0.475*44/12</f>
        <v>2.0399431836652538E-3</v>
      </c>
      <c r="HJ58" s="22">
        <f t="shared" si="30"/>
        <v>5.6475956518803541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9.6586538461538431</v>
      </c>
      <c r="N59" s="13">
        <f>IF('Données projet'!$A$36&gt;35,N58+M59-V58,IF(A59&lt;'Données projet'!$A$36,$K$205^A59,IF(A59='Données projet'!$A$36,'Données projet'!$B$36,N58+M59-V58)))</f>
        <v>228.66987179487163</v>
      </c>
      <c r="O59" s="13">
        <f>N59*VLOOKUP('Données projet'!$B$9,Paramètres!$A$1:$I$89,3,0)*VLOOKUP('Données projet'!$B$9,Paramètres!$A$1:$I$89,5,0)</f>
        <v>206.90049999999985</v>
      </c>
      <c r="P59" s="13">
        <f t="shared" si="33"/>
        <v>51.257681925484725</v>
      </c>
      <c r="Q59" s="20">
        <f t="shared" si="53"/>
        <v>449.62550018688563</v>
      </c>
      <c r="R59" s="59">
        <f t="shared" si="0"/>
        <v>742.95883352021895</v>
      </c>
      <c r="S59" s="59">
        <f ca="1">AVERAGE(OFFSET($R$3,0,0,'Données projet'!$E$9+1,1))-AVERAGE(OFFSET($H$3,0,0,'Données projet'!$E$9+1,1))</f>
        <v>309.07357540707869</v>
      </c>
      <c r="T59" s="59">
        <f t="shared" si="34"/>
        <v>155.9593924683299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5.7</v>
      </c>
      <c r="AI59" s="13">
        <f>IF('Données projet'!$A$62&gt;35,AI58+AH59-AQ58,IF(A59&lt;'Données projet'!$A$62,$AF$205^A59,IF(A59='Données projet'!$A$62,'Données projet'!$B$62,AI58+AH59-AQ58)))</f>
        <v>204.1999999999999</v>
      </c>
      <c r="AJ59" s="13">
        <f>AI59*VLOOKUP('Données projet'!$B$10,Paramètres!$A$1:$I$89,3,0)*VLOOKUP('Données projet'!$B$10,Paramètres!$A$1:$I$89,5,0)</f>
        <v>178.38911999999993</v>
      </c>
      <c r="AK59" s="13">
        <f t="shared" si="35"/>
        <v>44.963607752190804</v>
      </c>
      <c r="AL59" s="20">
        <f t="shared" si="4"/>
        <v>389.00600083506555</v>
      </c>
      <c r="AM59" s="59">
        <f t="shared" si="5"/>
        <v>682.33933416839886</v>
      </c>
      <c r="AN59" s="59">
        <f ca="1">AVERAGE(OFFSET($AM$3,0,0,'Données projet'!$E$10+1,1))-AVERAGE(OFFSET($H$3,0,0,'Données projet'!$E$10+1,1))</f>
        <v>210.07838338464626</v>
      </c>
      <c r="AO59" s="59">
        <f t="shared" si="36"/>
        <v>241.76003724236273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3.1671704508412852</v>
      </c>
      <c r="AV59" s="21">
        <f>EXP(-LN(2)/25)*AV58+(1-EXP(-LN(2)/25))/(LN(2)/25)*Calculateur!AQ59*Calculateur!AS59*VLOOKUP('Données projet'!$B$10,Paramètres!$A$1:$I$89,3,0)*0.475*44/12</f>
        <v>6.594555280355368</v>
      </c>
      <c r="AW59" s="21">
        <f>EXP(-LN(2)/2)*AW58+(1-EXP(-LN(2)/2))/(LN(2)/2)*AQ59*AT59*VLOOKUP('Données projet'!$B$10,Paramètres!$A$1:$I$89,3,0)*0.475*44/12</f>
        <v>1.9496367762267175E-3</v>
      </c>
      <c r="AX59" s="21">
        <f t="shared" si="6"/>
        <v>9.7636753679728798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8.1999999999999993</v>
      </c>
      <c r="BD59" s="12">
        <f>IF('Données projet'!$A$88&gt;35,BD58+BC59-BL58,IF(A59&lt;'Données projet'!$A$88,$BA$205^A59,IF(A59='Données projet'!$A$88,'Données projet'!$B$88,BD58+BC59-BL58)))</f>
        <v>296.19999999999982</v>
      </c>
      <c r="BE59" s="13">
        <f>BD59*VLOOKUP('Données projet'!$B$11,Paramètres!$A$1:$I$89,3,0)*VLOOKUP('Données projet'!$B$11,Paramètres!$A$1:$I$89,5,0)</f>
        <v>161.72519999999992</v>
      </c>
      <c r="BF59" s="13">
        <f t="shared" si="37"/>
        <v>41.231395865320792</v>
      </c>
      <c r="BG59" s="20">
        <f t="shared" si="7"/>
        <v>353.48273779876689</v>
      </c>
      <c r="BH59" s="59">
        <f t="shared" si="8"/>
        <v>646.81607113210021</v>
      </c>
      <c r="BI59" s="59">
        <f ca="1">AVERAGE(OFFSET($BH$3,0,0,'Données projet'!$E$11+1,1))-AVERAGE(OFFSET($H$3,0,0,'Données projet'!$E$11+1,1))</f>
        <v>168.72306536277267</v>
      </c>
      <c r="BJ59" s="59">
        <f t="shared" si="38"/>
        <v>203.35476578922339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1.8178079860510268</v>
      </c>
      <c r="BQ59" s="21">
        <f>EXP(-LN(2)/25)*BQ58+(1-EXP(-LN(2)/25))/(LN(2)/25)*Calculateur!BL59*Calculateur!BN59*VLOOKUP('Données projet'!$B$11,Paramètres!$A$1:$I$89,3,0)*0.475*44/12</f>
        <v>11.178247461736131</v>
      </c>
      <c r="BR59" s="21">
        <f>EXP(-LN(2)/2)*BR58+(1-EXP(-LN(2)/2))/(LN(2)/2)*BL59*BO59*VLOOKUP('Données projet'!$B$11,Paramètres!$A$1:$I$89,3,0)*0.475*44/12</f>
        <v>2.4443172146105061E-3</v>
      </c>
      <c r="BS59" s="22">
        <f t="shared" si="9"/>
        <v>12.998499765001768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>
        <f>VLOOKUP(A59,'Données projet'!$A$113:$I$133,2,0)</f>
        <v>348.05384615384617</v>
      </c>
      <c r="BW59" s="12">
        <f>VLOOKUP(A59,'Données projet'!$A$113:$I$133,9,0)</f>
        <v>14.668131868131875</v>
      </c>
      <c r="BX59" s="12">
        <f t="array" ref="BX59">INDEX(BW:BW,MIN(IF(ISNUMBER(BW59:BW255),ROW(BW59:BW255),"")))</f>
        <v>14.668131868131875</v>
      </c>
      <c r="BY59" s="12">
        <f>IF('Données projet'!$A$114&gt;35,BY58+BX59-CG58,IF(A59&lt;'Données projet'!$A$114,$BV$205^A59,IF(A59='Données projet'!$A$114,'Données projet'!$B$114,BY58+BX59-CG58)))</f>
        <v>348.05384615384617</v>
      </c>
      <c r="BZ59" s="13">
        <f>BY59*VLOOKUP('Données projet'!$B$12,Paramètres!$A$1:$I$89,3,0)*VLOOKUP('Données projet'!$B$12,Paramètres!$A$1:$I$89,5,0)</f>
        <v>162.88919999999999</v>
      </c>
      <c r="CA59" s="13">
        <f t="shared" si="39"/>
        <v>41.493502222820894</v>
      </c>
      <c r="CB59" s="20">
        <f t="shared" si="10"/>
        <v>355.96653970474637</v>
      </c>
      <c r="CC59" s="59">
        <f t="shared" si="11"/>
        <v>649.29987303807968</v>
      </c>
      <c r="CD59" s="59">
        <f ca="1">AVERAGE(OFFSET($CC$3,0,0,'Données projet'!$E$12+1,1))-AVERAGE(OFFSET($H$3,0,0,'Données projet'!$E$12+1,1))</f>
        <v>158.58786357608489</v>
      </c>
      <c r="CE59" s="59">
        <f t="shared" si="40"/>
        <v>163.20074068819849</v>
      </c>
      <c r="CF59" s="15">
        <f>IF(ISNA(VLOOKUP(A59,'Données projet'!$A$113:$I$133,3,0)),0,VLOOKUP(A59,'Données projet'!$A$113:$I$133,3,0))</f>
        <v>3</v>
      </c>
      <c r="CG59" s="15">
        <f>IF(ISNA(VLOOKUP(A59,'Données projet'!$A$113:$I$133,4,0)),0,VLOOKUP(A59,'Données projet'!$A$113:$I$133,4,0))</f>
        <v>72.769230769230759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5.6</v>
      </c>
      <c r="CT59" s="12">
        <f>IF('Données projet'!$A$140&gt;35,CT58+CS59-DB58,IF(A59&lt;'Données projet'!$A$140,$CQ$205^A59,IF(A59='Données projet'!$A$140,'Données projet'!$B$140,CT58+CS59-DB58)))</f>
        <v>235.59999999999971</v>
      </c>
      <c r="CU59" s="17">
        <f>CT59*VLOOKUP('Données projet'!$B$13,Paramètres!$A$1:$I$89,3,0)*VLOOKUP('Données projet'!$B$13,Paramètres!$A$1:$I$89,5,0)</f>
        <v>172.74191999999979</v>
      </c>
      <c r="CV59" s="13">
        <f t="shared" si="41"/>
        <v>43.703549427004376</v>
      </c>
      <c r="CW59" s="20">
        <f t="shared" si="13"/>
        <v>376.97585925203225</v>
      </c>
      <c r="CX59" s="59">
        <f t="shared" si="14"/>
        <v>670.30919258536551</v>
      </c>
      <c r="CY59" s="59">
        <f ca="1">AVERAGE(OFFSET($CX$3,0,0,'Données projet'!$E$13+1,1))-AVERAGE(OFFSET($H$3,0,0,'Données projet'!$E$13+1,1))</f>
        <v>178.12968684094687</v>
      </c>
      <c r="CZ59" s="59">
        <f t="shared" si="42"/>
        <v>219.36004077210373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3.7391071810717902</v>
      </c>
      <c r="DH59" s="21">
        <f>EXP(-LN(2)/2)*DH58+(1-EXP(-LN(2)/2))/(LN(2)/2)*DB59*DE59*VLOOKUP('Données projet'!$B$13,Paramètres!$A$1:$I$89,3,0)*0.475*44/12</f>
        <v>1.2106341061613192E-3</v>
      </c>
      <c r="DI59" s="22">
        <f t="shared" si="15"/>
        <v>3.7403178151779515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-8.5265128291212022E-14</v>
      </c>
      <c r="DP59" s="17">
        <f>DO59*VLOOKUP('Données projet'!$B$14,Paramètres!$A$1:$I$89,3,0)*VLOOKUP('Données projet'!$B$14,Paramètres!$A$1:$I$89,5,0)</f>
        <v>-7.7147888077888636E-14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225.28075317732998</v>
      </c>
      <c r="DU59" s="59">
        <f t="shared" si="44"/>
        <v>358.43407531256207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1.3406285186467859</v>
      </c>
      <c r="EB59" s="21">
        <f>EXP(-LN(2)/25)*EB58+(1-EXP(-LN(2)/25))/(LN(2)/25)*Calculateur!DW59*Calculateur!DY59*VLOOKUP('Données projet'!$B$14,Paramètres!$A$1:$I$89,3,0)*0.475*44/12</f>
        <v>4.022928427568198</v>
      </c>
      <c r="EC59" s="21">
        <f>EXP(-LN(2)/2)*EC58+(1-EXP(-LN(2)/2))/(LN(2)/2)*DW59*DZ59*VLOOKUP('Données projet'!$B$14,Paramètres!$A$1:$I$89,3,0)*0.475*44/12</f>
        <v>5.3882093688592818E-4</v>
      </c>
      <c r="ED59" s="22">
        <f t="shared" si="18"/>
        <v>5.3640957671518699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9.6586538461538431</v>
      </c>
      <c r="EJ59" s="12">
        <f>IF('Données projet'!$A$192&gt;35,EJ58+EI59-ER58,IF(A59&lt;'Données projet'!$A$192,$EG$205^A59,IF(A59='Données projet'!$A$192,'Données projet'!$B$192,EJ58+EI59-ER58)))</f>
        <v>228.66987179487163</v>
      </c>
      <c r="EK59" s="17">
        <f>EJ59*VLOOKUP('Données projet'!$B$15,Paramètres!$A$1:$I$89,3,0)*VLOOKUP('Données projet'!$B$15,Paramètres!$A$1:$I$89,5,0)</f>
        <v>231.87124999999986</v>
      </c>
      <c r="EL59" s="13">
        <f t="shared" si="45"/>
        <v>56.687098523570668</v>
      </c>
      <c r="EM59" s="20">
        <f t="shared" si="19"/>
        <v>502.57245701188526</v>
      </c>
      <c r="EN59" s="59">
        <f t="shared" si="20"/>
        <v>795.90579034521852</v>
      </c>
      <c r="EO59" s="59">
        <f ca="1">AVERAGE(OFFSET($EN$3,0,0,'Données projet'!$E$15+1,1))-AVERAGE(OFFSET($H$3,0,0,'Données projet'!$E$15+1,1))</f>
        <v>363.98308691765931</v>
      </c>
      <c r="EP59" s="59">
        <f t="shared" si="46"/>
        <v>181.47089407988187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9.6586538461538431</v>
      </c>
      <c r="FE59" s="12">
        <f>IF('Données projet'!$A$218&gt;35,FE58+FD59-FM58,IF(A59&lt;'Données projet'!$A$218,$FB$205^A59,IF(A59='Données projet'!$A$218,'Données projet'!$B$218,FE58+FD59-FM58)))</f>
        <v>228.66987179487163</v>
      </c>
      <c r="FF59" s="17">
        <f>FE59*VLOOKUP('Données projet'!$B$16,Paramètres!$A$1:$I$89,3,0)*VLOOKUP('Données projet'!$B$16,Paramètres!$A$1:$I$89,5,0)</f>
        <v>246.14024999999981</v>
      </c>
      <c r="FG59" s="13">
        <f t="shared" si="47"/>
        <v>59.758686521527551</v>
      </c>
      <c r="FH59" s="20">
        <f t="shared" si="22"/>
        <v>532.77398110832689</v>
      </c>
      <c r="FI59" s="59">
        <f t="shared" si="23"/>
        <v>826.10731444166026</v>
      </c>
      <c r="FJ59" s="59">
        <f ca="1">AVERAGE(OFFSET($FI$3,0,0,'Données projet'!$E$16+1,1))-AVERAGE(OFFSET($H$3,0,0,'Données projet'!$E$16+1,1))</f>
        <v>395.30533160963489</v>
      </c>
      <c r="FK59" s="59">
        <f t="shared" si="48"/>
        <v>196.02102977695085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5.7</v>
      </c>
      <c r="FZ59" s="12">
        <f>IF('Données projet'!$A$244&gt;35,FZ58+FY59-GH58,IF(A59&lt;'Données projet'!$A$244,$FW$205^A59,IF(A59='Données projet'!$A$244,'Données projet'!$B$244,FZ58+FY59-GH58)))</f>
        <v>204.1999999999999</v>
      </c>
      <c r="GA59" s="17">
        <f>FZ59*VLOOKUP('Données projet'!$B$17,Paramètres!$A$1:$I$89,3,0)*VLOOKUP('Données projet'!$B$17,Paramètres!$A$1:$I$89,5,0)</f>
        <v>213.4298399999999</v>
      </c>
      <c r="GB59" s="13">
        <f t="shared" si="49"/>
        <v>52.684383877470282</v>
      </c>
      <c r="GC59" s="20">
        <f t="shared" si="25"/>
        <v>463.48227325326053</v>
      </c>
      <c r="GD59" s="59">
        <f t="shared" si="26"/>
        <v>756.81560658659384</v>
      </c>
      <c r="GE59" s="59">
        <f ca="1">AVERAGE(OFFSET($GD$3,0,0,'Données projet'!$E$17+1,1))-AVERAGE(OFFSET($H$3,0,0,'Données projet'!$E$17+1,1))</f>
        <v>269.41185214595805</v>
      </c>
      <c r="GF59" s="59">
        <f t="shared" si="50"/>
        <v>299.70148160580993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3.7892932179708239</v>
      </c>
      <c r="GM59" s="21">
        <f>EXP(-LN(2)/25)*GM58+(1-EXP(-LN(2)/25))/(LN(2)/25)*Calculateur!GH59*Calculateur!GJ59*VLOOKUP('Données projet'!$B$17,Paramètres!$A$1:$I$89,3,0)*0.475*44/12</f>
        <v>7.8899143532823164</v>
      </c>
      <c r="GN59" s="21">
        <f>EXP(-LN(2)/2)*GN58+(1-EXP(-LN(2)/2))/(LN(2)/2)*GH59*GK59*VLOOKUP('Données projet'!$B$17,Paramètres!$A$1:$I$89,3,0)*0.475*44/12</f>
        <v>2.3326011429855341E-3</v>
      </c>
      <c r="GO59" s="21">
        <f t="shared" si="27"/>
        <v>11.681540172396126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5.6</v>
      </c>
      <c r="GU59" s="12">
        <f>IF('Données projet'!$A$270&gt;35,GU58+GT59-HC58,IF(A59&lt;'Données projet'!$A$270,$GR$205^A59,IF(A59='Données projet'!$A$270,'Données projet'!$B$270,GU58+GT59-HC58)))</f>
        <v>235.59999999999971</v>
      </c>
      <c r="GV59" s="17">
        <f>GU59*VLOOKUP('Données projet'!$B$18,Paramètres!$A$1:$I$89,3,0)*VLOOKUP('Données projet'!$B$18,Paramètres!$A$1:$I$89,5,0)</f>
        <v>205.82015999999976</v>
      </c>
      <c r="GW59" s="13">
        <f t="shared" si="51"/>
        <v>51.021119479753658</v>
      </c>
      <c r="GX59" s="20">
        <f t="shared" si="28"/>
        <v>447.33189509390394</v>
      </c>
      <c r="GY59" s="59">
        <f t="shared" si="29"/>
        <v>740.66522842723725</v>
      </c>
      <c r="GZ59" s="59">
        <f ca="1">AVERAGE(OFFSET($GY$3,0,0,'Données projet'!$E$18+1,1))-AVERAGE(OFFSET($H$3,0,0,'Données projet'!$E$18+1,1))</f>
        <v>226.35975611953359</v>
      </c>
      <c r="HA59" s="59">
        <f t="shared" si="52"/>
        <v>271.65876694892461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5.4911776909555066</v>
      </c>
      <c r="HI59" s="21">
        <f>EXP(-LN(2)/2)*HI58+(1-EXP(-LN(2)/2))/(LN(2)/2)*HC59*HF59*VLOOKUP('Données projet'!$B$18,Paramètres!$A$1:$I$89,3,0)*0.475*44/12</f>
        <v>1.4424576584049758E-3</v>
      </c>
      <c r="HJ59" s="22">
        <f t="shared" si="30"/>
        <v>5.4926201486139119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9.6586538461538431</v>
      </c>
      <c r="N60" s="13">
        <f>IF('Données projet'!$A$36&gt;35,N59+M60-V59,IF(A60&lt;'Données projet'!$A$36,$K$205^A60,IF(A60='Données projet'!$A$36,'Données projet'!$B$36,N59+M60-V59)))</f>
        <v>238.32852564102546</v>
      </c>
      <c r="O60" s="13">
        <f>N60*VLOOKUP('Données projet'!$B$9,Paramètres!$A$1:$I$89,3,0)*VLOOKUP('Données projet'!$B$9,Paramètres!$A$1:$I$89,5,0)</f>
        <v>215.63964999999985</v>
      </c>
      <c r="P60" s="13">
        <f t="shared" si="33"/>
        <v>53.166083860481116</v>
      </c>
      <c r="Q60" s="20">
        <f t="shared" si="53"/>
        <v>468.16998647367103</v>
      </c>
      <c r="R60" s="59">
        <f t="shared" si="0"/>
        <v>761.50331980700435</v>
      </c>
      <c r="S60" s="59">
        <f ca="1">AVERAGE(OFFSET($R$3,0,0,'Données projet'!$E$9+1,1))-AVERAGE(OFFSET($H$3,0,0,'Données projet'!$E$9+1,1))</f>
        <v>309.07357540707869</v>
      </c>
      <c r="T60" s="59">
        <f t="shared" si="34"/>
        <v>155.9593924683299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5.7</v>
      </c>
      <c r="AI60" s="13">
        <f>IF('Données projet'!$A$62&gt;35,AI59+AH60-AQ59,IF(A60&lt;'Données projet'!$A$62,$AF$205^A60,IF(A60='Données projet'!$A$62,'Données projet'!$B$62,AI59+AH60-AQ59)))</f>
        <v>209.89999999999989</v>
      </c>
      <c r="AJ60" s="13">
        <f>AI60*VLOOKUP('Données projet'!$B$10,Paramètres!$A$1:$I$89,3,0)*VLOOKUP('Données projet'!$B$10,Paramètres!$A$1:$I$89,5,0)</f>
        <v>183.36863999999994</v>
      </c>
      <c r="AK60" s="13">
        <f t="shared" si="35"/>
        <v>46.07083582505949</v>
      </c>
      <c r="AL60" s="20">
        <f t="shared" si="4"/>
        <v>399.60708706197852</v>
      </c>
      <c r="AM60" s="59">
        <f t="shared" si="5"/>
        <v>692.94042039531178</v>
      </c>
      <c r="AN60" s="59">
        <f ca="1">AVERAGE(OFFSET($AM$3,0,0,'Données projet'!$E$10+1,1))-AVERAGE(OFFSET($H$3,0,0,'Données projet'!$E$10+1,1))</f>
        <v>210.07838338464626</v>
      </c>
      <c r="AO60" s="59">
        <f t="shared" si="36"/>
        <v>241.76003724236273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3.1050641700835149</v>
      </c>
      <c r="AV60" s="21">
        <f>EXP(-LN(2)/25)*AV59+(1-EXP(-LN(2)/25))/(LN(2)/25)*Calculateur!AQ60*Calculateur!AS60*VLOOKUP('Données projet'!$B$10,Paramètres!$A$1:$I$89,3,0)*0.475*44/12</f>
        <v>6.4142268194214607</v>
      </c>
      <c r="AW60" s="21">
        <f>EXP(-LN(2)/2)*AW59+(1-EXP(-LN(2)/2))/(LN(2)/2)*AQ60*AT60*VLOOKUP('Données projet'!$B$10,Paramètres!$A$1:$I$89,3,0)*0.475*44/12</f>
        <v>1.3786013853205915E-3</v>
      </c>
      <c r="AX60" s="21">
        <f t="shared" si="6"/>
        <v>9.5206695908902965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8.1999999999999993</v>
      </c>
      <c r="BD60" s="12">
        <f>IF('Données projet'!$A$88&gt;35,BD59+BC60-BL59,IF(A60&lt;'Données projet'!$A$88,$BA$205^A60,IF(A60='Données projet'!$A$88,'Données projet'!$B$88,BD59+BC60-BL59)))</f>
        <v>304.39999999999981</v>
      </c>
      <c r="BE60" s="13">
        <f>BD60*VLOOKUP('Données projet'!$B$11,Paramètres!$A$1:$I$89,3,0)*VLOOKUP('Données projet'!$B$11,Paramètres!$A$1:$I$89,5,0)</f>
        <v>166.2023999999999</v>
      </c>
      <c r="BF60" s="13">
        <f t="shared" si="37"/>
        <v>42.238372413664599</v>
      </c>
      <c r="BG60" s="20">
        <f t="shared" si="7"/>
        <v>363.03434528713234</v>
      </c>
      <c r="BH60" s="59">
        <f t="shared" si="8"/>
        <v>656.36767862046565</v>
      </c>
      <c r="BI60" s="59">
        <f ca="1">AVERAGE(OFFSET($BH$3,0,0,'Données projet'!$E$11+1,1))-AVERAGE(OFFSET($H$3,0,0,'Données projet'!$E$11+1,1))</f>
        <v>168.72306536277267</v>
      </c>
      <c r="BJ60" s="59">
        <f t="shared" si="38"/>
        <v>203.35476578922339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1.7821618801979573</v>
      </c>
      <c r="BQ60" s="21">
        <f>EXP(-LN(2)/25)*BQ59+(1-EXP(-LN(2)/25))/(LN(2)/25)*Calculateur!BL60*Calculateur!BN60*VLOOKUP('Données projet'!$B$11,Paramètres!$A$1:$I$89,3,0)*0.475*44/12</f>
        <v>10.872577697056471</v>
      </c>
      <c r="BR60" s="21">
        <f>EXP(-LN(2)/2)*BR59+(1-EXP(-LN(2)/2))/(LN(2)/2)*BL60*BO60*VLOOKUP('Données projet'!$B$11,Paramètres!$A$1:$I$89,3,0)*0.475*44/12</f>
        <v>1.7283932778221025E-3</v>
      </c>
      <c r="BS60" s="22">
        <f t="shared" si="9"/>
        <v>12.656467970532251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14.270329670329668</v>
      </c>
      <c r="BY60" s="12">
        <f>IF('Données projet'!$A$114&gt;35,BY59+BX60-CG59,IF(A60&lt;'Données projet'!$A$114,$BV$205^A60,IF(A60='Données projet'!$A$114,'Données projet'!$B$114,BY59+BX60-CG59)))</f>
        <v>289.55494505494505</v>
      </c>
      <c r="BZ60" s="13">
        <f>BY60*VLOOKUP('Données projet'!$B$12,Paramètres!$A$1:$I$89,3,0)*VLOOKUP('Données projet'!$B$12,Paramètres!$A$1:$I$89,5,0)</f>
        <v>135.51171428571428</v>
      </c>
      <c r="CA60" s="13">
        <f t="shared" si="39"/>
        <v>35.26686051307076</v>
      </c>
      <c r="CB60" s="20">
        <f t="shared" si="10"/>
        <v>297.43935110788397</v>
      </c>
      <c r="CC60" s="59">
        <f t="shared" si="11"/>
        <v>590.77268444121728</v>
      </c>
      <c r="CD60" s="59">
        <f ca="1">AVERAGE(OFFSET($CC$3,0,0,'Données projet'!$E$12+1,1))-AVERAGE(OFFSET($H$3,0,0,'Données projet'!$E$12+1,1))</f>
        <v>158.58786357608489</v>
      </c>
      <c r="CE60" s="59">
        <f t="shared" si="40"/>
        <v>163.20074068819849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5.6</v>
      </c>
      <c r="CT60" s="12">
        <f>IF('Données projet'!$A$140&gt;35,CT59+CS60-DB59,IF(A60&lt;'Données projet'!$A$140,$CQ$205^A60,IF(A60='Données projet'!$A$140,'Données projet'!$B$140,CT59+CS60-DB59)))</f>
        <v>241.1999999999997</v>
      </c>
      <c r="CU60" s="17">
        <f>CT60*VLOOKUP('Données projet'!$B$13,Paramètres!$A$1:$I$89,3,0)*VLOOKUP('Données projet'!$B$13,Paramètres!$A$1:$I$89,5,0)</f>
        <v>176.84783999999976</v>
      </c>
      <c r="CV60" s="13">
        <f t="shared" si="41"/>
        <v>44.620169178759383</v>
      </c>
      <c r="CW60" s="20">
        <f t="shared" si="13"/>
        <v>385.72344931967217</v>
      </c>
      <c r="CX60" s="59">
        <f t="shared" si="14"/>
        <v>679.05678265300548</v>
      </c>
      <c r="CY60" s="59">
        <f ca="1">AVERAGE(OFFSET($CX$3,0,0,'Données projet'!$E$13+1,1))-AVERAGE(OFFSET($H$3,0,0,'Données projet'!$E$13+1,1))</f>
        <v>178.12968684094687</v>
      </c>
      <c r="CZ60" s="59">
        <f t="shared" si="42"/>
        <v>219.36004077210373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3.6368610985742813</v>
      </c>
      <c r="DH60" s="21">
        <f>EXP(-LN(2)/2)*DH59+(1-EXP(-LN(2)/2))/(LN(2)/2)*DB60*DE60*VLOOKUP('Données projet'!$B$13,Paramètres!$A$1:$I$89,3,0)*0.475*44/12</f>
        <v>8.5604758600238352E-4</v>
      </c>
      <c r="DI60" s="22">
        <f t="shared" si="15"/>
        <v>3.6377171461602837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-8.5265128291212022E-14</v>
      </c>
      <c r="DP60" s="17">
        <f>DO60*VLOOKUP('Données projet'!$B$14,Paramètres!$A$1:$I$89,3,0)*VLOOKUP('Données projet'!$B$14,Paramètres!$A$1:$I$89,5,0)</f>
        <v>-7.7147888077888636E-14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225.28075317732998</v>
      </c>
      <c r="DU60" s="59">
        <f t="shared" si="44"/>
        <v>358.43407531256207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1.3143396110987773</v>
      </c>
      <c r="EB60" s="21">
        <f>EXP(-LN(2)/25)*EB59+(1-EXP(-LN(2)/25))/(LN(2)/25)*Calculateur!DW60*Calculateur!DY60*VLOOKUP('Données projet'!$B$14,Paramètres!$A$1:$I$89,3,0)*0.475*44/12</f>
        <v>3.912921238159734</v>
      </c>
      <c r="EC60" s="21">
        <f>EXP(-LN(2)/2)*EC59+(1-EXP(-LN(2)/2))/(LN(2)/2)*DW60*DZ60*VLOOKUP('Données projet'!$B$14,Paramètres!$A$1:$I$89,3,0)*0.475*44/12</f>
        <v>3.8100393831732855E-4</v>
      </c>
      <c r="ED60" s="22">
        <f t="shared" si="18"/>
        <v>5.2276418531968289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9.6586538461538431</v>
      </c>
      <c r="EJ60" s="12">
        <f>IF('Données projet'!$A$192&gt;35,EJ59+EI60-ER59,IF(A60&lt;'Données projet'!$A$192,$EG$205^A60,IF(A60='Données projet'!$A$192,'Données projet'!$B$192,EJ59+EI60-ER59)))</f>
        <v>238.32852564102546</v>
      </c>
      <c r="EK60" s="17">
        <f>EJ60*VLOOKUP('Données projet'!$B$15,Paramètres!$A$1:$I$89,3,0)*VLOOKUP('Données projet'!$B$15,Paramètres!$A$1:$I$89,5,0)</f>
        <v>241.66512499999985</v>
      </c>
      <c r="EL60" s="13">
        <f t="shared" si="45"/>
        <v>58.797645946861948</v>
      </c>
      <c r="EM60" s="20">
        <f t="shared" si="19"/>
        <v>523.30599273245093</v>
      </c>
      <c r="EN60" s="59">
        <f t="shared" si="20"/>
        <v>816.63932606578419</v>
      </c>
      <c r="EO60" s="59">
        <f ca="1">AVERAGE(OFFSET($EN$3,0,0,'Données projet'!$E$15+1,1))-AVERAGE(OFFSET($H$3,0,0,'Données projet'!$E$15+1,1))</f>
        <v>363.98308691765931</v>
      </c>
      <c r="EP60" s="59">
        <f t="shared" si="46"/>
        <v>181.47089407988187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9.6586538461538431</v>
      </c>
      <c r="FE60" s="12">
        <f>IF('Données projet'!$A$218&gt;35,FE59+FD60-FM59,IF(A60&lt;'Données projet'!$A$218,$FB$205^A60,IF(A60='Données projet'!$A$218,'Données projet'!$B$218,FE59+FD60-FM59)))</f>
        <v>238.32852564102546</v>
      </c>
      <c r="FF60" s="17">
        <f>FE60*VLOOKUP('Données projet'!$B$16,Paramètres!$A$1:$I$89,3,0)*VLOOKUP('Données projet'!$B$16,Paramètres!$A$1:$I$89,5,0)</f>
        <v>256.53682499999979</v>
      </c>
      <c r="FG60" s="13">
        <f t="shared" si="47"/>
        <v>61.983593866270823</v>
      </c>
      <c r="FH60" s="20">
        <f t="shared" si="22"/>
        <v>554.75639619208812</v>
      </c>
      <c r="FI60" s="59">
        <f t="shared" si="23"/>
        <v>848.08972952542149</v>
      </c>
      <c r="FJ60" s="59">
        <f ca="1">AVERAGE(OFFSET($FI$3,0,0,'Données projet'!$E$16+1,1))-AVERAGE(OFFSET($H$3,0,0,'Données projet'!$E$16+1,1))</f>
        <v>395.30533160963489</v>
      </c>
      <c r="FK60" s="59">
        <f t="shared" si="48"/>
        <v>196.02102977695085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5.7</v>
      </c>
      <c r="FZ60" s="12">
        <f>IF('Données projet'!$A$244&gt;35,FZ59+FY60-GH59,IF(A60&lt;'Données projet'!$A$244,$FW$205^A60,IF(A60='Données projet'!$A$244,'Données projet'!$B$244,FZ59+FY60-GH59)))</f>
        <v>209.89999999999989</v>
      </c>
      <c r="GA60" s="17">
        <f>FZ60*VLOOKUP('Données projet'!$B$17,Paramètres!$A$1:$I$89,3,0)*VLOOKUP('Données projet'!$B$17,Paramètres!$A$1:$I$89,5,0)</f>
        <v>219.3874799999999</v>
      </c>
      <c r="GB60" s="13">
        <f t="shared" si="49"/>
        <v>53.981735930544374</v>
      </c>
      <c r="GC60" s="20">
        <f t="shared" si="25"/>
        <v>476.11805107903132</v>
      </c>
      <c r="GD60" s="59">
        <f t="shared" si="26"/>
        <v>769.45138441236463</v>
      </c>
      <c r="GE60" s="59">
        <f ca="1">AVERAGE(OFFSET($GD$3,0,0,'Données projet'!$E$17+1,1))-AVERAGE(OFFSET($H$3,0,0,'Données projet'!$E$17+1,1))</f>
        <v>269.41185214595805</v>
      </c>
      <c r="GF60" s="59">
        <f t="shared" si="50"/>
        <v>299.70148160580993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3.7149874892070631</v>
      </c>
      <c r="GM60" s="21">
        <f>EXP(-LN(2)/25)*GM59+(1-EXP(-LN(2)/25))/(LN(2)/25)*Calculateur!GH60*Calculateur!GJ60*VLOOKUP('Données projet'!$B$17,Paramètres!$A$1:$I$89,3,0)*0.475*44/12</f>
        <v>7.6741642303792483</v>
      </c>
      <c r="GN60" s="21">
        <f>EXP(-LN(2)/2)*GN59+(1-EXP(-LN(2)/2))/(LN(2)/2)*GH60*GK60*VLOOKUP('Données projet'!$B$17,Paramètres!$A$1:$I$89,3,0)*0.475*44/12</f>
        <v>1.6493980860085627E-3</v>
      </c>
      <c r="GO60" s="21">
        <f t="shared" si="27"/>
        <v>11.390801117672321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5.6</v>
      </c>
      <c r="GU60" s="12">
        <f>IF('Données projet'!$A$270&gt;35,GU59+GT60-HC59,IF(A60&lt;'Données projet'!$A$270,$GR$205^A60,IF(A60='Données projet'!$A$270,'Données projet'!$B$270,GU59+GT60-HC59)))</f>
        <v>241.1999999999997</v>
      </c>
      <c r="GV60" s="17">
        <f>GU60*VLOOKUP('Données projet'!$B$18,Paramètres!$A$1:$I$89,3,0)*VLOOKUP('Données projet'!$B$18,Paramètres!$A$1:$I$89,5,0)</f>
        <v>210.71231999999978</v>
      </c>
      <c r="GW60" s="13">
        <f t="shared" si="51"/>
        <v>52.09121484923638</v>
      </c>
      <c r="GX60" s="20">
        <f t="shared" si="28"/>
        <v>457.71615652908628</v>
      </c>
      <c r="GY60" s="59">
        <f t="shared" si="29"/>
        <v>751.04948986241959</v>
      </c>
      <c r="GZ60" s="59">
        <f ca="1">AVERAGE(OFFSET($GY$3,0,0,'Données projet'!$E$18+1,1))-AVERAGE(OFFSET($H$3,0,0,'Données projet'!$E$18+1,1))</f>
        <v>226.35975611953359</v>
      </c>
      <c r="HA60" s="59">
        <f t="shared" si="52"/>
        <v>271.65876694892461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5.3410211482278438</v>
      </c>
      <c r="HI60" s="21">
        <f>EXP(-LN(2)/2)*HI59+(1-EXP(-LN(2)/2))/(LN(2)/2)*HC60*HF60*VLOOKUP('Données projet'!$B$18,Paramètres!$A$1:$I$89,3,0)*0.475*44/12</f>
        <v>1.0199715918326269E-3</v>
      </c>
      <c r="HJ60" s="22">
        <f t="shared" si="30"/>
        <v>5.342041119819676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247.98717948717947</v>
      </c>
      <c r="L61" s="12">
        <f>VLOOKUP(A61,'Données projet'!$A$35:$I$55,9,0)</f>
        <v>9.6586538461538431</v>
      </c>
      <c r="M61" s="12">
        <f t="array" ref="M61">INDEX(L:L,MIN(IF(ISNUMBER(L61:L257),ROW(L61:L257),"")))</f>
        <v>9.6586538461538431</v>
      </c>
      <c r="N61" s="13">
        <f>IF('Données projet'!$A$36&gt;35,N60+M61-V60,IF(A61&lt;'Données projet'!$A$36,$K$205^A61,IF(A61='Données projet'!$A$36,'Données projet'!$B$36,N60+M61-V60)))</f>
        <v>247.9871794871793</v>
      </c>
      <c r="O61" s="13">
        <f>N61*VLOOKUP('Données projet'!$B$9,Paramètres!$A$1:$I$89,3,0)*VLOOKUP('Données projet'!$B$9,Paramètres!$A$1:$I$89,5,0)</f>
        <v>224.37879999999984</v>
      </c>
      <c r="P61" s="13">
        <f t="shared" si="33"/>
        <v>55.065501892979434</v>
      </c>
      <c r="Q61" s="20">
        <f t="shared" si="53"/>
        <v>486.69882579693893</v>
      </c>
      <c r="R61" s="59">
        <f t="shared" si="0"/>
        <v>780.03215913027225</v>
      </c>
      <c r="S61" s="59">
        <f ca="1">AVERAGE(OFFSET($R$3,0,0,'Données projet'!$E$9+1,1))-AVERAGE(OFFSET($H$3,0,0,'Données projet'!$E$9+1,1))</f>
        <v>309.07357540707869</v>
      </c>
      <c r="T61" s="59">
        <f t="shared" si="34"/>
        <v>155.9593924683299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47.467948717948715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5.7</v>
      </c>
      <c r="AI61" s="13">
        <f>IF('Données projet'!$A$62&gt;35,AI60+AH61-AQ60,IF(A61&lt;'Données projet'!$A$62,$AF$205^A61,IF(A61='Données projet'!$A$62,'Données projet'!$B$62,AI60+AH61-AQ60)))</f>
        <v>215.59999999999988</v>
      </c>
      <c r="AJ61" s="13">
        <f>AI61*VLOOKUP('Données projet'!$B$10,Paramètres!$A$1:$I$89,3,0)*VLOOKUP('Données projet'!$B$10,Paramètres!$A$1:$I$89,5,0)</f>
        <v>188.34815999999992</v>
      </c>
      <c r="AK61" s="13">
        <f t="shared" si="35"/>
        <v>47.174569095030364</v>
      </c>
      <c r="AL61" s="20">
        <f t="shared" si="4"/>
        <v>410.20208650717768</v>
      </c>
      <c r="AM61" s="59">
        <f t="shared" si="5"/>
        <v>703.53541984051094</v>
      </c>
      <c r="AN61" s="59">
        <f ca="1">AVERAGE(OFFSET($AM$3,0,0,'Données projet'!$E$10+1,1))-AVERAGE(OFFSET($H$3,0,0,'Données projet'!$E$10+1,1))</f>
        <v>210.07838338464626</v>
      </c>
      <c r="AO61" s="59">
        <f t="shared" si="36"/>
        <v>241.76003724236273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3.0441757556103135</v>
      </c>
      <c r="AV61" s="21">
        <f>EXP(-LN(2)/25)*AV60+(1-EXP(-LN(2)/25))/(LN(2)/25)*Calculateur!AQ61*Calculateur!AS61*VLOOKUP('Données projet'!$B$10,Paramètres!$A$1:$I$89,3,0)*0.475*44/12</f>
        <v>6.238829449734852</v>
      </c>
      <c r="AW61" s="21">
        <f>EXP(-LN(2)/2)*AW60+(1-EXP(-LN(2)/2))/(LN(2)/2)*AQ61*AT61*VLOOKUP('Données projet'!$B$10,Paramètres!$A$1:$I$89,3,0)*0.475*44/12</f>
        <v>9.7481838811335885E-4</v>
      </c>
      <c r="AX61" s="21">
        <f t="shared" si="6"/>
        <v>9.2839800237332799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8.1999999999999993</v>
      </c>
      <c r="BD61" s="12">
        <f>IF('Données projet'!$A$88&gt;35,BD60+BC61-BL60,IF(A61&lt;'Données projet'!$A$88,$BA$205^A61,IF(A61='Données projet'!$A$88,'Données projet'!$B$88,BD60+BC61-BL60)))</f>
        <v>312.5999999999998</v>
      </c>
      <c r="BE61" s="13">
        <f>BD61*VLOOKUP('Données projet'!$B$11,Paramètres!$A$1:$I$89,3,0)*VLOOKUP('Données projet'!$B$11,Paramètres!$A$1:$I$89,5,0)</f>
        <v>170.67959999999991</v>
      </c>
      <c r="BF61" s="13">
        <f t="shared" si="37"/>
        <v>43.242196017419161</v>
      </c>
      <c r="BG61" s="20">
        <f t="shared" si="7"/>
        <v>372.58046139700485</v>
      </c>
      <c r="BH61" s="59">
        <f t="shared" si="8"/>
        <v>665.91379473033817</v>
      </c>
      <c r="BI61" s="59">
        <f ca="1">AVERAGE(OFFSET($BH$3,0,0,'Données projet'!$E$11+1,1))-AVERAGE(OFFSET($H$3,0,0,'Données projet'!$E$11+1,1))</f>
        <v>168.72306536277267</v>
      </c>
      <c r="BJ61" s="59">
        <f t="shared" si="38"/>
        <v>203.35476578922339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1.7472147727386889</v>
      </c>
      <c r="BQ61" s="21">
        <f>EXP(-LN(2)/25)*BQ60+(1-EXP(-LN(2)/25))/(LN(2)/25)*Calculateur!BL61*Calculateur!BN61*VLOOKUP('Données projet'!$B$11,Paramètres!$A$1:$I$89,3,0)*0.475*44/12</f>
        <v>10.57526648816645</v>
      </c>
      <c r="BR61" s="21">
        <f>EXP(-LN(2)/2)*BR60+(1-EXP(-LN(2)/2))/(LN(2)/2)*BL61*BO61*VLOOKUP('Données projet'!$B$11,Paramètres!$A$1:$I$89,3,0)*0.475*44/12</f>
        <v>1.2221586073052531E-3</v>
      </c>
      <c r="BS61" s="22">
        <f t="shared" si="9"/>
        <v>12.323703419512444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14.270329670329668</v>
      </c>
      <c r="BY61" s="12">
        <f>IF('Données projet'!$A$114&gt;35,BY60+BX61-CG60,IF(A61&lt;'Données projet'!$A$114,$BV$205^A61,IF(A61='Données projet'!$A$114,'Données projet'!$B$114,BY60+BX61-CG60)))</f>
        <v>303.82527472527471</v>
      </c>
      <c r="BZ61" s="13">
        <f>BY61*VLOOKUP('Données projet'!$B$12,Paramètres!$A$1:$I$89,3,0)*VLOOKUP('Données projet'!$B$12,Paramètres!$A$1:$I$89,5,0)</f>
        <v>142.19022857142855</v>
      </c>
      <c r="CA61" s="13">
        <f t="shared" si="39"/>
        <v>36.798301893816983</v>
      </c>
      <c r="CB61" s="20">
        <f t="shared" si="10"/>
        <v>311.7383572269693</v>
      </c>
      <c r="CC61" s="59">
        <f t="shared" si="11"/>
        <v>605.07169056030261</v>
      </c>
      <c r="CD61" s="59">
        <f ca="1">AVERAGE(OFFSET($CC$3,0,0,'Données projet'!$E$12+1,1))-AVERAGE(OFFSET($H$3,0,0,'Données projet'!$E$12+1,1))</f>
        <v>158.58786357608489</v>
      </c>
      <c r="CE61" s="59">
        <f t="shared" si="40"/>
        <v>163.20074068819849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5.6</v>
      </c>
      <c r="CT61" s="12">
        <f>IF('Données projet'!$A$140&gt;35,CT60+CS61-DB60,IF(A61&lt;'Données projet'!$A$140,$CQ$205^A61,IF(A61='Données projet'!$A$140,'Données projet'!$B$140,CT60+CS61-DB60)))</f>
        <v>246.7999999999997</v>
      </c>
      <c r="CU61" s="17">
        <f>CT61*VLOOKUP('Données projet'!$B$13,Paramètres!$A$1:$I$89,3,0)*VLOOKUP('Données projet'!$B$13,Paramètres!$A$1:$I$89,5,0)</f>
        <v>180.95375999999979</v>
      </c>
      <c r="CV61" s="13">
        <f t="shared" si="41"/>
        <v>45.534314886343658</v>
      </c>
      <c r="CW61" s="20">
        <f t="shared" si="13"/>
        <v>394.46673042704816</v>
      </c>
      <c r="CX61" s="59">
        <f t="shared" si="14"/>
        <v>687.80006376038148</v>
      </c>
      <c r="CY61" s="59">
        <f ca="1">AVERAGE(OFFSET($CX$3,0,0,'Données projet'!$E$13+1,1))-AVERAGE(OFFSET($H$3,0,0,'Données projet'!$E$13+1,1))</f>
        <v>178.12968684094687</v>
      </c>
      <c r="CZ61" s="59">
        <f t="shared" si="42"/>
        <v>219.36004077210373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3.5374109405795546</v>
      </c>
      <c r="DH61" s="21">
        <f>EXP(-LN(2)/2)*DH60+(1-EXP(-LN(2)/2))/(LN(2)/2)*DB61*DE61*VLOOKUP('Données projet'!$B$13,Paramètres!$A$1:$I$89,3,0)*0.475*44/12</f>
        <v>6.0531705308065962E-4</v>
      </c>
      <c r="DI61" s="22">
        <f t="shared" si="15"/>
        <v>3.5380162576326355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-8.5265128291212022E-14</v>
      </c>
      <c r="DP61" s="17">
        <f>DO61*VLOOKUP('Données projet'!$B$14,Paramètres!$A$1:$I$89,3,0)*VLOOKUP('Données projet'!$B$14,Paramètres!$A$1:$I$89,5,0)</f>
        <v>-7.7147888077888636E-14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225.28075317732998</v>
      </c>
      <c r="DU61" s="59">
        <f t="shared" si="44"/>
        <v>358.43407531256207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1.2885662129931348</v>
      </c>
      <c r="EB61" s="21">
        <f>EXP(-LN(2)/25)*EB60+(1-EXP(-LN(2)/25))/(LN(2)/25)*Calculateur!DW61*Calculateur!DY61*VLOOKUP('Données projet'!$B$14,Paramètres!$A$1:$I$89,3,0)*0.475*44/12</f>
        <v>3.8059222011306715</v>
      </c>
      <c r="EC61" s="21">
        <f>EXP(-LN(2)/2)*EC60+(1-EXP(-LN(2)/2))/(LN(2)/2)*DW61*DZ61*VLOOKUP('Données projet'!$B$14,Paramètres!$A$1:$I$89,3,0)*0.475*44/12</f>
        <v>2.6941046844296409E-4</v>
      </c>
      <c r="ED61" s="22">
        <f t="shared" si="18"/>
        <v>5.0947578245922491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>
        <f>VLOOKUP(A61,'Données projet'!$A$191:$I$211,2,0)</f>
        <v>247.98717948717947</v>
      </c>
      <c r="EH61" s="12">
        <f>VLOOKUP(A61,'Données projet'!$A$191:$I$211,9,0)</f>
        <v>9.6586538461538431</v>
      </c>
      <c r="EI61" s="12">
        <f t="array" ref="EI61">INDEX(EH:EH,MIN(IF(ISNUMBER(EH61:EH257),ROW(EH61:EH257),"")))</f>
        <v>9.6586538461538431</v>
      </c>
      <c r="EJ61" s="12">
        <f>IF('Données projet'!$A$192&gt;35,EJ60+EI61-ER60,IF(A61&lt;'Données projet'!$A$192,$EG$205^A61,IF(A61='Données projet'!$A$192,'Données projet'!$B$192,EJ60+EI61-ER60)))</f>
        <v>247.9871794871793</v>
      </c>
      <c r="EK61" s="17">
        <f>EJ61*VLOOKUP('Données projet'!$B$15,Paramètres!$A$1:$I$89,3,0)*VLOOKUP('Données projet'!$B$15,Paramètres!$A$1:$I$89,5,0)</f>
        <v>251.45899999999983</v>
      </c>
      <c r="EL61" s="13">
        <f t="shared" si="45"/>
        <v>60.898257857135299</v>
      </c>
      <c r="EM61" s="20">
        <f t="shared" si="19"/>
        <v>544.02222410117713</v>
      </c>
      <c r="EN61" s="59">
        <f t="shared" si="20"/>
        <v>837.3555574345105</v>
      </c>
      <c r="EO61" s="59">
        <f ca="1">AVERAGE(OFFSET($EN$3,0,0,'Données projet'!$E$15+1,1))-AVERAGE(OFFSET($H$3,0,0,'Données projet'!$E$15+1,1))</f>
        <v>363.98308691765931</v>
      </c>
      <c r="EP61" s="59">
        <f t="shared" si="46"/>
        <v>181.47089407988187</v>
      </c>
      <c r="EQ61" s="15">
        <f>IF(ISNA(VLOOKUP(A61,'Données projet'!$A$191:$I$211,3,0)),0,VLOOKUP(A61,'Données projet'!$A$191:$I$211,3,0))</f>
        <v>4</v>
      </c>
      <c r="ER61" s="15">
        <f>IF(ISNA(VLOOKUP(A61,'Données projet'!$A$191:$I$211,4,0)),0,VLOOKUP(A61,'Données projet'!$A$191:$I$211,4,0))</f>
        <v>47.467948717948715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>
        <f>VLOOKUP(A61,'Données projet'!$A$217:$I$237,2,0)</f>
        <v>247.98717948717947</v>
      </c>
      <c r="FC61" s="12">
        <f>VLOOKUP(A61,'Données projet'!$A$217:$I$237,9,0)</f>
        <v>9.6586538461538431</v>
      </c>
      <c r="FD61" s="12">
        <f t="array" ref="FD61">INDEX(FC:FC,MIN(IF(ISNUMBER(FC61:FC257),ROW(FC61:FC257),"")))</f>
        <v>9.6586538461538431</v>
      </c>
      <c r="FE61" s="12">
        <f>IF('Données projet'!$A$218&gt;35,FE60+FD61-FM60,IF(A61&lt;'Données projet'!$A$218,$FB$205^A61,IF(A61='Données projet'!$A$218,'Données projet'!$B$218,FE60+FD61-FM60)))</f>
        <v>247.9871794871793</v>
      </c>
      <c r="FF61" s="17">
        <f>FE61*VLOOKUP('Données projet'!$B$16,Paramètres!$A$1:$I$89,3,0)*VLOOKUP('Données projet'!$B$16,Paramètres!$A$1:$I$89,5,0)</f>
        <v>266.93339999999978</v>
      </c>
      <c r="FG61" s="13">
        <f t="shared" si="47"/>
        <v>64.198027342650278</v>
      </c>
      <c r="FH61" s="20">
        <f t="shared" si="22"/>
        <v>576.72056928844881</v>
      </c>
      <c r="FI61" s="59">
        <f t="shared" si="23"/>
        <v>870.05390262178207</v>
      </c>
      <c r="FJ61" s="59">
        <f ca="1">AVERAGE(OFFSET($FI$3,0,0,'Données projet'!$E$16+1,1))-AVERAGE(OFFSET($H$3,0,0,'Données projet'!$E$16+1,1))</f>
        <v>395.30533160963489</v>
      </c>
      <c r="FK61" s="59">
        <f t="shared" si="48"/>
        <v>196.02102977695085</v>
      </c>
      <c r="FL61" s="15">
        <f>IF(ISNA(VLOOKUP(A61,'Données projet'!$A$217:$I$237,3,0)),0,VLOOKUP(A61,'Données projet'!$A$217:$I$237,3,0))</f>
        <v>4</v>
      </c>
      <c r="FM61" s="15">
        <f>IF(ISNA(VLOOKUP(A61,'Données projet'!$A$217:$I$237,4,0)),0,VLOOKUP(A61,'Données projet'!$A$217:$I$237,4,0))</f>
        <v>47.467948717948715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5.7</v>
      </c>
      <c r="FZ61" s="12">
        <f>IF('Données projet'!$A$244&gt;35,FZ60+FY61-GH60,IF(A61&lt;'Données projet'!$A$244,$FW$205^A61,IF(A61='Données projet'!$A$244,'Données projet'!$B$244,FZ60+FY61-GH60)))</f>
        <v>215.59999999999988</v>
      </c>
      <c r="GA61" s="17">
        <f>FZ61*VLOOKUP('Données projet'!$B$17,Paramètres!$A$1:$I$89,3,0)*VLOOKUP('Données projet'!$B$17,Paramètres!$A$1:$I$89,5,0)</f>
        <v>225.34511999999992</v>
      </c>
      <c r="GB61" s="13">
        <f t="shared" si="49"/>
        <v>55.274993082282734</v>
      </c>
      <c r="GC61" s="20">
        <f t="shared" si="25"/>
        <v>488.74669695164226</v>
      </c>
      <c r="GD61" s="59">
        <f t="shared" si="26"/>
        <v>782.08003028497558</v>
      </c>
      <c r="GE61" s="59">
        <f ca="1">AVERAGE(OFFSET($GD$3,0,0,'Données projet'!$E$17+1,1))-AVERAGE(OFFSET($H$3,0,0,'Données projet'!$E$17+1,1))</f>
        <v>269.41185214595805</v>
      </c>
      <c r="GF61" s="59">
        <f t="shared" si="50"/>
        <v>299.70148160580993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3.6421388504623402</v>
      </c>
      <c r="GM61" s="21">
        <f>EXP(-LN(2)/25)*GM60+(1-EXP(-LN(2)/25))/(LN(2)/25)*Calculateur!GH61*Calculateur!GJ61*VLOOKUP('Données projet'!$B$17,Paramètres!$A$1:$I$89,3,0)*0.475*44/12</f>
        <v>7.4643138059327701</v>
      </c>
      <c r="GN61" s="21">
        <f>EXP(-LN(2)/2)*GN60+(1-EXP(-LN(2)/2))/(LN(2)/2)*GH61*GK61*VLOOKUP('Données projet'!$B$17,Paramètres!$A$1:$I$89,3,0)*0.475*44/12</f>
        <v>1.1663005714927671E-3</v>
      </c>
      <c r="GO61" s="21">
        <f t="shared" si="27"/>
        <v>11.107618956966602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5.6</v>
      </c>
      <c r="GU61" s="12">
        <f>IF('Données projet'!$A$270&gt;35,GU60+GT61-HC60,IF(A61&lt;'Données projet'!$A$270,$GR$205^A61,IF(A61='Données projet'!$A$270,'Données projet'!$B$270,GU60+GT61-HC60)))</f>
        <v>246.7999999999997</v>
      </c>
      <c r="GV61" s="17">
        <f>GU61*VLOOKUP('Données projet'!$B$18,Paramètres!$A$1:$I$89,3,0)*VLOOKUP('Données projet'!$B$18,Paramètres!$A$1:$I$89,5,0)</f>
        <v>215.6044799999998</v>
      </c>
      <c r="GW61" s="13">
        <f t="shared" si="51"/>
        <v>53.158421929211848</v>
      </c>
      <c r="GX61" s="20">
        <f t="shared" si="28"/>
        <v>468.09538752671023</v>
      </c>
      <c r="GY61" s="59">
        <f t="shared" si="29"/>
        <v>761.42872086004354</v>
      </c>
      <c r="GZ61" s="59">
        <f ca="1">AVERAGE(OFFSET($GY$3,0,0,'Données projet'!$E$18+1,1))-AVERAGE(OFFSET($H$3,0,0,'Données projet'!$E$18+1,1))</f>
        <v>226.35975611953359</v>
      </c>
      <c r="HA61" s="59">
        <f t="shared" si="52"/>
        <v>271.65876694892461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5.1949706440574586</v>
      </c>
      <c r="HI61" s="21">
        <f>EXP(-LN(2)/2)*HI60+(1-EXP(-LN(2)/2))/(LN(2)/2)*HC61*HF61*VLOOKUP('Données projet'!$B$18,Paramètres!$A$1:$I$89,3,0)*0.475*44/12</f>
        <v>7.212288292024879E-4</v>
      </c>
      <c r="HJ61" s="22">
        <f t="shared" si="30"/>
        <v>5.1956918728866608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9.2219551282051242</v>
      </c>
      <c r="N62" s="13">
        <f>IF('Données projet'!$A$36&gt;35,N61+M62-V61,IF(A62&lt;'Données projet'!$A$36,$K$205^A62,IF(A62='Données projet'!$A$36,'Données projet'!$B$36,N61+M62-V61)))</f>
        <v>209.74118589743568</v>
      </c>
      <c r="O62" s="13">
        <f>N62*VLOOKUP('Données projet'!$B$9,Paramètres!$A$1:$I$89,3,0)*VLOOKUP('Données projet'!$B$9,Paramètres!$A$1:$I$89,5,0)</f>
        <v>189.77382499999979</v>
      </c>
      <c r="P62" s="13">
        <f t="shared" si="33"/>
        <v>47.489945304141962</v>
      </c>
      <c r="Q62" s="20">
        <f t="shared" si="53"/>
        <v>413.23439994638017</v>
      </c>
      <c r="R62" s="59">
        <f t="shared" si="0"/>
        <v>706.56773327971348</v>
      </c>
      <c r="S62" s="59">
        <f ca="1">AVERAGE(OFFSET($R$3,0,0,'Données projet'!$E$9+1,1))-AVERAGE(OFFSET($H$3,0,0,'Données projet'!$E$9+1,1))</f>
        <v>309.07357540707869</v>
      </c>
      <c r="T62" s="59">
        <f t="shared" si="34"/>
        <v>155.9593924683299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5.7</v>
      </c>
      <c r="AI62" s="13">
        <f>IF('Données projet'!$A$62&gt;35,AI61+AH62-AQ61,IF(A62&lt;'Données projet'!$A$62,$AF$205^A62,IF(A62='Données projet'!$A$62,'Données projet'!$B$62,AI61+AH62-AQ61)))</f>
        <v>221.29999999999987</v>
      </c>
      <c r="AJ62" s="13">
        <f>AI62*VLOOKUP('Données projet'!$B$10,Paramètres!$A$1:$I$89,3,0)*VLOOKUP('Données projet'!$B$10,Paramètres!$A$1:$I$89,5,0)</f>
        <v>193.3276799999999</v>
      </c>
      <c r="AK62" s="13">
        <f t="shared" si="35"/>
        <v>48.274910577698478</v>
      </c>
      <c r="AL62" s="20">
        <f t="shared" si="4"/>
        <v>420.79117858949138</v>
      </c>
      <c r="AM62" s="59">
        <f t="shared" si="5"/>
        <v>714.12451192282469</v>
      </c>
      <c r="AN62" s="59">
        <f ca="1">AVERAGE(OFFSET($AM$3,0,0,'Données projet'!$E$10+1,1))-AVERAGE(OFFSET($H$3,0,0,'Données projet'!$E$10+1,1))</f>
        <v>210.07838338464626</v>
      </c>
      <c r="AO62" s="59">
        <f t="shared" si="36"/>
        <v>241.76003724236273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2.9844813258066658</v>
      </c>
      <c r="AV62" s="21">
        <f>EXP(-LN(2)/25)*AV61+(1-EXP(-LN(2)/25))/(LN(2)/25)*Calculateur!AQ62*Calculateur!AS62*VLOOKUP('Données projet'!$B$10,Paramètres!$A$1:$I$89,3,0)*0.475*44/12</f>
        <v>6.0682283303460709</v>
      </c>
      <c r="AW62" s="21">
        <f>EXP(-LN(2)/2)*AW61+(1-EXP(-LN(2)/2))/(LN(2)/2)*AQ62*AT62*VLOOKUP('Données projet'!$B$10,Paramètres!$A$1:$I$89,3,0)*0.475*44/12</f>
        <v>6.8930069266029588E-4</v>
      </c>
      <c r="AX62" s="21">
        <f t="shared" si="6"/>
        <v>9.0533989568453954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8.1999999999999993</v>
      </c>
      <c r="BD62" s="12">
        <f>IF('Données projet'!$A$88&gt;35,BD61+BC62-BL61,IF(A62&lt;'Données projet'!$A$88,$BA$205^A62,IF(A62='Données projet'!$A$88,'Données projet'!$B$88,BD61+BC62-BL61)))</f>
        <v>320.79999999999978</v>
      </c>
      <c r="BE62" s="13">
        <f>BD62*VLOOKUP('Données projet'!$B$11,Paramètres!$A$1:$I$89,3,0)*VLOOKUP('Données projet'!$B$11,Paramètres!$A$1:$I$89,5,0)</f>
        <v>175.15679999999989</v>
      </c>
      <c r="BF62" s="13">
        <f t="shared" si="37"/>
        <v>44.242958891041738</v>
      </c>
      <c r="BG62" s="20">
        <f t="shared" si="7"/>
        <v>382.12124673523084</v>
      </c>
      <c r="BH62" s="59">
        <f t="shared" si="8"/>
        <v>675.45458006856416</v>
      </c>
      <c r="BI62" s="59">
        <f ca="1">AVERAGE(OFFSET($BH$3,0,0,'Données projet'!$E$11+1,1))-AVERAGE(OFFSET($H$3,0,0,'Données projet'!$E$11+1,1))</f>
        <v>168.72306536277267</v>
      </c>
      <c r="BJ62" s="59">
        <f t="shared" si="38"/>
        <v>203.35476578922339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1.7129529567410657</v>
      </c>
      <c r="BQ62" s="21">
        <f>EXP(-LN(2)/25)*BQ61+(1-EXP(-LN(2)/25))/(LN(2)/25)*Calculateur!BL62*Calculateur!BN62*VLOOKUP('Données projet'!$B$11,Paramètres!$A$1:$I$89,3,0)*0.475*44/12</f>
        <v>10.286085269918445</v>
      </c>
      <c r="BR62" s="21">
        <f>EXP(-LN(2)/2)*BR61+(1-EXP(-LN(2)/2))/(LN(2)/2)*BL62*BO62*VLOOKUP('Données projet'!$B$11,Paramètres!$A$1:$I$89,3,0)*0.475*44/12</f>
        <v>8.6419663891105125E-4</v>
      </c>
      <c r="BS62" s="22">
        <f t="shared" si="9"/>
        <v>11.999902423298423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14.270329670329668</v>
      </c>
      <c r="BY62" s="12">
        <f>IF('Données projet'!$A$114&gt;35,BY61+BX62-CG61,IF(A62&lt;'Données projet'!$A$114,$BV$205^A62,IF(A62='Données projet'!$A$114,'Données projet'!$B$114,BY61+BX62-CG61)))</f>
        <v>318.09560439560437</v>
      </c>
      <c r="BZ62" s="13">
        <f>BY62*VLOOKUP('Données projet'!$B$12,Paramètres!$A$1:$I$89,3,0)*VLOOKUP('Données projet'!$B$12,Paramètres!$A$1:$I$89,5,0)</f>
        <v>148.86874285714285</v>
      </c>
      <c r="CA62" s="13">
        <f t="shared" si="39"/>
        <v>38.321390217280914</v>
      </c>
      <c r="CB62" s="20">
        <f t="shared" si="10"/>
        <v>326.02281510462137</v>
      </c>
      <c r="CC62" s="59">
        <f t="shared" si="11"/>
        <v>619.35614843795474</v>
      </c>
      <c r="CD62" s="59">
        <f ca="1">AVERAGE(OFFSET($CC$3,0,0,'Données projet'!$E$12+1,1))-AVERAGE(OFFSET($H$3,0,0,'Données projet'!$E$12+1,1))</f>
        <v>158.58786357608489</v>
      </c>
      <c r="CE62" s="59">
        <f t="shared" si="40"/>
        <v>163.20074068819849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5.6</v>
      </c>
      <c r="CT62" s="12">
        <f>IF('Données projet'!$A$140&gt;35,CT61+CS62-DB61,IF(A62&lt;'Données projet'!$A$140,$CQ$205^A62,IF(A62='Données projet'!$A$140,'Données projet'!$B$140,CT61+CS62-DB61)))</f>
        <v>252.39999999999969</v>
      </c>
      <c r="CU62" s="17">
        <f>CT62*VLOOKUP('Données projet'!$B$13,Paramètres!$A$1:$I$89,3,0)*VLOOKUP('Données projet'!$B$13,Paramètres!$A$1:$I$89,5,0)</f>
        <v>185.05967999999976</v>
      </c>
      <c r="CV62" s="13">
        <f t="shared" si="41"/>
        <v>46.446049149430465</v>
      </c>
      <c r="CW62" s="20">
        <f t="shared" si="13"/>
        <v>403.20581160192432</v>
      </c>
      <c r="CX62" s="59">
        <f t="shared" si="14"/>
        <v>696.53914493525758</v>
      </c>
      <c r="CY62" s="59">
        <f ca="1">AVERAGE(OFFSET($CX$3,0,0,'Données projet'!$E$13+1,1))-AVERAGE(OFFSET($H$3,0,0,'Données projet'!$E$13+1,1))</f>
        <v>178.12968684094687</v>
      </c>
      <c r="CZ62" s="59">
        <f t="shared" si="42"/>
        <v>219.36004077210373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3.4406802523850502</v>
      </c>
      <c r="DH62" s="21">
        <f>EXP(-LN(2)/2)*DH61+(1-EXP(-LN(2)/2))/(LN(2)/2)*DB62*DE62*VLOOKUP('Données projet'!$B$13,Paramètres!$A$1:$I$89,3,0)*0.475*44/12</f>
        <v>4.2802379300119176E-4</v>
      </c>
      <c r="DI62" s="22">
        <f t="shared" si="15"/>
        <v>3.4411082761780514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-8.5265128291212022E-14</v>
      </c>
      <c r="DP62" s="17">
        <f>DO62*VLOOKUP('Données projet'!$B$14,Paramètres!$A$1:$I$89,3,0)*VLOOKUP('Données projet'!$B$14,Paramètres!$A$1:$I$89,5,0)</f>
        <v>-7.7147888077888636E-14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225.28075317732998</v>
      </c>
      <c r="DU62" s="59">
        <f t="shared" si="44"/>
        <v>358.43407531256207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1.2632982155041235</v>
      </c>
      <c r="EB62" s="21">
        <f>EXP(-LN(2)/25)*EB61+(1-EXP(-LN(2)/25))/(LN(2)/25)*Calculateur!DW62*Calculateur!DY62*VLOOKUP('Données projet'!$B$14,Paramètres!$A$1:$I$89,3,0)*0.475*44/12</f>
        <v>3.7018490583960033</v>
      </c>
      <c r="EC62" s="21">
        <f>EXP(-LN(2)/2)*EC61+(1-EXP(-LN(2)/2))/(LN(2)/2)*DW62*DZ62*VLOOKUP('Données projet'!$B$14,Paramètres!$A$1:$I$89,3,0)*0.475*44/12</f>
        <v>1.9050196915866428E-4</v>
      </c>
      <c r="ED62" s="22">
        <f t="shared" si="18"/>
        <v>4.9653377758692852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9.2219551282051242</v>
      </c>
      <c r="EJ62" s="12">
        <f>IF('Données projet'!$A$192&gt;35,EJ61+EI62-ER61,IF(A62&lt;'Données projet'!$A$192,$EG$205^A62,IF(A62='Données projet'!$A$192,'Données projet'!$B$192,EJ61+EI62-ER61)))</f>
        <v>209.74118589743568</v>
      </c>
      <c r="EK62" s="17">
        <f>EJ62*VLOOKUP('Données projet'!$B$15,Paramètres!$A$1:$I$89,3,0)*VLOOKUP('Données projet'!$B$15,Paramètres!$A$1:$I$89,5,0)</f>
        <v>212.67756249999979</v>
      </c>
      <c r="EL62" s="13">
        <f t="shared" si="45"/>
        <v>52.520268322871921</v>
      </c>
      <c r="EM62" s="20">
        <f t="shared" si="19"/>
        <v>461.88622201650156</v>
      </c>
      <c r="EN62" s="59">
        <f t="shared" si="20"/>
        <v>755.21955534983488</v>
      </c>
      <c r="EO62" s="59">
        <f ca="1">AVERAGE(OFFSET($EN$3,0,0,'Données projet'!$E$15+1,1))-AVERAGE(OFFSET($H$3,0,0,'Données projet'!$E$15+1,1))</f>
        <v>363.98308691765931</v>
      </c>
      <c r="EP62" s="59">
        <f t="shared" si="46"/>
        <v>181.47089407988187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9.2219551282051242</v>
      </c>
      <c r="FE62" s="12">
        <f>IF('Données projet'!$A$218&gt;35,FE61+FD62-FM61,IF(A62&lt;'Données projet'!$A$218,$FB$205^A62,IF(A62='Données projet'!$A$218,'Données projet'!$B$218,FE61+FD62-FM61)))</f>
        <v>209.74118589743568</v>
      </c>
      <c r="FF62" s="17">
        <f>FE62*VLOOKUP('Données projet'!$B$16,Paramètres!$A$1:$I$89,3,0)*VLOOKUP('Données projet'!$B$16,Paramètres!$A$1:$I$89,5,0)</f>
        <v>225.76541249999977</v>
      </c>
      <c r="FG62" s="13">
        <f t="shared" si="47"/>
        <v>55.366076805430446</v>
      </c>
      <c r="FH62" s="20">
        <f t="shared" si="22"/>
        <v>489.63734387362427</v>
      </c>
      <c r="FI62" s="59">
        <f t="shared" si="23"/>
        <v>782.97067720695759</v>
      </c>
      <c r="FJ62" s="59">
        <f ca="1">AVERAGE(OFFSET($FI$3,0,0,'Données projet'!$E$16+1,1))-AVERAGE(OFFSET($H$3,0,0,'Données projet'!$E$16+1,1))</f>
        <v>395.30533160963489</v>
      </c>
      <c r="FK62" s="59">
        <f t="shared" si="48"/>
        <v>196.02102977695085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5.7</v>
      </c>
      <c r="FZ62" s="12">
        <f>IF('Données projet'!$A$244&gt;35,FZ61+FY62-GH61,IF(A62&lt;'Données projet'!$A$244,$FW$205^A62,IF(A62='Données projet'!$A$244,'Données projet'!$B$244,FZ61+FY62-GH61)))</f>
        <v>221.29999999999987</v>
      </c>
      <c r="GA62" s="17">
        <f>FZ62*VLOOKUP('Données projet'!$B$17,Paramètres!$A$1:$I$89,3,0)*VLOOKUP('Données projet'!$B$17,Paramètres!$A$1:$I$89,5,0)</f>
        <v>231.30275999999989</v>
      </c>
      <c r="GB62" s="13">
        <f t="shared" si="49"/>
        <v>56.564276037260285</v>
      </c>
      <c r="GC62" s="20">
        <f t="shared" si="25"/>
        <v>501.36842109822805</v>
      </c>
      <c r="GD62" s="59">
        <f t="shared" si="26"/>
        <v>794.70175443156131</v>
      </c>
      <c r="GE62" s="59">
        <f ca="1">AVERAGE(OFFSET($GD$3,0,0,'Données projet'!$E$17+1,1))-AVERAGE(OFFSET($H$3,0,0,'Données projet'!$E$17+1,1))</f>
        <v>269.41185214595805</v>
      </c>
      <c r="GF62" s="59">
        <f t="shared" si="50"/>
        <v>299.70148160580993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3.5707187290901192</v>
      </c>
      <c r="GM62" s="21">
        <f>EXP(-LN(2)/25)*GM61+(1-EXP(-LN(2)/25))/(LN(2)/25)*Calculateur!GH62*Calculateur!GJ62*VLOOKUP('Données projet'!$B$17,Paramètres!$A$1:$I$89,3,0)*0.475*44/12</f>
        <v>7.2602017523783351</v>
      </c>
      <c r="GN62" s="21">
        <f>EXP(-LN(2)/2)*GN61+(1-EXP(-LN(2)/2))/(LN(2)/2)*GH62*GK62*VLOOKUP('Données projet'!$B$17,Paramètres!$A$1:$I$89,3,0)*0.475*44/12</f>
        <v>8.2469904300428137E-4</v>
      </c>
      <c r="GO62" s="21">
        <f t="shared" si="27"/>
        <v>10.831745180511458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5.6</v>
      </c>
      <c r="GU62" s="12">
        <f>IF('Données projet'!$A$270&gt;35,GU61+GT62-HC61,IF(A62&lt;'Données projet'!$A$270,$GR$205^A62,IF(A62='Données projet'!$A$270,'Données projet'!$B$270,GU61+GT62-HC61)))</f>
        <v>252.39999999999969</v>
      </c>
      <c r="GV62" s="17">
        <f>GU62*VLOOKUP('Données projet'!$B$18,Paramètres!$A$1:$I$89,3,0)*VLOOKUP('Données projet'!$B$18,Paramètres!$A$1:$I$89,5,0)</f>
        <v>220.49663999999979</v>
      </c>
      <c r="GW62" s="13">
        <f t="shared" si="51"/>
        <v>54.222813800824866</v>
      </c>
      <c r="GX62" s="20">
        <f t="shared" si="28"/>
        <v>478.46971536976963</v>
      </c>
      <c r="GY62" s="59">
        <f t="shared" si="29"/>
        <v>771.80304870310295</v>
      </c>
      <c r="GZ62" s="59">
        <f ca="1">AVERAGE(OFFSET($GY$3,0,0,'Données projet'!$E$18+1,1))-AVERAGE(OFFSET($H$3,0,0,'Données projet'!$E$18+1,1))</f>
        <v>226.35975611953359</v>
      </c>
      <c r="HA62" s="59">
        <f t="shared" si="52"/>
        <v>271.65876694892461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5.052913898604074</v>
      </c>
      <c r="HI62" s="21">
        <f>EXP(-LN(2)/2)*HI61+(1-EXP(-LN(2)/2))/(LN(2)/2)*HC62*HF62*VLOOKUP('Données projet'!$B$18,Paramètres!$A$1:$I$89,3,0)*0.475*44/12</f>
        <v>5.0998579591631345E-4</v>
      </c>
      <c r="HJ62" s="22">
        <f t="shared" si="30"/>
        <v>5.0534238843999901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9.2219551282051242</v>
      </c>
      <c r="N63" s="13">
        <f>IF('Données projet'!$A$36&gt;35,N62+M63-V62,IF(A63&lt;'Données projet'!$A$36,$K$205^A63,IF(A63='Données projet'!$A$36,'Données projet'!$B$36,N62+M63-V62)))</f>
        <v>218.96314102564082</v>
      </c>
      <c r="O63" s="13">
        <f>N63*VLOOKUP('Données projet'!$B$9,Paramètres!$A$1:$I$89,3,0)*VLOOKUP('Données projet'!$B$9,Paramètres!$A$1:$I$89,5,0)</f>
        <v>198.11784999999981</v>
      </c>
      <c r="P63" s="13">
        <f t="shared" si="33"/>
        <v>49.330300772275599</v>
      </c>
      <c r="Q63" s="20">
        <f t="shared" si="53"/>
        <v>430.97219592837968</v>
      </c>
      <c r="R63" s="59">
        <f t="shared" si="0"/>
        <v>724.30552926171299</v>
      </c>
      <c r="S63" s="59">
        <f ca="1">AVERAGE(OFFSET($R$3,0,0,'Données projet'!$E$9+1,1))-AVERAGE(OFFSET($H$3,0,0,'Données projet'!$E$9+1,1))</f>
        <v>309.07357540707869</v>
      </c>
      <c r="T63" s="59">
        <f t="shared" si="34"/>
        <v>155.9593924683299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227</v>
      </c>
      <c r="AG63" s="12">
        <f>VLOOKUP(A63,'Données projet'!$A$61:$I$81,9,0)</f>
        <v>5.7</v>
      </c>
      <c r="AH63" s="12">
        <f t="array" ref="AH63">INDEX(AG:AG,MIN(IF(ISNUMBER(AG63:AG259),ROW(AG63:AG259),"")))</f>
        <v>5.7</v>
      </c>
      <c r="AI63" s="13">
        <f>IF('Données projet'!$A$62&gt;35,AI62+AH63-AQ62,IF(A63&lt;'Données projet'!$A$62,$AF$205^A63,IF(A63='Données projet'!$A$62,'Données projet'!$B$62,AI62+AH63-AQ62)))</f>
        <v>226.99999999999986</v>
      </c>
      <c r="AJ63" s="13">
        <f>AI63*VLOOKUP('Données projet'!$B$10,Paramètres!$A$1:$I$89,3,0)*VLOOKUP('Données projet'!$B$10,Paramètres!$A$1:$I$89,5,0)</f>
        <v>198.30719999999991</v>
      </c>
      <c r="AK63" s="13">
        <f t="shared" si="35"/>
        <v>49.371957679623371</v>
      </c>
      <c r="AL63" s="20">
        <f t="shared" si="4"/>
        <v>431.37453295867721</v>
      </c>
      <c r="AM63" s="59">
        <f t="shared" si="5"/>
        <v>724.70786629201052</v>
      </c>
      <c r="AN63" s="59">
        <f ca="1">AVERAGE(OFFSET($AM$3,0,0,'Données projet'!$E$10+1,1))-AVERAGE(OFFSET($H$3,0,0,'Données projet'!$E$10+1,1))</f>
        <v>210.07838338464626</v>
      </c>
      <c r="AO63" s="59">
        <f t="shared" si="36"/>
        <v>241.76003724236273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38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2.925957467361461</v>
      </c>
      <c r="AV63" s="21">
        <f>EXP(-LN(2)/25)*AV62+(1-EXP(-LN(2)/25))/(LN(2)/25)*Calculateur!AQ63*Calculateur!AS63*VLOOKUP('Données projet'!$B$10,Paramètres!$A$1:$I$89,3,0)*0.475*44/12</f>
        <v>5.9022923075384988</v>
      </c>
      <c r="AW63" s="21">
        <f>EXP(-LN(2)/2)*AW62+(1-EXP(-LN(2)/2))/(LN(2)/2)*AQ63*AT63*VLOOKUP('Données projet'!$B$10,Paramètres!$A$1:$I$89,3,0)*0.475*44/12</f>
        <v>4.8740919405667953E-4</v>
      </c>
      <c r="AX63" s="21">
        <f t="shared" si="6"/>
        <v>8.828737184094015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329</v>
      </c>
      <c r="BB63" s="12">
        <f>VLOOKUP(A63,'Données projet'!$A$87:$I$107,9,0)</f>
        <v>8.1999999999999993</v>
      </c>
      <c r="BC63" s="12">
        <f t="array" ref="BC63">INDEX(BB:BB,MIN(IF(ISNUMBER(BB63:BB259),ROW(BB63:BB259),"")))</f>
        <v>8.1999999999999993</v>
      </c>
      <c r="BD63" s="12">
        <f>IF('Données projet'!$A$88&gt;35,BD62+BC63-BL62,IF(A63&lt;'Données projet'!$A$88,$BA$205^A63,IF(A63='Données projet'!$A$88,'Données projet'!$B$88,BD62+BC63-BL62)))</f>
        <v>328.99999999999977</v>
      </c>
      <c r="BE63" s="13">
        <f>BD63*VLOOKUP('Données projet'!$B$11,Paramètres!$A$1:$I$89,3,0)*VLOOKUP('Données projet'!$B$11,Paramètres!$A$1:$I$89,5,0)</f>
        <v>179.63399999999987</v>
      </c>
      <c r="BF63" s="13">
        <f t="shared" si="37"/>
        <v>45.240748266194686</v>
      </c>
      <c r="BG63" s="20">
        <f t="shared" si="7"/>
        <v>391.65685323028885</v>
      </c>
      <c r="BH63" s="59">
        <f t="shared" si="8"/>
        <v>684.99018656362216</v>
      </c>
      <c r="BI63" s="59">
        <f ca="1">AVERAGE(OFFSET($BH$3,0,0,'Données projet'!$E$11+1,1))-AVERAGE(OFFSET($H$3,0,0,'Données projet'!$E$11+1,1))</f>
        <v>168.72306536277267</v>
      </c>
      <c r="BJ63" s="59">
        <f t="shared" si="38"/>
        <v>203.35476578922339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46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1.6793629940575119</v>
      </c>
      <c r="BQ63" s="21">
        <f>EXP(-LN(2)/25)*BQ62+(1-EXP(-LN(2)/25))/(LN(2)/25)*Calculateur!BL63*Calculateur!BN63*VLOOKUP('Données projet'!$B$11,Paramètres!$A$1:$I$89,3,0)*0.475*44/12</f>
        <v>10.004811727290809</v>
      </c>
      <c r="BR63" s="21">
        <f>EXP(-LN(2)/2)*BR62+(1-EXP(-LN(2)/2))/(LN(2)/2)*BL63*BO63*VLOOKUP('Données projet'!$B$11,Paramètres!$A$1:$I$89,3,0)*0.475*44/12</f>
        <v>6.1107930365262653E-4</v>
      </c>
      <c r="BS63" s="22">
        <f t="shared" si="9"/>
        <v>11.684785800651973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14.270329670329668</v>
      </c>
      <c r="BY63" s="12">
        <f>IF('Données projet'!$A$114&gt;35,BY62+BX63-CG62,IF(A63&lt;'Données projet'!$A$114,$BV$205^A63,IF(A63='Données projet'!$A$114,'Données projet'!$B$114,BY62+BX63-CG62)))</f>
        <v>332.36593406593403</v>
      </c>
      <c r="BZ63" s="13">
        <f>BY63*VLOOKUP('Données projet'!$B$12,Paramètres!$A$1:$I$89,3,0)*VLOOKUP('Données projet'!$B$12,Paramètres!$A$1:$I$89,5,0)</f>
        <v>155.54725714285712</v>
      </c>
      <c r="CA63" s="13">
        <f t="shared" si="39"/>
        <v>39.836543030962723</v>
      </c>
      <c r="CB63" s="20">
        <f t="shared" si="10"/>
        <v>340.29345196940289</v>
      </c>
      <c r="CC63" s="59">
        <f t="shared" si="11"/>
        <v>633.62678530273615</v>
      </c>
      <c r="CD63" s="59">
        <f ca="1">AVERAGE(OFFSET($CC$3,0,0,'Données projet'!$E$12+1,1))-AVERAGE(OFFSET($H$3,0,0,'Données projet'!$E$12+1,1))</f>
        <v>158.58786357608489</v>
      </c>
      <c r="CE63" s="59">
        <f t="shared" si="40"/>
        <v>163.20074068819849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258</v>
      </c>
      <c r="CR63" s="12">
        <f>VLOOKUP(A63,'Données projet'!$A$139:$I$159,9,0)</f>
        <v>5.6</v>
      </c>
      <c r="CS63" s="12">
        <f t="array" ref="CS63">INDEX(CR:CR,MIN(IF(ISNUMBER(CR63:CR259),ROW(CR63:CR259),"")))</f>
        <v>5.6</v>
      </c>
      <c r="CT63" s="12">
        <f>IF('Données projet'!$A$140&gt;35,CT62+CS63-DB62,IF(A63&lt;'Données projet'!$A$140,$CQ$205^A63,IF(A63='Données projet'!$A$140,'Données projet'!$B$140,CT62+CS63-DB62)))</f>
        <v>257.99999999999972</v>
      </c>
      <c r="CU63" s="17">
        <f>CT63*VLOOKUP('Données projet'!$B$13,Paramètres!$A$1:$I$89,3,0)*VLOOKUP('Données projet'!$B$13,Paramètres!$A$1:$I$89,5,0)</f>
        <v>189.16559999999978</v>
      </c>
      <c r="CV63" s="13">
        <f t="shared" si="41"/>
        <v>47.355431631295232</v>
      </c>
      <c r="CW63" s="20">
        <f t="shared" si="13"/>
        <v>411.94079675783877</v>
      </c>
      <c r="CX63" s="59">
        <f t="shared" si="14"/>
        <v>705.27413009117208</v>
      </c>
      <c r="CY63" s="59">
        <f ca="1">AVERAGE(OFFSET($CX$3,0,0,'Données projet'!$E$13+1,1))-AVERAGE(OFFSET($H$3,0,0,'Données projet'!$E$13+1,1))</f>
        <v>178.12968684094687</v>
      </c>
      <c r="CZ63" s="59">
        <f t="shared" si="42"/>
        <v>219.36004077210373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25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3.3465946699460702</v>
      </c>
      <c r="DH63" s="21">
        <f>EXP(-LN(2)/2)*DH62+(1-EXP(-LN(2)/2))/(LN(2)/2)*DB63*DE63*VLOOKUP('Données projet'!$B$13,Paramètres!$A$1:$I$89,3,0)*0.475*44/12</f>
        <v>3.0265852654032981E-4</v>
      </c>
      <c r="DI63" s="22">
        <f t="shared" si="15"/>
        <v>3.3468973284726107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-8.5265128291212022E-14</v>
      </c>
      <c r="DP63" s="17">
        <f>DO63*VLOOKUP('Données projet'!$B$14,Paramètres!$A$1:$I$89,3,0)*VLOOKUP('Données projet'!$B$14,Paramètres!$A$1:$I$89,5,0)</f>
        <v>-7.7147888077888636E-14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225.28075317732998</v>
      </c>
      <c r="DU63" s="59">
        <f t="shared" si="44"/>
        <v>358.43407531256207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1.2385257080339149</v>
      </c>
      <c r="EB63" s="21">
        <f>EXP(-LN(2)/25)*EB62+(1-EXP(-LN(2)/25))/(LN(2)/25)*Calculateur!DW63*Calculateur!DY63*VLOOKUP('Données projet'!$B$14,Paramètres!$A$1:$I$89,3,0)*0.475*44/12</f>
        <v>3.6006218012223834</v>
      </c>
      <c r="EC63" s="21">
        <f>EXP(-LN(2)/2)*EC62+(1-EXP(-LN(2)/2))/(LN(2)/2)*DW63*DZ63*VLOOKUP('Données projet'!$B$14,Paramètres!$A$1:$I$89,3,0)*0.475*44/12</f>
        <v>1.3470523422148205E-4</v>
      </c>
      <c r="ED63" s="22">
        <f t="shared" si="18"/>
        <v>4.8392822144905194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9.2219551282051242</v>
      </c>
      <c r="EJ63" s="12">
        <f>IF('Données projet'!$A$192&gt;35,EJ62+EI63-ER62,IF(A63&lt;'Données projet'!$A$192,$EG$205^A63,IF(A63='Données projet'!$A$192,'Données projet'!$B$192,EJ62+EI63-ER62)))</f>
        <v>218.96314102564082</v>
      </c>
      <c r="EK63" s="17">
        <f>EJ63*VLOOKUP('Données projet'!$B$15,Paramètres!$A$1:$I$89,3,0)*VLOOKUP('Données projet'!$B$15,Paramètres!$A$1:$I$89,5,0)</f>
        <v>222.02862499999978</v>
      </c>
      <c r="EL63" s="13">
        <f t="shared" si="45"/>
        <v>54.555561528135165</v>
      </c>
      <c r="EM63" s="20">
        <f t="shared" si="19"/>
        <v>481.71745820316823</v>
      </c>
      <c r="EN63" s="59">
        <f t="shared" si="20"/>
        <v>775.05079153650149</v>
      </c>
      <c r="EO63" s="59">
        <f ca="1">AVERAGE(OFFSET($EN$3,0,0,'Données projet'!$E$15+1,1))-AVERAGE(OFFSET($H$3,0,0,'Données projet'!$E$15+1,1))</f>
        <v>363.98308691765931</v>
      </c>
      <c r="EP63" s="59">
        <f t="shared" si="46"/>
        <v>181.47089407988187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9.2219551282051242</v>
      </c>
      <c r="FE63" s="12">
        <f>IF('Données projet'!$A$218&gt;35,FE62+FD63-FM62,IF(A63&lt;'Données projet'!$A$218,$FB$205^A63,IF(A63='Données projet'!$A$218,'Données projet'!$B$218,FE62+FD63-FM62)))</f>
        <v>218.96314102564082</v>
      </c>
      <c r="FF63" s="17">
        <f>FE63*VLOOKUP('Données projet'!$B$16,Paramètres!$A$1:$I$89,3,0)*VLOOKUP('Données projet'!$B$16,Paramètres!$A$1:$I$89,5,0)</f>
        <v>235.6919249999998</v>
      </c>
      <c r="FG63" s="13">
        <f t="shared" si="47"/>
        <v>57.511652285575167</v>
      </c>
      <c r="FH63" s="20">
        <f t="shared" si="22"/>
        <v>510.66289710570976</v>
      </c>
      <c r="FI63" s="59">
        <f t="shared" si="23"/>
        <v>803.99623043904307</v>
      </c>
      <c r="FJ63" s="59">
        <f ca="1">AVERAGE(OFFSET($FI$3,0,0,'Données projet'!$E$16+1,1))-AVERAGE(OFFSET($H$3,0,0,'Données projet'!$E$16+1,1))</f>
        <v>395.30533160963489</v>
      </c>
      <c r="FK63" s="59">
        <f t="shared" si="48"/>
        <v>196.02102977695085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227</v>
      </c>
      <c r="FX63" s="12">
        <f>VLOOKUP(A63,'Données projet'!$A$243:$I$263,9,0)</f>
        <v>5.7</v>
      </c>
      <c r="FY63" s="12">
        <f t="array" ref="FY63">INDEX(FX:FX,MIN(IF(ISNUMBER(FX63:FX259),ROW(FX63:FX259),"")))</f>
        <v>5.7</v>
      </c>
      <c r="FZ63" s="12">
        <f>IF('Données projet'!$A$244&gt;35,FZ62+FY63-GH62,IF(A63&lt;'Données projet'!$A$244,$FW$205^A63,IF(A63='Données projet'!$A$244,'Données projet'!$B$244,FZ62+FY63-GH62)))</f>
        <v>226.99999999999986</v>
      </c>
      <c r="GA63" s="17">
        <f>FZ63*VLOOKUP('Données projet'!$B$17,Paramètres!$A$1:$I$89,3,0)*VLOOKUP('Données projet'!$B$17,Paramètres!$A$1:$I$89,5,0)</f>
        <v>237.26039999999989</v>
      </c>
      <c r="GB63" s="13">
        <f t="shared" si="49"/>
        <v>57.849698927879118</v>
      </c>
      <c r="GC63" s="20">
        <f t="shared" si="25"/>
        <v>513.98342229938919</v>
      </c>
      <c r="GD63" s="59">
        <f t="shared" si="26"/>
        <v>807.31675563272256</v>
      </c>
      <c r="GE63" s="59">
        <f ca="1">AVERAGE(OFFSET($GD$3,0,0,'Données projet'!$E$17+1,1))-AVERAGE(OFFSET($H$3,0,0,'Données projet'!$E$17+1,1))</f>
        <v>269.41185214595805</v>
      </c>
      <c r="GF63" s="59">
        <f t="shared" si="50"/>
        <v>299.70148160580993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38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3.5006991127360347</v>
      </c>
      <c r="GM63" s="21">
        <f>EXP(-LN(2)/25)*GM62+(1-EXP(-LN(2)/25))/(LN(2)/25)*Calculateur!GH63*Calculateur!GJ63*VLOOKUP('Données projet'!$B$17,Paramètres!$A$1:$I$89,3,0)*0.475*44/12</f>
        <v>7.0616711536621324</v>
      </c>
      <c r="GN63" s="21">
        <f>EXP(-LN(2)/2)*GN62+(1-EXP(-LN(2)/2))/(LN(2)/2)*GH63*GK63*VLOOKUP('Données projet'!$B$17,Paramètres!$A$1:$I$89,3,0)*0.475*44/12</f>
        <v>5.8315028574638353E-4</v>
      </c>
      <c r="GO63" s="21">
        <f t="shared" si="27"/>
        <v>10.562953416683914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258</v>
      </c>
      <c r="GS63" s="12">
        <f>VLOOKUP(A63,'Données projet'!$A$269:$I$289,9,0)</f>
        <v>5.6</v>
      </c>
      <c r="GT63" s="12">
        <f t="array" ref="GT63">INDEX(GS:GS,MIN(IF(ISNUMBER(GS63:GS259),ROW(GS63:GS259),"")))</f>
        <v>5.6</v>
      </c>
      <c r="GU63" s="12">
        <f>IF('Données projet'!$A$270&gt;35,GU62+GT63-HC62,IF(A63&lt;'Données projet'!$A$270,$GR$205^A63,IF(A63='Données projet'!$A$270,'Données projet'!$B$270,GU62+GT63-HC62)))</f>
        <v>257.99999999999972</v>
      </c>
      <c r="GV63" s="17">
        <f>GU63*VLOOKUP('Données projet'!$B$18,Paramètres!$A$1:$I$89,3,0)*VLOOKUP('Données projet'!$B$18,Paramètres!$A$1:$I$89,5,0)</f>
        <v>225.38879999999978</v>
      </c>
      <c r="GW63" s="13">
        <f t="shared" si="51"/>
        <v>55.284460117161501</v>
      </c>
      <c r="GX63" s="20">
        <f t="shared" si="28"/>
        <v>488.8392613707224</v>
      </c>
      <c r="GY63" s="59">
        <f t="shared" si="29"/>
        <v>782.17259470405565</v>
      </c>
      <c r="GZ63" s="59">
        <f ca="1">AVERAGE(OFFSET($GY$3,0,0,'Données projet'!$E$18+1,1))-AVERAGE(OFFSET($H$3,0,0,'Données projet'!$E$18+1,1))</f>
        <v>226.35975611953359</v>
      </c>
      <c r="HA63" s="59">
        <f t="shared" si="52"/>
        <v>271.65876694892461</v>
      </c>
      <c r="HB63" s="15">
        <f>IF(ISNA(VLOOKUP(A63,'Données projet'!$A$269:$I$289,3,0)),0,VLOOKUP(A63,'Données projet'!$A$269:$I$289,3,0))</f>
        <v>5</v>
      </c>
      <c r="HC63" s="15">
        <f>IF(ISNA(VLOOKUP(A63,'Données projet'!$A$269:$I$289,4,0)),0,VLOOKUP(A63,'Données projet'!$A$269:$I$289,4,0))</f>
        <v>25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4.9147417023255526</v>
      </c>
      <c r="HI63" s="21">
        <f>EXP(-LN(2)/2)*HI62+(1-EXP(-LN(2)/2))/(LN(2)/2)*HC63*HF63*VLOOKUP('Données projet'!$B$18,Paramètres!$A$1:$I$89,3,0)*0.475*44/12</f>
        <v>3.6061441460124395E-4</v>
      </c>
      <c r="HJ63" s="22">
        <f t="shared" si="30"/>
        <v>4.9151023167401542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9.2219551282051242</v>
      </c>
      <c r="N64" s="13">
        <f>IF('Données projet'!$A$36&gt;35,N63+M64-V63,IF(A64&lt;'Données projet'!$A$36,$K$205^A64,IF(A64='Données projet'!$A$36,'Données projet'!$B$36,N63+M64-V63)))</f>
        <v>228.18509615384596</v>
      </c>
      <c r="O64" s="13">
        <f>N64*VLOOKUP('Données projet'!$B$9,Paramètres!$A$1:$I$89,3,0)*VLOOKUP('Données projet'!$B$9,Paramètres!$A$1:$I$89,5,0)</f>
        <v>206.46187499999985</v>
      </c>
      <c r="P64" s="13">
        <f t="shared" si="33"/>
        <v>51.161653428040907</v>
      </c>
      <c r="Q64" s="20">
        <f t="shared" si="53"/>
        <v>448.69431201217094</v>
      </c>
      <c r="R64" s="59">
        <f t="shared" si="0"/>
        <v>742.0276453455042</v>
      </c>
      <c r="S64" s="59">
        <f ca="1">AVERAGE(OFFSET($R$3,0,0,'Données projet'!$E$9+1,1))-AVERAGE(OFFSET($H$3,0,0,'Données projet'!$E$9+1,1))</f>
        <v>309.07357540707869</v>
      </c>
      <c r="T64" s="59">
        <f t="shared" si="34"/>
        <v>155.9593924683299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4.8</v>
      </c>
      <c r="AI64" s="13">
        <f>IF('Données projet'!$A$62&gt;35,AI63+AH64-AQ63,IF(A64&lt;'Données projet'!$A$62,$AF$205^A64,IF(A64='Données projet'!$A$62,'Données projet'!$B$62,AI63+AH64-AQ63)))</f>
        <v>193.79999999999987</v>
      </c>
      <c r="AJ64" s="13">
        <f>AI64*VLOOKUP('Données projet'!$B$10,Paramètres!$A$1:$I$89,3,0)*VLOOKUP('Données projet'!$B$10,Paramètres!$A$1:$I$89,5,0)</f>
        <v>169.3036799999999</v>
      </c>
      <c r="AK64" s="13">
        <f t="shared" si="35"/>
        <v>42.934033834973214</v>
      </c>
      <c r="AL64" s="20">
        <f t="shared" si="4"/>
        <v>369.64735159591146</v>
      </c>
      <c r="AM64" s="59">
        <f t="shared" si="5"/>
        <v>662.98068492924472</v>
      </c>
      <c r="AN64" s="59">
        <f ca="1">AVERAGE(OFFSET($AM$3,0,0,'Données projet'!$E$10+1,1))-AVERAGE(OFFSET($H$3,0,0,'Données projet'!$E$10+1,1))</f>
        <v>210.07838338464626</v>
      </c>
      <c r="AO64" s="59">
        <f t="shared" si="36"/>
        <v>241.76003724236273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2.8685812260843377</v>
      </c>
      <c r="AV64" s="21">
        <f>EXP(-LN(2)/25)*AV63+(1-EXP(-LN(2)/25))/(LN(2)/25)*Calculateur!AQ64*Calculateur!AS64*VLOOKUP('Données projet'!$B$10,Paramètres!$A$1:$I$89,3,0)*0.475*44/12</f>
        <v>5.7408938140007963</v>
      </c>
      <c r="AW64" s="21">
        <f>EXP(-LN(2)/2)*AW63+(1-EXP(-LN(2)/2))/(LN(2)/2)*AQ64*AT64*VLOOKUP('Données projet'!$B$10,Paramètres!$A$1:$I$89,3,0)*0.475*44/12</f>
        <v>3.4465034633014799E-4</v>
      </c>
      <c r="AX64" s="21">
        <f t="shared" si="6"/>
        <v>8.609819690431463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7.1</v>
      </c>
      <c r="BD64" s="12">
        <f>IF('Données projet'!$A$88&gt;35,BD63+BC64-BL63,IF(A64&lt;'Données projet'!$A$88,$BA$205^A64,IF(A64='Données projet'!$A$88,'Données projet'!$B$88,BD63+BC64-BL63)))</f>
        <v>290.0999999999998</v>
      </c>
      <c r="BE64" s="13">
        <f>BD64*VLOOKUP('Données projet'!$B$11,Paramètres!$A$1:$I$89,3,0)*VLOOKUP('Données projet'!$B$11,Paramètres!$A$1:$I$89,5,0)</f>
        <v>158.39459999999988</v>
      </c>
      <c r="BF64" s="13">
        <f t="shared" si="37"/>
        <v>40.480200706834822</v>
      </c>
      <c r="BG64" s="20">
        <f t="shared" si="7"/>
        <v>346.37361123107047</v>
      </c>
      <c r="BH64" s="59">
        <f t="shared" si="8"/>
        <v>639.70694456440378</v>
      </c>
      <c r="BI64" s="59">
        <f ca="1">AVERAGE(OFFSET($BH$3,0,0,'Données projet'!$E$11+1,1))-AVERAGE(OFFSET($H$3,0,0,'Données projet'!$E$11+1,1))</f>
        <v>168.72306536277267</v>
      </c>
      <c r="BJ64" s="59">
        <f t="shared" si="38"/>
        <v>203.35476578922339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1.6464317100543282</v>
      </c>
      <c r="BQ64" s="21">
        <f>EXP(-LN(2)/25)*BQ63+(1-EXP(-LN(2)/25))/(LN(2)/25)*Calculateur!BL64*Calculateur!BN64*VLOOKUP('Données projet'!$B$11,Paramètres!$A$1:$I$89,3,0)*0.475*44/12</f>
        <v>9.7312296244778587</v>
      </c>
      <c r="BR64" s="21">
        <f>EXP(-LN(2)/2)*BR63+(1-EXP(-LN(2)/2))/(LN(2)/2)*BL64*BO64*VLOOKUP('Données projet'!$B$11,Paramètres!$A$1:$I$89,3,0)*0.475*44/12</f>
        <v>4.3209831945552563E-4</v>
      </c>
      <c r="BS64" s="22">
        <f t="shared" si="9"/>
        <v>11.378093432851642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14.270329670329668</v>
      </c>
      <c r="BY64" s="12">
        <f>IF('Données projet'!$A$114&gt;35,BY63+BX64-CG63,IF(A64&lt;'Données projet'!$A$114,$BV$205^A64,IF(A64='Données projet'!$A$114,'Données projet'!$B$114,BY63+BX64-CG63)))</f>
        <v>346.63626373626369</v>
      </c>
      <c r="BZ64" s="13">
        <f>BY64*VLOOKUP('Données projet'!$B$12,Paramètres!$A$1:$I$89,3,0)*VLOOKUP('Données projet'!$B$12,Paramètres!$A$1:$I$89,5,0)</f>
        <v>162.22577142857142</v>
      </c>
      <c r="CA64" s="13">
        <f t="shared" si="39"/>
        <v>41.344139999178246</v>
      </c>
      <c r="CB64" s="20">
        <f t="shared" si="10"/>
        <v>354.55092906999738</v>
      </c>
      <c r="CC64" s="59">
        <f t="shared" si="11"/>
        <v>647.88426240333069</v>
      </c>
      <c r="CD64" s="59">
        <f ca="1">AVERAGE(OFFSET($CC$3,0,0,'Données projet'!$E$12+1,1))-AVERAGE(OFFSET($H$3,0,0,'Données projet'!$E$12+1,1))</f>
        <v>158.58786357608489</v>
      </c>
      <c r="CE64" s="59">
        <f t="shared" si="40"/>
        <v>163.20074068819849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4.0999999999999996</v>
      </c>
      <c r="CT64" s="12">
        <f>IF('Données projet'!$A$140&gt;35,CT63+CS64-DB63,IF(A64&lt;'Données projet'!$A$140,$CQ$205^A64,IF(A64='Données projet'!$A$140,'Données projet'!$B$140,CT63+CS64-DB63)))</f>
        <v>237.09999999999974</v>
      </c>
      <c r="CU64" s="17">
        <f>CT64*VLOOKUP('Données projet'!$B$13,Paramètres!$A$1:$I$89,3,0)*VLOOKUP('Données projet'!$B$13,Paramètres!$A$1:$I$89,5,0)</f>
        <v>173.84171999999981</v>
      </c>
      <c r="CV64" s="13">
        <f t="shared" si="41"/>
        <v>43.949318830610693</v>
      </c>
      <c r="CW64" s="20">
        <f t="shared" si="13"/>
        <v>379.31939262997997</v>
      </c>
      <c r="CX64" s="59">
        <f t="shared" si="14"/>
        <v>672.65272596331329</v>
      </c>
      <c r="CY64" s="59">
        <f ca="1">AVERAGE(OFFSET($CX$3,0,0,'Données projet'!$E$13+1,1))-AVERAGE(OFFSET($H$3,0,0,'Données projet'!$E$13+1,1))</f>
        <v>178.12968684094687</v>
      </c>
      <c r="CZ64" s="59">
        <f t="shared" si="42"/>
        <v>219.36004077210373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3.2550818627066298</v>
      </c>
      <c r="DH64" s="21">
        <f>EXP(-LN(2)/2)*DH63+(1-EXP(-LN(2)/2))/(LN(2)/2)*DB64*DE64*VLOOKUP('Données projet'!$B$13,Paramètres!$A$1:$I$89,3,0)*0.475*44/12</f>
        <v>2.1401189650059588E-4</v>
      </c>
      <c r="DI64" s="22">
        <f t="shared" si="15"/>
        <v>3.2552958746031302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-8.5265128291212022E-14</v>
      </c>
      <c r="DP64" s="17">
        <f>DO64*VLOOKUP('Données projet'!$B$14,Paramètres!$A$1:$I$89,3,0)*VLOOKUP('Données projet'!$B$14,Paramètres!$A$1:$I$89,5,0)</f>
        <v>-7.7147888077888636E-14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225.28075317732998</v>
      </c>
      <c r="DU64" s="59">
        <f t="shared" si="44"/>
        <v>358.43407531256207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1.2142389743254596</v>
      </c>
      <c r="EB64" s="21">
        <f>EXP(-LN(2)/25)*EB63+(1-EXP(-LN(2)/25))/(LN(2)/25)*Calculateur!DW64*Calculateur!DY64*VLOOKUP('Données projet'!$B$14,Paramètres!$A$1:$I$89,3,0)*0.475*44/12</f>
        <v>3.5021626087194861</v>
      </c>
      <c r="EC64" s="21">
        <f>EXP(-LN(2)/2)*EC63+(1-EXP(-LN(2)/2))/(LN(2)/2)*DW64*DZ64*VLOOKUP('Données projet'!$B$14,Paramètres!$A$1:$I$89,3,0)*0.475*44/12</f>
        <v>9.5250984579332138E-5</v>
      </c>
      <c r="ED64" s="22">
        <f t="shared" si="18"/>
        <v>4.7164968340295257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9.2219551282051242</v>
      </c>
      <c r="EJ64" s="12">
        <f>IF('Données projet'!$A$192&gt;35,EJ63+EI64-ER63,IF(A64&lt;'Données projet'!$A$192,$EG$205^A64,IF(A64='Données projet'!$A$192,'Données projet'!$B$192,EJ63+EI64-ER63)))</f>
        <v>228.18509615384596</v>
      </c>
      <c r="EK64" s="17">
        <f>EJ64*VLOOKUP('Données projet'!$B$15,Paramètres!$A$1:$I$89,3,0)*VLOOKUP('Données projet'!$B$15,Paramètres!$A$1:$I$89,5,0)</f>
        <v>231.37968749999982</v>
      </c>
      <c r="EL64" s="13">
        <f t="shared" si="45"/>
        <v>56.58089830750199</v>
      </c>
      <c r="EM64" s="20">
        <f t="shared" si="19"/>
        <v>501.53135361473227</v>
      </c>
      <c r="EN64" s="59">
        <f t="shared" si="20"/>
        <v>794.86468694806558</v>
      </c>
      <c r="EO64" s="59">
        <f ca="1">AVERAGE(OFFSET($EN$3,0,0,'Données projet'!$E$15+1,1))-AVERAGE(OFFSET($H$3,0,0,'Données projet'!$E$15+1,1))</f>
        <v>363.98308691765931</v>
      </c>
      <c r="EP64" s="59">
        <f t="shared" si="46"/>
        <v>181.47089407988187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9.2219551282051242</v>
      </c>
      <c r="FE64" s="12">
        <f>IF('Données projet'!$A$218&gt;35,FE63+FD64-FM63,IF(A64&lt;'Données projet'!$A$218,$FB$205^A64,IF(A64='Données projet'!$A$218,'Données projet'!$B$218,FE63+FD64-FM63)))</f>
        <v>228.18509615384596</v>
      </c>
      <c r="FF64" s="17">
        <f>FE64*VLOOKUP('Données projet'!$B$16,Paramètres!$A$1:$I$89,3,0)*VLOOKUP('Données projet'!$B$16,Paramètres!$A$1:$I$89,5,0)</f>
        <v>245.61843749999977</v>
      </c>
      <c r="FG64" s="13">
        <f t="shared" si="47"/>
        <v>59.646731851314051</v>
      </c>
      <c r="FH64" s="20">
        <f t="shared" si="22"/>
        <v>531.67016995353822</v>
      </c>
      <c r="FI64" s="59">
        <f t="shared" si="23"/>
        <v>825.00350328687159</v>
      </c>
      <c r="FJ64" s="59">
        <f ca="1">AVERAGE(OFFSET($FI$3,0,0,'Données projet'!$E$16+1,1))-AVERAGE(OFFSET($H$3,0,0,'Données projet'!$E$16+1,1))</f>
        <v>395.30533160963489</v>
      </c>
      <c r="FK64" s="59">
        <f t="shared" si="48"/>
        <v>196.02102977695085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4.8</v>
      </c>
      <c r="FZ64" s="12">
        <f>IF('Données projet'!$A$244&gt;35,FZ63+FY64-GH63,IF(A64&lt;'Données projet'!$A$244,$FW$205^A64,IF(A64='Données projet'!$A$244,'Données projet'!$B$244,FZ63+FY64-GH63)))</f>
        <v>193.79999999999987</v>
      </c>
      <c r="GA64" s="17">
        <f>FZ64*VLOOKUP('Données projet'!$B$17,Paramètres!$A$1:$I$89,3,0)*VLOOKUP('Données projet'!$B$17,Paramètres!$A$1:$I$89,5,0)</f>
        <v>202.55975999999987</v>
      </c>
      <c r="GB64" s="13">
        <f t="shared" si="49"/>
        <v>50.306308435844166</v>
      </c>
      <c r="GC64" s="20">
        <f t="shared" si="25"/>
        <v>440.40840252576163</v>
      </c>
      <c r="GD64" s="59">
        <f t="shared" si="26"/>
        <v>733.74173585909489</v>
      </c>
      <c r="GE64" s="59">
        <f ca="1">AVERAGE(OFFSET($GD$3,0,0,'Données projet'!$E$17+1,1))-AVERAGE(OFFSET($H$3,0,0,'Données projet'!$E$17+1,1))</f>
        <v>269.41185214595805</v>
      </c>
      <c r="GF64" s="59">
        <f t="shared" si="50"/>
        <v>299.70148160580993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3.4320525383509048</v>
      </c>
      <c r="GM64" s="21">
        <f>EXP(-LN(2)/25)*GM63+(1-EXP(-LN(2)/25))/(LN(2)/25)*Calculateur!GH64*Calculateur!GJ64*VLOOKUP('Données projet'!$B$17,Paramètres!$A$1:$I$89,3,0)*0.475*44/12</f>
        <v>6.8685693846080946</v>
      </c>
      <c r="GN64" s="21">
        <f>EXP(-LN(2)/2)*GN63+(1-EXP(-LN(2)/2))/(LN(2)/2)*GH64*GK64*VLOOKUP('Données projet'!$B$17,Paramètres!$A$1:$I$89,3,0)*0.475*44/12</f>
        <v>4.1234952150214068E-4</v>
      </c>
      <c r="GO64" s="21">
        <f t="shared" si="27"/>
        <v>10.301034272480502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4.0999999999999996</v>
      </c>
      <c r="GU64" s="12">
        <f>IF('Données projet'!$A$270&gt;35,GU63+GT64-HC63,IF(A64&lt;'Données projet'!$A$270,$GR$205^A64,IF(A64='Données projet'!$A$270,'Données projet'!$B$270,GU63+GT64-HC63)))</f>
        <v>237.09999999999974</v>
      </c>
      <c r="GV64" s="17">
        <f>GU64*VLOOKUP('Données projet'!$B$18,Paramètres!$A$1:$I$89,3,0)*VLOOKUP('Données projet'!$B$18,Paramètres!$A$1:$I$89,5,0)</f>
        <v>207.1305599999998</v>
      </c>
      <c r="GW64" s="13">
        <f t="shared" si="51"/>
        <v>51.308039656038417</v>
      </c>
      <c r="GX64" s="20">
        <f t="shared" si="28"/>
        <v>450.11389440093325</v>
      </c>
      <c r="GY64" s="59">
        <f t="shared" si="29"/>
        <v>743.44722773426656</v>
      </c>
      <c r="GZ64" s="59">
        <f ca="1">AVERAGE(OFFSET($GY$3,0,0,'Données projet'!$E$18+1,1))-AVERAGE(OFFSET($H$3,0,0,'Données projet'!$E$18+1,1))</f>
        <v>226.35975611953359</v>
      </c>
      <c r="HA64" s="59">
        <f t="shared" si="52"/>
        <v>271.65876694892461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4.7803478320204267</v>
      </c>
      <c r="HI64" s="21">
        <f>EXP(-LN(2)/2)*HI63+(1-EXP(-LN(2)/2))/(LN(2)/2)*HC64*HF64*VLOOKUP('Données projet'!$B$18,Paramètres!$A$1:$I$89,3,0)*0.475*44/12</f>
        <v>2.5499289795815673E-4</v>
      </c>
      <c r="HJ64" s="22">
        <f t="shared" si="30"/>
        <v>4.7806028249183852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9.2219551282051242</v>
      </c>
      <c r="N65" s="13">
        <f>IF('Données projet'!$A$36&gt;35,N64+M65-V64,IF(A65&lt;'Données projet'!$A$36,$K$205^A65,IF(A65='Données projet'!$A$36,'Données projet'!$B$36,N64+M65-V64)))</f>
        <v>237.4070512820511</v>
      </c>
      <c r="O65" s="13">
        <f>N65*VLOOKUP('Données projet'!$B$9,Paramètres!$A$1:$I$89,3,0)*VLOOKUP('Données projet'!$B$9,Paramètres!$A$1:$I$89,5,0)</f>
        <v>214.80589999999981</v>
      </c>
      <c r="P65" s="13">
        <f t="shared" si="33"/>
        <v>52.984408736730096</v>
      </c>
      <c r="Q65" s="20">
        <f t="shared" si="53"/>
        <v>466.40145438313789</v>
      </c>
      <c r="R65" s="59">
        <f t="shared" si="0"/>
        <v>759.73478771647115</v>
      </c>
      <c r="S65" s="59">
        <f ca="1">AVERAGE(OFFSET($R$3,0,0,'Données projet'!$E$9+1,1))-AVERAGE(OFFSET($H$3,0,0,'Données projet'!$E$9+1,1))</f>
        <v>309.07357540707869</v>
      </c>
      <c r="T65" s="59">
        <f t="shared" si="34"/>
        <v>155.9593924683299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4.8</v>
      </c>
      <c r="AI65" s="13">
        <f>IF('Données projet'!$A$62&gt;35,AI64+AH65-AQ64,IF(A65&lt;'Données projet'!$A$62,$AF$205^A65,IF(A65='Données projet'!$A$62,'Données projet'!$B$62,AI64+AH65-AQ64)))</f>
        <v>198.59999999999988</v>
      </c>
      <c r="AJ65" s="13">
        <f>AI65*VLOOKUP('Données projet'!$B$10,Paramètres!$A$1:$I$89,3,0)*VLOOKUP('Données projet'!$B$10,Paramètres!$A$1:$I$89,5,0)</f>
        <v>173.49695999999992</v>
      </c>
      <c r="AK65" s="13">
        <f t="shared" si="35"/>
        <v>43.872295751131787</v>
      </c>
      <c r="AL65" s="20">
        <f t="shared" si="4"/>
        <v>378.58478709988776</v>
      </c>
      <c r="AM65" s="59">
        <f t="shared" si="5"/>
        <v>671.91812043322102</v>
      </c>
      <c r="AN65" s="59">
        <f ca="1">AVERAGE(OFFSET($AM$3,0,0,'Données projet'!$E$10+1,1))-AVERAGE(OFFSET($H$3,0,0,'Données projet'!$E$10+1,1))</f>
        <v>210.07838338464626</v>
      </c>
      <c r="AO65" s="59">
        <f t="shared" si="36"/>
        <v>241.76003724236273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2.8123300979026071</v>
      </c>
      <c r="AV65" s="21">
        <f>EXP(-LN(2)/25)*AV64+(1-EXP(-LN(2)/25))/(LN(2)/25)*Calculateur!AQ65*Calculateur!AS65*VLOOKUP('Données projet'!$B$10,Paramètres!$A$1:$I$89,3,0)*0.475*44/12</f>
        <v>5.5839087707564596</v>
      </c>
      <c r="AW65" s="21">
        <f>EXP(-LN(2)/2)*AW64+(1-EXP(-LN(2)/2))/(LN(2)/2)*AQ65*AT65*VLOOKUP('Données projet'!$B$10,Paramètres!$A$1:$I$89,3,0)*0.475*44/12</f>
        <v>2.4370459702833979E-4</v>
      </c>
      <c r="AX65" s="21">
        <f t="shared" si="6"/>
        <v>8.3964825732560957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7.1</v>
      </c>
      <c r="BD65" s="12">
        <f>IF('Données projet'!$A$88&gt;35,BD64+BC65-BL64,IF(A65&lt;'Données projet'!$A$88,$BA$205^A65,IF(A65='Données projet'!$A$88,'Données projet'!$B$88,BD64+BC65-BL64)))</f>
        <v>297.19999999999982</v>
      </c>
      <c r="BE65" s="13">
        <f>BD65*VLOOKUP('Données projet'!$B$11,Paramètres!$A$1:$I$89,3,0)*VLOOKUP('Données projet'!$B$11,Paramètres!$A$1:$I$89,5,0)</f>
        <v>162.27119999999988</v>
      </c>
      <c r="BF65" s="13">
        <f t="shared" si="37"/>
        <v>41.354369909446504</v>
      </c>
      <c r="BG65" s="20">
        <f t="shared" si="7"/>
        <v>354.64786759228576</v>
      </c>
      <c r="BH65" s="59">
        <f t="shared" si="8"/>
        <v>647.98120092561908</v>
      </c>
      <c r="BI65" s="59">
        <f ca="1">AVERAGE(OFFSET($BH$3,0,0,'Données projet'!$E$11+1,1))-AVERAGE(OFFSET($H$3,0,0,'Données projet'!$E$11+1,1))</f>
        <v>168.72306536277267</v>
      </c>
      <c r="BJ65" s="59">
        <f t="shared" si="38"/>
        <v>203.35476578922339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1.6141461884443471</v>
      </c>
      <c r="BQ65" s="21">
        <f>EXP(-LN(2)/25)*BQ64+(1-EXP(-LN(2)/25))/(LN(2)/25)*Calculateur!BL65*Calculateur!BN65*VLOOKUP('Données projet'!$B$11,Paramètres!$A$1:$I$89,3,0)*0.475*44/12</f>
        <v>9.4651286386533862</v>
      </c>
      <c r="BR65" s="21">
        <f>EXP(-LN(2)/2)*BR64+(1-EXP(-LN(2)/2))/(LN(2)/2)*BL65*BO65*VLOOKUP('Données projet'!$B$11,Paramètres!$A$1:$I$89,3,0)*0.475*44/12</f>
        <v>3.0553965182631326E-4</v>
      </c>
      <c r="BS65" s="22">
        <f t="shared" si="9"/>
        <v>11.07958036674956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14.270329670329668</v>
      </c>
      <c r="BY65" s="12">
        <f>IF('Données projet'!$A$114&gt;35,BY64+BX65-CG64,IF(A65&lt;'Données projet'!$A$114,$BV$205^A65,IF(A65='Données projet'!$A$114,'Données projet'!$B$114,BY64+BX65-CG64)))</f>
        <v>360.90659340659334</v>
      </c>
      <c r="BZ65" s="13">
        <f>BY65*VLOOKUP('Données projet'!$B$12,Paramètres!$A$1:$I$89,3,0)*VLOOKUP('Données projet'!$B$12,Paramètres!$A$1:$I$89,5,0)</f>
        <v>168.90428571428566</v>
      </c>
      <c r="CA65" s="13">
        <f t="shared" si="39"/>
        <v>42.844527757373569</v>
      </c>
      <c r="CB65" s="20">
        <f t="shared" si="10"/>
        <v>368.79585012980647</v>
      </c>
      <c r="CC65" s="59">
        <f t="shared" si="11"/>
        <v>662.12918346313973</v>
      </c>
      <c r="CD65" s="59">
        <f ca="1">AVERAGE(OFFSET($CC$3,0,0,'Données projet'!$E$12+1,1))-AVERAGE(OFFSET($H$3,0,0,'Données projet'!$E$12+1,1))</f>
        <v>158.58786357608489</v>
      </c>
      <c r="CE65" s="59">
        <f t="shared" si="40"/>
        <v>163.20074068819849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4.0999999999999996</v>
      </c>
      <c r="CT65" s="12">
        <f>IF('Données projet'!$A$140&gt;35,CT64+CS65-DB64,IF(A65&lt;'Données projet'!$A$140,$CQ$205^A65,IF(A65='Données projet'!$A$140,'Données projet'!$B$140,CT64+CS65-DB64)))</f>
        <v>241.19999999999973</v>
      </c>
      <c r="CU65" s="17">
        <f>CT65*VLOOKUP('Données projet'!$B$13,Paramètres!$A$1:$I$89,3,0)*VLOOKUP('Données projet'!$B$13,Paramètres!$A$1:$I$89,5,0)</f>
        <v>176.84783999999979</v>
      </c>
      <c r="CV65" s="13">
        <f t="shared" si="41"/>
        <v>44.620169178759383</v>
      </c>
      <c r="CW65" s="20">
        <f t="shared" si="13"/>
        <v>385.72344931967223</v>
      </c>
      <c r="CX65" s="59">
        <f t="shared" si="14"/>
        <v>679.05678265300548</v>
      </c>
      <c r="CY65" s="59">
        <f ca="1">AVERAGE(OFFSET($CX$3,0,0,'Données projet'!$E$13+1,1))-AVERAGE(OFFSET($H$3,0,0,'Données projet'!$E$13+1,1))</f>
        <v>178.12968684094687</v>
      </c>
      <c r="CZ65" s="59">
        <f t="shared" si="42"/>
        <v>219.36004077210373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3.1660714779936012</v>
      </c>
      <c r="DH65" s="21">
        <f>EXP(-LN(2)/2)*DH64+(1-EXP(-LN(2)/2))/(LN(2)/2)*DB65*DE65*VLOOKUP('Données projet'!$B$13,Paramètres!$A$1:$I$89,3,0)*0.475*44/12</f>
        <v>1.5132926327016491E-4</v>
      </c>
      <c r="DI65" s="22">
        <f t="shared" si="15"/>
        <v>3.1662228072568714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-8.5265128291212022E-14</v>
      </c>
      <c r="DP65" s="17">
        <f>DO65*VLOOKUP('Données projet'!$B$14,Paramètres!$A$1:$I$89,3,0)*VLOOKUP('Données projet'!$B$14,Paramètres!$A$1:$I$89,5,0)</f>
        <v>-7.7147888077888636E-14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225.28075317732998</v>
      </c>
      <c r="DU65" s="59">
        <f t="shared" si="44"/>
        <v>358.43407531256207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1.1904284886515821</v>
      </c>
      <c r="EB65" s="21">
        <f>EXP(-LN(2)/25)*EB64+(1-EXP(-LN(2)/25))/(LN(2)/25)*Calculateur!DW65*Calculateur!DY65*VLOOKUP('Données projet'!$B$14,Paramètres!$A$1:$I$89,3,0)*0.475*44/12</f>
        <v>3.4063957880133247</v>
      </c>
      <c r="EC65" s="21">
        <f>EXP(-LN(2)/2)*EC64+(1-EXP(-LN(2)/2))/(LN(2)/2)*DW65*DZ65*VLOOKUP('Données projet'!$B$14,Paramètres!$A$1:$I$89,3,0)*0.475*44/12</f>
        <v>6.7352617110741023E-5</v>
      </c>
      <c r="ED65" s="22">
        <f t="shared" si="18"/>
        <v>4.5968916292820179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9.2219551282051242</v>
      </c>
      <c r="EJ65" s="12">
        <f>IF('Données projet'!$A$192&gt;35,EJ64+EI65-ER64,IF(A65&lt;'Données projet'!$A$192,$EG$205^A65,IF(A65='Données projet'!$A$192,'Données projet'!$B$192,EJ64+EI65-ER64)))</f>
        <v>237.4070512820511</v>
      </c>
      <c r="EK65" s="17">
        <f>EJ65*VLOOKUP('Données projet'!$B$15,Paramètres!$A$1:$I$89,3,0)*VLOOKUP('Données projet'!$B$15,Paramètres!$A$1:$I$89,5,0)</f>
        <v>240.73074999999983</v>
      </c>
      <c r="EL65" s="13">
        <f t="shared" si="45"/>
        <v>58.596727074753616</v>
      </c>
      <c r="EM65" s="20">
        <f t="shared" si="19"/>
        <v>521.32868923852891</v>
      </c>
      <c r="EN65" s="59">
        <f t="shared" si="20"/>
        <v>814.66202257186228</v>
      </c>
      <c r="EO65" s="59">
        <f ca="1">AVERAGE(OFFSET($EN$3,0,0,'Données projet'!$E$15+1,1))-AVERAGE(OFFSET($H$3,0,0,'Données projet'!$E$15+1,1))</f>
        <v>363.98308691765931</v>
      </c>
      <c r="EP65" s="59">
        <f t="shared" si="46"/>
        <v>181.47089407988187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9.2219551282051242</v>
      </c>
      <c r="FE65" s="12">
        <f>IF('Données projet'!$A$218&gt;35,FE64+FD65-FM64,IF(A65&lt;'Données projet'!$A$218,$FB$205^A65,IF(A65='Données projet'!$A$218,'Données projet'!$B$218,FE64+FD65-FM64)))</f>
        <v>237.4070512820511</v>
      </c>
      <c r="FF65" s="17">
        <f>FE65*VLOOKUP('Données projet'!$B$16,Paramètres!$A$1:$I$89,3,0)*VLOOKUP('Données projet'!$B$16,Paramètres!$A$1:$I$89,5,0)</f>
        <v>255.5449499999998</v>
      </c>
      <c r="FG65" s="13">
        <f t="shared" si="47"/>
        <v>61.771788213709776</v>
      </c>
      <c r="FH65" s="20">
        <f t="shared" si="22"/>
        <v>552.65998572221076</v>
      </c>
      <c r="FI65" s="59">
        <f t="shared" si="23"/>
        <v>845.99331905554413</v>
      </c>
      <c r="FJ65" s="59">
        <f ca="1">AVERAGE(OFFSET($FI$3,0,0,'Données projet'!$E$16+1,1))-AVERAGE(OFFSET($H$3,0,0,'Données projet'!$E$16+1,1))</f>
        <v>395.30533160963489</v>
      </c>
      <c r="FK65" s="59">
        <f t="shared" si="48"/>
        <v>196.02102977695085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4.8</v>
      </c>
      <c r="FZ65" s="12">
        <f>IF('Données projet'!$A$244&gt;35,FZ64+FY65-GH64,IF(A65&lt;'Données projet'!$A$244,$FW$205^A65,IF(A65='Données projet'!$A$244,'Données projet'!$B$244,FZ64+FY65-GH64)))</f>
        <v>198.59999999999988</v>
      </c>
      <c r="GA65" s="17">
        <f>FZ65*VLOOKUP('Données projet'!$B$17,Paramètres!$A$1:$I$89,3,0)*VLOOKUP('Données projet'!$B$17,Paramètres!$A$1:$I$89,5,0)</f>
        <v>207.57671999999988</v>
      </c>
      <c r="GB65" s="13">
        <f t="shared" si="49"/>
        <v>51.405680871457953</v>
      </c>
      <c r="GC65" s="20">
        <f t="shared" si="25"/>
        <v>451.06101485112237</v>
      </c>
      <c r="GD65" s="59">
        <f t="shared" si="26"/>
        <v>744.39434818445568</v>
      </c>
      <c r="GE65" s="59">
        <f ca="1">AVERAGE(OFFSET($GD$3,0,0,'Données projet'!$E$17+1,1))-AVERAGE(OFFSET($H$3,0,0,'Données projet'!$E$17+1,1))</f>
        <v>269.41185214595805</v>
      </c>
      <c r="GF65" s="59">
        <f t="shared" si="50"/>
        <v>299.70148160580993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3.3647520814191911</v>
      </c>
      <c r="GM65" s="21">
        <f>EXP(-LN(2)/25)*GM64+(1-EXP(-LN(2)/25))/(LN(2)/25)*Calculateur!GH65*Calculateur!GJ65*VLOOKUP('Données projet'!$B$17,Paramètres!$A$1:$I$89,3,0)*0.475*44/12</f>
        <v>6.6807479935836209</v>
      </c>
      <c r="GN65" s="21">
        <f>EXP(-LN(2)/2)*GN64+(1-EXP(-LN(2)/2))/(LN(2)/2)*GH65*GK65*VLOOKUP('Données projet'!$B$17,Paramètres!$A$1:$I$89,3,0)*0.475*44/12</f>
        <v>2.9157514287319177E-4</v>
      </c>
      <c r="GO65" s="21">
        <f t="shared" si="27"/>
        <v>10.045791650145684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4.0999999999999996</v>
      </c>
      <c r="GU65" s="12">
        <f>IF('Données projet'!$A$270&gt;35,GU64+GT65-HC64,IF(A65&lt;'Données projet'!$A$270,$GR$205^A65,IF(A65='Données projet'!$A$270,'Données projet'!$B$270,GU64+GT65-HC64)))</f>
        <v>241.19999999999973</v>
      </c>
      <c r="GV65" s="17">
        <f>GU65*VLOOKUP('Données projet'!$B$18,Paramètres!$A$1:$I$89,3,0)*VLOOKUP('Données projet'!$B$18,Paramètres!$A$1:$I$89,5,0)</f>
        <v>210.71231999999978</v>
      </c>
      <c r="GW65" s="13">
        <f t="shared" si="51"/>
        <v>52.09121484923638</v>
      </c>
      <c r="GX65" s="20">
        <f t="shared" si="28"/>
        <v>457.71615652908628</v>
      </c>
      <c r="GY65" s="59">
        <f t="shared" si="29"/>
        <v>751.04948986241959</v>
      </c>
      <c r="GZ65" s="59">
        <f ca="1">AVERAGE(OFFSET($GY$3,0,0,'Données projet'!$E$18+1,1))-AVERAGE(OFFSET($H$3,0,0,'Données projet'!$E$18+1,1))</f>
        <v>226.35975611953359</v>
      </c>
      <c r="HA65" s="59">
        <f t="shared" si="52"/>
        <v>271.65876694892461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4.6496289691662609</v>
      </c>
      <c r="HI65" s="21">
        <f>EXP(-LN(2)/2)*HI64+(1-EXP(-LN(2)/2))/(LN(2)/2)*HC65*HF65*VLOOKUP('Données projet'!$B$18,Paramètres!$A$1:$I$89,3,0)*0.475*44/12</f>
        <v>1.8030720730062197E-4</v>
      </c>
      <c r="HJ65" s="22">
        <f t="shared" si="30"/>
        <v>4.6498092763735617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9.2219551282051242</v>
      </c>
      <c r="N66" s="13">
        <f>IF('Données projet'!$A$36&gt;35,N65+M66-V65,IF(A66&lt;'Données projet'!$A$36,$K$205^A66,IF(A66='Données projet'!$A$36,'Données projet'!$B$36,N65+M66-V65)))</f>
        <v>246.62900641025624</v>
      </c>
      <c r="O66" s="13">
        <f>N66*VLOOKUP('Données projet'!$B$9,Paramètres!$A$1:$I$89,3,0)*VLOOKUP('Données projet'!$B$9,Paramètres!$A$1:$I$89,5,0)</f>
        <v>223.14992499999985</v>
      </c>
      <c r="P66" s="13">
        <f t="shared" si="33"/>
        <v>54.798938879785823</v>
      </c>
      <c r="Q66" s="20">
        <f t="shared" si="53"/>
        <v>484.09427125729331</v>
      </c>
      <c r="R66" s="59">
        <f t="shared" si="0"/>
        <v>777.42760459062663</v>
      </c>
      <c r="S66" s="59">
        <f ca="1">AVERAGE(OFFSET($R$3,0,0,'Données projet'!$E$9+1,1))-AVERAGE(OFFSET($H$3,0,0,'Données projet'!$E$9+1,1))</f>
        <v>309.07357540707869</v>
      </c>
      <c r="T66" s="59">
        <f t="shared" si="34"/>
        <v>155.9593924683299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4.8</v>
      </c>
      <c r="AI66" s="13">
        <f>IF('Données projet'!$A$62&gt;35,AI65+AH66-AQ65,IF(A66&lt;'Données projet'!$A$62,$AF$205^A66,IF(A66='Données projet'!$A$62,'Données projet'!$B$62,AI65+AH66-AQ65)))</f>
        <v>203.39999999999989</v>
      </c>
      <c r="AJ66" s="13">
        <f>AI66*VLOOKUP('Données projet'!$B$10,Paramètres!$A$1:$I$89,3,0)*VLOOKUP('Données projet'!$B$10,Paramètres!$A$1:$I$89,5,0)</f>
        <v>177.69023999999993</v>
      </c>
      <c r="AK66" s="13">
        <f t="shared" si="35"/>
        <v>44.80792149982765</v>
      </c>
      <c r="AL66" s="20">
        <f t="shared" si="4"/>
        <v>387.5176312788663</v>
      </c>
      <c r="AM66" s="59">
        <f t="shared" si="5"/>
        <v>680.85096461219962</v>
      </c>
      <c r="AN66" s="59">
        <f ca="1">AVERAGE(OFFSET($AM$3,0,0,'Données projet'!$E$10+1,1))-AVERAGE(OFFSET($H$3,0,0,'Données projet'!$E$10+1,1))</f>
        <v>210.07838338464626</v>
      </c>
      <c r="AO66" s="59">
        <f t="shared" si="36"/>
        <v>241.76003724236273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2.7571820200347199</v>
      </c>
      <c r="AV66" s="21">
        <f>EXP(-LN(2)/25)*AV65+(1-EXP(-LN(2)/25))/(LN(2)/25)*Calculateur!AQ66*Calculateur!AS66*VLOOKUP('Données projet'!$B$10,Paramètres!$A$1:$I$89,3,0)*0.475*44/12</f>
        <v>5.4312164917751238</v>
      </c>
      <c r="AW66" s="21">
        <f>EXP(-LN(2)/2)*AW65+(1-EXP(-LN(2)/2))/(LN(2)/2)*AQ66*AT66*VLOOKUP('Données projet'!$B$10,Paramètres!$A$1:$I$89,3,0)*0.475*44/12</f>
        <v>1.7232517316507402E-4</v>
      </c>
      <c r="AX66" s="21">
        <f t="shared" si="6"/>
        <v>8.1885708369830095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7.1</v>
      </c>
      <c r="BD66" s="12">
        <f>IF('Données projet'!$A$88&gt;35,BD65+BC66-BL65,IF(A66&lt;'Données projet'!$A$88,$BA$205^A66,IF(A66='Données projet'!$A$88,'Données projet'!$B$88,BD65+BC66-BL65)))</f>
        <v>304.29999999999984</v>
      </c>
      <c r="BE66" s="13">
        <f>BD66*VLOOKUP('Données projet'!$B$11,Paramètres!$A$1:$I$89,3,0)*VLOOKUP('Données projet'!$B$11,Paramètres!$A$1:$I$89,5,0)</f>
        <v>166.1477999999999</v>
      </c>
      <c r="BF66" s="13">
        <f t="shared" si="37"/>
        <v>42.226111395422294</v>
      </c>
      <c r="BG66" s="20">
        <f t="shared" si="7"/>
        <v>362.91789568036029</v>
      </c>
      <c r="BH66" s="59">
        <f t="shared" si="8"/>
        <v>656.25122901369355</v>
      </c>
      <c r="BI66" s="59">
        <f ca="1">AVERAGE(OFFSET($BH$3,0,0,'Données projet'!$E$11+1,1))-AVERAGE(OFFSET($H$3,0,0,'Données projet'!$E$11+1,1))</f>
        <v>168.72306536277267</v>
      </c>
      <c r="BJ66" s="59">
        <f t="shared" si="38"/>
        <v>203.35476578922339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1.582493766220914</v>
      </c>
      <c r="BQ66" s="21">
        <f>EXP(-LN(2)/25)*BQ65+(1-EXP(-LN(2)/25))/(LN(2)/25)*Calculateur!BL66*Calculateur!BN66*VLOOKUP('Données projet'!$B$11,Paramètres!$A$1:$I$89,3,0)*0.475*44/12</f>
        <v>9.206304198279927</v>
      </c>
      <c r="BR66" s="21">
        <f>EXP(-LN(2)/2)*BR65+(1-EXP(-LN(2)/2))/(LN(2)/2)*BL66*BO66*VLOOKUP('Données projet'!$B$11,Paramètres!$A$1:$I$89,3,0)*0.475*44/12</f>
        <v>2.1604915972776281E-4</v>
      </c>
      <c r="BS66" s="22">
        <f t="shared" si="9"/>
        <v>10.789014013660568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375.17692307692306</v>
      </c>
      <c r="BW66" s="12">
        <f>VLOOKUP(A66,'Données projet'!$A$113:$I$133,9,0)</f>
        <v>14.270329670329668</v>
      </c>
      <c r="BX66" s="12">
        <f t="array" ref="BX66">INDEX(BW:BW,MIN(IF(ISNUMBER(BW66:BW262),ROW(BW66:BW262),"")))</f>
        <v>14.270329670329668</v>
      </c>
      <c r="BY66" s="12">
        <f>IF('Données projet'!$A$114&gt;35,BY65+BX66-CG65,IF(A66&lt;'Données projet'!$A$114,$BV$205^A66,IF(A66='Données projet'!$A$114,'Données projet'!$B$114,BY65+BX66-CG65)))</f>
        <v>375.176923076923</v>
      </c>
      <c r="BZ66" s="13">
        <f>BY66*VLOOKUP('Données projet'!$B$12,Paramètres!$A$1:$I$89,3,0)*VLOOKUP('Données projet'!$B$12,Paramètres!$A$1:$I$89,5,0)</f>
        <v>175.58279999999996</v>
      </c>
      <c r="CA66" s="13">
        <f t="shared" si="39"/>
        <v>44.338023977070598</v>
      </c>
      <c r="CB66" s="20">
        <f t="shared" si="10"/>
        <v>383.02876842673123</v>
      </c>
      <c r="CC66" s="59">
        <f t="shared" si="11"/>
        <v>676.36210176006455</v>
      </c>
      <c r="CD66" s="59">
        <f ca="1">AVERAGE(OFFSET($CC$3,0,0,'Données projet'!$E$12+1,1))-AVERAGE(OFFSET($H$3,0,0,'Données projet'!$E$12+1,1))</f>
        <v>158.58786357608489</v>
      </c>
      <c r="CE66" s="59">
        <f t="shared" si="40"/>
        <v>163.20074068819849</v>
      </c>
      <c r="CF66" s="15">
        <f>IF(ISNA(VLOOKUP(A66,'Données projet'!$A$113:$I$133,3,0)),0,VLOOKUP(A66,'Données projet'!$A$113:$I$133,3,0))</f>
        <v>4</v>
      </c>
      <c r="CG66" s="15">
        <f>IF(ISNA(VLOOKUP(A66,'Données projet'!$A$113:$I$133,4,0)),0,VLOOKUP(A66,'Données projet'!$A$113:$I$133,4,0))</f>
        <v>71.123076923076923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4.0999999999999996</v>
      </c>
      <c r="CT66" s="12">
        <f>IF('Données projet'!$A$140&gt;35,CT65+CS66-DB65,IF(A66&lt;'Données projet'!$A$140,$CQ$205^A66,IF(A66='Données projet'!$A$140,'Données projet'!$B$140,CT65+CS66-DB65)))</f>
        <v>245.29999999999973</v>
      </c>
      <c r="CU66" s="17">
        <f>CT66*VLOOKUP('Données projet'!$B$13,Paramètres!$A$1:$I$89,3,0)*VLOOKUP('Données projet'!$B$13,Paramètres!$A$1:$I$89,5,0)</f>
        <v>179.8539599999998</v>
      </c>
      <c r="CV66" s="13">
        <f t="shared" si="41"/>
        <v>45.289693422506019</v>
      </c>
      <c r="CW66" s="20">
        <f t="shared" si="13"/>
        <v>392.12519637753098</v>
      </c>
      <c r="CX66" s="59">
        <f t="shared" si="14"/>
        <v>685.45852971086424</v>
      </c>
      <c r="CY66" s="59">
        <f ca="1">AVERAGE(OFFSET($CX$3,0,0,'Données projet'!$E$13+1,1))-AVERAGE(OFFSET($H$3,0,0,'Données projet'!$E$13+1,1))</f>
        <v>178.12968684094687</v>
      </c>
      <c r="CZ66" s="59">
        <f t="shared" si="42"/>
        <v>219.36004077210373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3.0794950869314035</v>
      </c>
      <c r="DH66" s="21">
        <f>EXP(-LN(2)/2)*DH65+(1-EXP(-LN(2)/2))/(LN(2)/2)*DB66*DE66*VLOOKUP('Données projet'!$B$13,Paramètres!$A$1:$I$89,3,0)*0.475*44/12</f>
        <v>1.0700594825029794E-4</v>
      </c>
      <c r="DI66" s="22">
        <f t="shared" si="15"/>
        <v>3.0796020928796537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-8.5265128291212022E-14</v>
      </c>
      <c r="DP66" s="17">
        <f>DO66*VLOOKUP('Données projet'!$B$14,Paramètres!$A$1:$I$89,3,0)*VLOOKUP('Données projet'!$B$14,Paramètres!$A$1:$I$89,5,0)</f>
        <v>-7.7147888077888636E-14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225.28075317732998</v>
      </c>
      <c r="DU66" s="59">
        <f t="shared" si="44"/>
        <v>358.43407531256207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1.1670849120788074</v>
      </c>
      <c r="EB66" s="21">
        <f>EXP(-LN(2)/25)*EB65+(1-EXP(-LN(2)/25))/(LN(2)/25)*Calculateur!DW66*Calculateur!DY66*VLOOKUP('Données projet'!$B$14,Paramètres!$A$1:$I$89,3,0)*0.475*44/12</f>
        <v>3.3132477160555314</v>
      </c>
      <c r="EC66" s="21">
        <f>EXP(-LN(2)/2)*EC65+(1-EXP(-LN(2)/2))/(LN(2)/2)*DW66*DZ66*VLOOKUP('Données projet'!$B$14,Paramètres!$A$1:$I$89,3,0)*0.475*44/12</f>
        <v>4.7625492289666069E-5</v>
      </c>
      <c r="ED66" s="22">
        <f t="shared" si="18"/>
        <v>4.4803802536266284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9.2219551282051242</v>
      </c>
      <c r="EJ66" s="12">
        <f>IF('Données projet'!$A$192&gt;35,EJ65+EI66-ER65,IF(A66&lt;'Données projet'!$A$192,$EG$205^A66,IF(A66='Données projet'!$A$192,'Données projet'!$B$192,EJ65+EI66-ER65)))</f>
        <v>246.62900641025624</v>
      </c>
      <c r="EK66" s="17">
        <f>EJ66*VLOOKUP('Données projet'!$B$15,Paramètres!$A$1:$I$89,3,0)*VLOOKUP('Données projet'!$B$15,Paramètres!$A$1:$I$89,5,0)</f>
        <v>250.08181249999981</v>
      </c>
      <c r="EL66" s="13">
        <f t="shared" si="45"/>
        <v>60.603459434264501</v>
      </c>
      <c r="EM66" s="20">
        <f t="shared" si="19"/>
        <v>541.11018195217696</v>
      </c>
      <c r="EN66" s="59">
        <f t="shared" si="20"/>
        <v>834.44351528551033</v>
      </c>
      <c r="EO66" s="59">
        <f ca="1">AVERAGE(OFFSET($EN$3,0,0,'Données projet'!$E$15+1,1))-AVERAGE(OFFSET($H$3,0,0,'Données projet'!$E$15+1,1))</f>
        <v>363.98308691765931</v>
      </c>
      <c r="EP66" s="59">
        <f t="shared" si="46"/>
        <v>181.47089407988187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9.2219551282051242</v>
      </c>
      <c r="FE66" s="12">
        <f>IF('Données projet'!$A$218&gt;35,FE65+FD66-FM65,IF(A66&lt;'Données projet'!$A$218,$FB$205^A66,IF(A66='Données projet'!$A$218,'Données projet'!$B$218,FE65+FD66-FM65)))</f>
        <v>246.62900641025624</v>
      </c>
      <c r="FF66" s="17">
        <f>FE66*VLOOKUP('Données projet'!$B$16,Paramètres!$A$1:$I$89,3,0)*VLOOKUP('Données projet'!$B$16,Paramètres!$A$1:$I$89,5,0)</f>
        <v>265.4714624999998</v>
      </c>
      <c r="FG66" s="13">
        <f t="shared" si="47"/>
        <v>63.887255279902206</v>
      </c>
      <c r="FH66" s="20">
        <f t="shared" si="22"/>
        <v>573.63310013332932</v>
      </c>
      <c r="FI66" s="59">
        <f t="shared" si="23"/>
        <v>866.96643346666269</v>
      </c>
      <c r="FJ66" s="59">
        <f ca="1">AVERAGE(OFFSET($FI$3,0,0,'Données projet'!$E$16+1,1))-AVERAGE(OFFSET($H$3,0,0,'Données projet'!$E$16+1,1))</f>
        <v>395.30533160963489</v>
      </c>
      <c r="FK66" s="59">
        <f t="shared" si="48"/>
        <v>196.02102977695085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4.8</v>
      </c>
      <c r="FZ66" s="12">
        <f>IF('Données projet'!$A$244&gt;35,FZ65+FY66-GH65,IF(A66&lt;'Données projet'!$A$244,$FW$205^A66,IF(A66='Données projet'!$A$244,'Données projet'!$B$244,FZ65+FY66-GH65)))</f>
        <v>203.39999999999989</v>
      </c>
      <c r="GA66" s="17">
        <f>FZ66*VLOOKUP('Données projet'!$B$17,Paramètres!$A$1:$I$89,3,0)*VLOOKUP('Données projet'!$B$17,Paramètres!$A$1:$I$89,5,0)</f>
        <v>212.59367999999989</v>
      </c>
      <c r="GB66" s="13">
        <f t="shared" si="49"/>
        <v>52.5019644788946</v>
      </c>
      <c r="GC66" s="20">
        <f t="shared" si="25"/>
        <v>461.70824746740783</v>
      </c>
      <c r="GD66" s="59">
        <f t="shared" si="26"/>
        <v>755.04158080074114</v>
      </c>
      <c r="GE66" s="59">
        <f ca="1">AVERAGE(OFFSET($GD$3,0,0,'Données projet'!$E$17+1,1))-AVERAGE(OFFSET($H$3,0,0,'Données projet'!$E$17+1,1))</f>
        <v>269.41185214595805</v>
      </c>
      <c r="GF66" s="59">
        <f t="shared" si="50"/>
        <v>299.70148160580993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3.2987713453986829</v>
      </c>
      <c r="GM66" s="21">
        <f>EXP(-LN(2)/25)*GM65+(1-EXP(-LN(2)/25))/(LN(2)/25)*Calculateur!GH66*Calculateur!GJ66*VLOOKUP('Données projet'!$B$17,Paramètres!$A$1:$I$89,3,0)*0.475*44/12</f>
        <v>6.4980625883738092</v>
      </c>
      <c r="GN66" s="21">
        <f>EXP(-LN(2)/2)*GN65+(1-EXP(-LN(2)/2))/(LN(2)/2)*GH66*GK66*VLOOKUP('Données projet'!$B$17,Paramètres!$A$1:$I$89,3,0)*0.475*44/12</f>
        <v>2.0617476075107034E-4</v>
      </c>
      <c r="GO66" s="21">
        <f t="shared" si="27"/>
        <v>9.7970401085332419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4.0999999999999996</v>
      </c>
      <c r="GU66" s="12">
        <f>IF('Données projet'!$A$270&gt;35,GU65+GT66-HC65,IF(A66&lt;'Données projet'!$A$270,$GR$205^A66,IF(A66='Données projet'!$A$270,'Données projet'!$B$270,GU65+GT66-HC65)))</f>
        <v>245.29999999999973</v>
      </c>
      <c r="GV66" s="17">
        <f>GU66*VLOOKUP('Données projet'!$B$18,Paramètres!$A$1:$I$89,3,0)*VLOOKUP('Données projet'!$B$18,Paramètres!$A$1:$I$89,5,0)</f>
        <v>214.29407999999978</v>
      </c>
      <c r="GW66" s="13">
        <f t="shared" si="51"/>
        <v>52.872841899731213</v>
      </c>
      <c r="GX66" s="20">
        <f t="shared" si="28"/>
        <v>465.31572230869818</v>
      </c>
      <c r="GY66" s="59">
        <f t="shared" si="29"/>
        <v>758.6490556420315</v>
      </c>
      <c r="GZ66" s="59">
        <f ca="1">AVERAGE(OFFSET($GY$3,0,0,'Données projet'!$E$18+1,1))-AVERAGE(OFFSET($H$3,0,0,'Données projet'!$E$18+1,1))</f>
        <v>226.35975611953359</v>
      </c>
      <c r="HA66" s="59">
        <f t="shared" si="52"/>
        <v>271.65876694892461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4.5224846204910492</v>
      </c>
      <c r="HI66" s="21">
        <f>EXP(-LN(2)/2)*HI65+(1-EXP(-LN(2)/2))/(LN(2)/2)*HC66*HF66*VLOOKUP('Données projet'!$B$18,Paramètres!$A$1:$I$89,3,0)*0.475*44/12</f>
        <v>1.2749644897907836E-4</v>
      </c>
      <c r="HJ66" s="22">
        <f t="shared" si="30"/>
        <v>4.522612116940028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9.2219551282051242</v>
      </c>
      <c r="N67" s="13">
        <f>IF('Données projet'!$A$36&gt;35,N66+M67-V66,IF(A67&lt;'Données projet'!$A$36,$K$205^A67,IF(A67='Données projet'!$A$36,'Données projet'!$B$36,N66+M67-V66)))</f>
        <v>255.85096153846138</v>
      </c>
      <c r="O67" s="13">
        <f>N67*VLOOKUP('Données projet'!$B$9,Paramètres!$A$1:$I$89,3,0)*VLOOKUP('Données projet'!$B$9,Paramètres!$A$1:$I$89,5,0)</f>
        <v>231.49394999999984</v>
      </c>
      <c r="P67" s="13">
        <f t="shared" si="33"/>
        <v>56.605586628604179</v>
      </c>
      <c r="Q67" s="20">
        <f t="shared" ref="Q67:Q98" si="54">(O67+P67)*0.475*44/12</f>
        <v>501.77335962815204</v>
      </c>
      <c r="R67" s="59">
        <f t="shared" ref="R67:R130" si="55">Q67+(I67+J67)*44/12</f>
        <v>795.10669296148535</v>
      </c>
      <c r="S67" s="59">
        <f ca="1">AVERAGE(OFFSET($R$3,0,0,'Données projet'!$E$9+1,1))-AVERAGE(OFFSET($H$3,0,0,'Données projet'!$E$9+1,1))</f>
        <v>309.07357540707869</v>
      </c>
      <c r="T67" s="59">
        <f t="shared" si="34"/>
        <v>155.9593924683299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4.8</v>
      </c>
      <c r="AI67" s="13">
        <f>IF('Données projet'!$A$62&gt;35,AI66+AH67-AQ66,IF(A67&lt;'Données projet'!$A$62,$AF$205^A67,IF(A67='Données projet'!$A$62,'Données projet'!$B$62,AI66+AH67-AQ66)))</f>
        <v>208.1999999999999</v>
      </c>
      <c r="AJ67" s="13">
        <f>AI67*VLOOKUP('Données projet'!$B$10,Paramètres!$A$1:$I$89,3,0)*VLOOKUP('Données projet'!$B$10,Paramètres!$A$1:$I$89,5,0)</f>
        <v>181.88351999999995</v>
      </c>
      <c r="AK67" s="13">
        <f t="shared" si="35"/>
        <v>45.740980450513447</v>
      </c>
      <c r="AL67" s="20">
        <f t="shared" si="4"/>
        <v>396.44600495131073</v>
      </c>
      <c r="AM67" s="59">
        <f t="shared" si="5"/>
        <v>689.77933828464404</v>
      </c>
      <c r="AN67" s="59">
        <f ca="1">AVERAGE(OFFSET($AM$3,0,0,'Données projet'!$E$10+1,1))-AVERAGE(OFFSET($H$3,0,0,'Données projet'!$E$10+1,1))</f>
        <v>210.07838338464626</v>
      </c>
      <c r="AO67" s="59">
        <f t="shared" si="36"/>
        <v>241.76003724236273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2.7031153623368156</v>
      </c>
      <c r="AV67" s="21">
        <f>EXP(-LN(2)/25)*AV66+(1-EXP(-LN(2)/25))/(LN(2)/25)*Calculateur!AQ67*Calculateur!AS67*VLOOKUP('Données projet'!$B$10,Paramètres!$A$1:$I$89,3,0)*0.475*44/12</f>
        <v>5.2826995911922712</v>
      </c>
      <c r="AW67" s="21">
        <f>EXP(-LN(2)/2)*AW66+(1-EXP(-LN(2)/2))/(LN(2)/2)*AQ67*AT67*VLOOKUP('Données projet'!$B$10,Paramètres!$A$1:$I$89,3,0)*0.475*44/12</f>
        <v>1.2185229851416991E-4</v>
      </c>
      <c r="AX67" s="21">
        <f t="shared" si="6"/>
        <v>7.9859368058276008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7.1</v>
      </c>
      <c r="BD67" s="12">
        <f>IF('Données projet'!$A$88&gt;35,BD66+BC67-BL66,IF(A67&lt;'Données projet'!$A$88,$BA$205^A67,IF(A67='Données projet'!$A$88,'Données projet'!$B$88,BD66+BC67-BL66)))</f>
        <v>311.39999999999986</v>
      </c>
      <c r="BE67" s="13">
        <f>BD67*VLOOKUP('Données projet'!$B$11,Paramètres!$A$1:$I$89,3,0)*VLOOKUP('Données projet'!$B$11,Paramètres!$A$1:$I$89,5,0)</f>
        <v>170.0243999999999</v>
      </c>
      <c r="BF67" s="13">
        <f t="shared" si="37"/>
        <v>43.095488327983141</v>
      </c>
      <c r="BG67" s="20">
        <f t="shared" si="7"/>
        <v>371.18380550457044</v>
      </c>
      <c r="BH67" s="59">
        <f t="shared" si="8"/>
        <v>664.51713883790376</v>
      </c>
      <c r="BI67" s="59">
        <f ca="1">AVERAGE(OFFSET($BH$3,0,0,'Données projet'!$E$11+1,1))-AVERAGE(OFFSET($H$3,0,0,'Données projet'!$E$11+1,1))</f>
        <v>168.72306536277267</v>
      </c>
      <c r="BJ67" s="59">
        <f t="shared" si="38"/>
        <v>203.35476578922339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1.5514620286912111</v>
      </c>
      <c r="BQ67" s="21">
        <f>EXP(-LN(2)/25)*BQ66+(1-EXP(-LN(2)/25))/(LN(2)/25)*Calculateur!BL67*Calculateur!BN67*VLOOKUP('Données projet'!$B$11,Paramètres!$A$1:$I$89,3,0)*0.475*44/12</f>
        <v>8.9545573258394651</v>
      </c>
      <c r="BR67" s="21">
        <f>EXP(-LN(2)/2)*BR66+(1-EXP(-LN(2)/2))/(LN(2)/2)*BL67*BO67*VLOOKUP('Données projet'!$B$11,Paramètres!$A$1:$I$89,3,0)*0.475*44/12</f>
        <v>1.5276982591315663E-4</v>
      </c>
      <c r="BS67" s="22">
        <f t="shared" si="9"/>
        <v>10.506172124356588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13.737499999999997</v>
      </c>
      <c r="BY67" s="12">
        <f>IF('Données projet'!$A$114&gt;35,BY66+BX67-CG66,IF(A67&lt;'Données projet'!$A$114,$BV$205^A67,IF(A67='Données projet'!$A$114,'Données projet'!$B$114,BY66+BX67-CG66)))</f>
        <v>317.79134615384612</v>
      </c>
      <c r="BZ67" s="13">
        <f>BY67*VLOOKUP('Données projet'!$B$12,Paramètres!$A$1:$I$89,3,0)*VLOOKUP('Données projet'!$B$12,Paramètres!$A$1:$I$89,5,0)</f>
        <v>148.72635</v>
      </c>
      <c r="CA67" s="13">
        <f t="shared" si="39"/>
        <v>38.289000598915827</v>
      </c>
      <c r="CB67" s="20">
        <f t="shared" si="10"/>
        <v>325.71840229311169</v>
      </c>
      <c r="CC67" s="59">
        <f t="shared" si="11"/>
        <v>619.05173562644495</v>
      </c>
      <c r="CD67" s="59">
        <f ca="1">AVERAGE(OFFSET($CC$3,0,0,'Données projet'!$E$12+1,1))-AVERAGE(OFFSET($H$3,0,0,'Données projet'!$E$12+1,1))</f>
        <v>158.58786357608489</v>
      </c>
      <c r="CE67" s="59">
        <f t="shared" si="40"/>
        <v>163.20074068819849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4.0999999999999996</v>
      </c>
      <c r="CT67" s="12">
        <f>IF('Données projet'!$A$140&gt;35,CT66+CS67-DB66,IF(A67&lt;'Données projet'!$A$140,$CQ$205^A67,IF(A67='Données projet'!$A$140,'Données projet'!$B$140,CT66+CS67-DB66)))</f>
        <v>249.39999999999972</v>
      </c>
      <c r="CU67" s="17">
        <f>CT67*VLOOKUP('Données projet'!$B$13,Paramètres!$A$1:$I$89,3,0)*VLOOKUP('Données projet'!$B$13,Paramètres!$A$1:$I$89,5,0)</f>
        <v>182.86007999999978</v>
      </c>
      <c r="CV67" s="13">
        <f t="shared" si="41"/>
        <v>45.957916284909437</v>
      </c>
      <c r="CW67" s="20">
        <f t="shared" si="13"/>
        <v>398.5246768628835</v>
      </c>
      <c r="CX67" s="59">
        <f t="shared" si="14"/>
        <v>691.85801019621681</v>
      </c>
      <c r="CY67" s="59">
        <f ca="1">AVERAGE(OFFSET($CX$3,0,0,'Données projet'!$E$13+1,1))-AVERAGE(OFFSET($H$3,0,0,'Données projet'!$E$13+1,1))</f>
        <v>178.12968684094687</v>
      </c>
      <c r="CZ67" s="59">
        <f t="shared" si="42"/>
        <v>219.36004077210373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2.9952861318356558</v>
      </c>
      <c r="DH67" s="21">
        <f>EXP(-LN(2)/2)*DH66+(1-EXP(-LN(2)/2))/(LN(2)/2)*DB67*DE67*VLOOKUP('Données projet'!$B$13,Paramètres!$A$1:$I$89,3,0)*0.475*44/12</f>
        <v>7.5664631635082453E-5</v>
      </c>
      <c r="DI67" s="22">
        <f t="shared" si="15"/>
        <v>2.9953617964672907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-8.5265128291212022E-14</v>
      </c>
      <c r="DP67" s="17">
        <f>DO67*VLOOKUP('Données projet'!$B$14,Paramètres!$A$1:$I$89,3,0)*VLOOKUP('Données projet'!$B$14,Paramètres!$A$1:$I$89,5,0)</f>
        <v>-7.7147888077888636E-14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225.28075317732998</v>
      </c>
      <c r="DU67" s="59">
        <f t="shared" si="44"/>
        <v>358.43407531256207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1.1441990888044489</v>
      </c>
      <c r="EB67" s="21">
        <f>EXP(-LN(2)/25)*EB66+(1-EXP(-LN(2)/25))/(LN(2)/25)*Calculateur!DW67*Calculateur!DY67*VLOOKUP('Données projet'!$B$14,Paramètres!$A$1:$I$89,3,0)*0.475*44/12</f>
        <v>3.2226467830238681</v>
      </c>
      <c r="EC67" s="21">
        <f>EXP(-LN(2)/2)*EC66+(1-EXP(-LN(2)/2))/(LN(2)/2)*DW67*DZ67*VLOOKUP('Données projet'!$B$14,Paramètres!$A$1:$I$89,3,0)*0.475*44/12</f>
        <v>3.3676308555370511E-5</v>
      </c>
      <c r="ED67" s="22">
        <f t="shared" si="18"/>
        <v>4.3668795481368718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9.2219551282051242</v>
      </c>
      <c r="EJ67" s="12">
        <f>IF('Données projet'!$A$192&gt;35,EJ66+EI67-ER66,IF(A67&lt;'Données projet'!$A$192,$EG$205^A67,IF(A67='Données projet'!$A$192,'Données projet'!$B$192,EJ66+EI67-ER66)))</f>
        <v>255.85096153846138</v>
      </c>
      <c r="EK67" s="17">
        <f>EJ67*VLOOKUP('Données projet'!$B$15,Paramètres!$A$1:$I$89,3,0)*VLOOKUP('Données projet'!$B$15,Paramètres!$A$1:$I$89,5,0)</f>
        <v>259.43287499999985</v>
      </c>
      <c r="EL67" s="13">
        <f t="shared" si="45"/>
        <v>62.601474465134189</v>
      </c>
      <c r="EM67" s="20">
        <f t="shared" si="19"/>
        <v>560.87649198510837</v>
      </c>
      <c r="EN67" s="59">
        <f t="shared" si="20"/>
        <v>854.20982531844174</v>
      </c>
      <c r="EO67" s="59">
        <f ca="1">AVERAGE(OFFSET($EN$3,0,0,'Données projet'!$E$15+1,1))-AVERAGE(OFFSET($H$3,0,0,'Données projet'!$E$15+1,1))</f>
        <v>363.98308691765931</v>
      </c>
      <c r="EP67" s="59">
        <f t="shared" si="46"/>
        <v>181.47089407988187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9.2219551282051242</v>
      </c>
      <c r="FE67" s="12">
        <f>IF('Données projet'!$A$218&gt;35,FE66+FD67-FM66,IF(A67&lt;'Données projet'!$A$218,$FB$205^A67,IF(A67='Données projet'!$A$218,'Données projet'!$B$218,FE66+FD67-FM66)))</f>
        <v>255.85096153846138</v>
      </c>
      <c r="FF67" s="17">
        <f>FE67*VLOOKUP('Données projet'!$B$16,Paramètres!$A$1:$I$89,3,0)*VLOOKUP('Données projet'!$B$16,Paramètres!$A$1:$I$89,5,0)</f>
        <v>275.3979749999998</v>
      </c>
      <c r="FG67" s="13">
        <f t="shared" si="47"/>
        <v>65.993532669375455</v>
      </c>
      <c r="FH67" s="20">
        <f t="shared" si="22"/>
        <v>594.59020919082855</v>
      </c>
      <c r="FI67" s="59">
        <f t="shared" si="23"/>
        <v>887.9235425241618</v>
      </c>
      <c r="FJ67" s="59">
        <f ca="1">AVERAGE(OFFSET($FI$3,0,0,'Données projet'!$E$16+1,1))-AVERAGE(OFFSET($H$3,0,0,'Données projet'!$E$16+1,1))</f>
        <v>395.30533160963489</v>
      </c>
      <c r="FK67" s="59">
        <f t="shared" si="48"/>
        <v>196.02102977695085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4.8</v>
      </c>
      <c r="FZ67" s="12">
        <f>IF('Données projet'!$A$244&gt;35,FZ66+FY67-GH66,IF(A67&lt;'Données projet'!$A$244,$FW$205^A67,IF(A67='Données projet'!$A$244,'Données projet'!$B$244,FZ66+FY67-GH66)))</f>
        <v>208.1999999999999</v>
      </c>
      <c r="GA67" s="17">
        <f>FZ67*VLOOKUP('Données projet'!$B$17,Paramètres!$A$1:$I$89,3,0)*VLOOKUP('Données projet'!$B$17,Paramètres!$A$1:$I$89,5,0)</f>
        <v>217.61063999999993</v>
      </c>
      <c r="GB67" s="13">
        <f t="shared" si="49"/>
        <v>53.595240539151249</v>
      </c>
      <c r="GC67" s="20">
        <f t="shared" si="25"/>
        <v>472.35024193902154</v>
      </c>
      <c r="GD67" s="59">
        <f t="shared" si="26"/>
        <v>765.6835752723548</v>
      </c>
      <c r="GE67" s="59">
        <f ca="1">AVERAGE(OFFSET($GD$3,0,0,'Données projet'!$E$17+1,1))-AVERAGE(OFFSET($H$3,0,0,'Données projet'!$E$17+1,1))</f>
        <v>269.41185214595805</v>
      </c>
      <c r="GF67" s="59">
        <f t="shared" si="50"/>
        <v>299.70148160580993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3.234084451367262</v>
      </c>
      <c r="GM67" s="21">
        <f>EXP(-LN(2)/25)*GM66+(1-EXP(-LN(2)/25))/(LN(2)/25)*Calculateur!GH67*Calculateur!GJ67*VLOOKUP('Données projet'!$B$17,Paramètres!$A$1:$I$89,3,0)*0.475*44/12</f>
        <v>6.3203727251764672</v>
      </c>
      <c r="GN67" s="21">
        <f>EXP(-LN(2)/2)*GN66+(1-EXP(-LN(2)/2))/(LN(2)/2)*GH67*GK67*VLOOKUP('Données projet'!$B$17,Paramètres!$A$1:$I$89,3,0)*0.475*44/12</f>
        <v>1.4578757143659588E-4</v>
      </c>
      <c r="GO67" s="21">
        <f t="shared" si="27"/>
        <v>9.5546029641151655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4.0999999999999996</v>
      </c>
      <c r="GU67" s="12">
        <f>IF('Données projet'!$A$270&gt;35,GU66+GT67-HC66,IF(A67&lt;'Données projet'!$A$270,$GR$205^A67,IF(A67='Données projet'!$A$270,'Données projet'!$B$270,GU66+GT67-HC66)))</f>
        <v>249.39999999999972</v>
      </c>
      <c r="GV67" s="17">
        <f>GU67*VLOOKUP('Données projet'!$B$18,Paramètres!$A$1:$I$89,3,0)*VLOOKUP('Données projet'!$B$18,Paramètres!$A$1:$I$89,5,0)</f>
        <v>217.87583999999976</v>
      </c>
      <c r="GW67" s="13">
        <f t="shared" si="51"/>
        <v>53.652949670124876</v>
      </c>
      <c r="GX67" s="20">
        <f t="shared" si="28"/>
        <v>472.91264200880033</v>
      </c>
      <c r="GY67" s="59">
        <f t="shared" si="29"/>
        <v>766.24597534213365</v>
      </c>
      <c r="GZ67" s="59">
        <f ca="1">AVERAGE(OFFSET($GY$3,0,0,'Données projet'!$E$18+1,1))-AVERAGE(OFFSET($H$3,0,0,'Données projet'!$E$18+1,1))</f>
        <v>226.35975611953359</v>
      </c>
      <c r="HA67" s="59">
        <f t="shared" si="52"/>
        <v>271.65876694892461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4.3988170407165912</v>
      </c>
      <c r="HI67" s="21">
        <f>EXP(-LN(2)/2)*HI66+(1-EXP(-LN(2)/2))/(LN(2)/2)*HC67*HF67*VLOOKUP('Données projet'!$B$18,Paramètres!$A$1:$I$89,3,0)*0.475*44/12</f>
        <v>9.0153603650310987E-5</v>
      </c>
      <c r="HJ67" s="22">
        <f t="shared" si="30"/>
        <v>4.3989071943202411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9.2219551282051242</v>
      </c>
      <c r="N68" s="13">
        <f>IF('Données projet'!$A$36&gt;35,N67+M68-V67,IF(A68&lt;'Données projet'!$A$36,$K$205^A68,IF(A68='Données projet'!$A$36,'Données projet'!$B$36,N67+M68-V67)))</f>
        <v>265.07291666666652</v>
      </c>
      <c r="O68" s="13">
        <f>N68*VLOOKUP('Données projet'!$B$9,Paramètres!$A$1:$I$89,3,0)*VLOOKUP('Données projet'!$B$9,Paramètres!$A$1:$I$89,5,0)</f>
        <v>239.83797499999986</v>
      </c>
      <c r="P68" s="13">
        <f t="shared" si="33"/>
        <v>58.404668644128165</v>
      </c>
      <c r="Q68" s="20">
        <f t="shared" si="54"/>
        <v>519.4392710135229</v>
      </c>
      <c r="R68" s="59">
        <f t="shared" si="55"/>
        <v>812.77260434685627</v>
      </c>
      <c r="S68" s="59">
        <f ca="1">AVERAGE(OFFSET($R$3,0,0,'Données projet'!$E$9+1,1))-AVERAGE(OFFSET($H$3,0,0,'Données projet'!$E$9+1,1))</f>
        <v>309.07357540707869</v>
      </c>
      <c r="T68" s="59">
        <f t="shared" si="34"/>
        <v>155.9593924683299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4.8</v>
      </c>
      <c r="AI68" s="13">
        <f>IF('Données projet'!$A$62&gt;35,AI67+AH68-AQ67,IF(A68&lt;'Données projet'!$A$62,$AF$205^A68,IF(A68='Données projet'!$A$62,'Données projet'!$B$62,AI67+AH68-AQ67)))</f>
        <v>212.99999999999991</v>
      </c>
      <c r="AJ68" s="13">
        <f>AI68*VLOOKUP('Données projet'!$B$10,Paramètres!$A$1:$I$89,3,0)*VLOOKUP('Données projet'!$B$10,Paramètres!$A$1:$I$89,5,0)</f>
        <v>186.07679999999993</v>
      </c>
      <c r="AK68" s="13">
        <f t="shared" si="35"/>
        <v>46.671538591528673</v>
      </c>
      <c r="AL68" s="20">
        <f t="shared" ref="AL68:AL131" si="58">(AJ68+AK68)*0.475*44/12</f>
        <v>405.37002304691231</v>
      </c>
      <c r="AM68" s="59">
        <f t="shared" ref="AM68:AM131" si="59">AL68+(AD68+AE68)*44/12</f>
        <v>698.70335638024562</v>
      </c>
      <c r="AN68" s="59">
        <f ca="1">AVERAGE(OFFSET($AM$3,0,0,'Données projet'!$E$10+1,1))-AVERAGE(OFFSET($H$3,0,0,'Données projet'!$E$10+1,1))</f>
        <v>210.07838338464626</v>
      </c>
      <c r="AO68" s="59">
        <f t="shared" si="36"/>
        <v>241.76003724236273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2.6501089188189622</v>
      </c>
      <c r="AV68" s="21">
        <f>EXP(-LN(2)/25)*AV67+(1-EXP(-LN(2)/25))/(LN(2)/25)*Calculateur!AQ68*Calculateur!AS68*VLOOKUP('Données projet'!$B$10,Paramètres!$A$1:$I$89,3,0)*0.475*44/12</f>
        <v>5.1382438930660204</v>
      </c>
      <c r="AW68" s="21">
        <f>EXP(-LN(2)/2)*AW67+(1-EXP(-LN(2)/2))/(LN(2)/2)*AQ68*AT68*VLOOKUP('Données projet'!$B$10,Paramètres!$A$1:$I$89,3,0)*0.475*44/12</f>
        <v>8.6162586582537025E-5</v>
      </c>
      <c r="AX68" s="21">
        <f t="shared" ref="AX68:AX131" si="60">SUM(AU68:AW68)</f>
        <v>7.788438974471565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7.1</v>
      </c>
      <c r="BD68" s="12">
        <f>IF('Données projet'!$A$88&gt;35,BD67+BC68-BL67,IF(A68&lt;'Données projet'!$A$88,$BA$205^A68,IF(A68='Données projet'!$A$88,'Données projet'!$B$88,BD67+BC68-BL67)))</f>
        <v>318.49999999999989</v>
      </c>
      <c r="BE68" s="13">
        <f>BD68*VLOOKUP('Données projet'!$B$11,Paramètres!$A$1:$I$89,3,0)*VLOOKUP('Données projet'!$B$11,Paramètres!$A$1:$I$89,5,0)</f>
        <v>173.90099999999995</v>
      </c>
      <c r="BF68" s="13">
        <f t="shared" si="37"/>
        <v>43.962560825689998</v>
      </c>
      <c r="BG68" s="20">
        <f t="shared" ref="BG68:BG131" si="61">(BE68+BF68)*0.475*44/12</f>
        <v>379.44570177141003</v>
      </c>
      <c r="BH68" s="59">
        <f t="shared" ref="BH68:BH131" si="62">BG68+(AY68+AZ68)*44/12</f>
        <v>672.77903510474334</v>
      </c>
      <c r="BI68" s="59">
        <f ca="1">AVERAGE(OFFSET($BH$3,0,0,'Données projet'!$E$11+1,1))-AVERAGE(OFFSET($H$3,0,0,'Données projet'!$E$11+1,1))</f>
        <v>168.72306536277267</v>
      </c>
      <c r="BJ68" s="59">
        <f t="shared" si="38"/>
        <v>203.35476578922339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1.5210388046069747</v>
      </c>
      <c r="BQ68" s="21">
        <f>EXP(-LN(2)/25)*BQ67+(1-EXP(-LN(2)/25))/(LN(2)/25)*Calculateur!BL68*Calculateur!BN68*VLOOKUP('Données projet'!$B$11,Paramètres!$A$1:$I$89,3,0)*0.475*44/12</f>
        <v>8.7096944848646807</v>
      </c>
      <c r="BR68" s="21">
        <f>EXP(-LN(2)/2)*BR67+(1-EXP(-LN(2)/2))/(LN(2)/2)*BL68*BO68*VLOOKUP('Données projet'!$B$11,Paramètres!$A$1:$I$89,3,0)*0.475*44/12</f>
        <v>1.0802457986388141E-4</v>
      </c>
      <c r="BS68" s="22">
        <f t="shared" ref="BS68:BS131" si="63">SUM(BP68:BR68)</f>
        <v>10.230841314051519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13.737499999999997</v>
      </c>
      <c r="BY68" s="12">
        <f>IF('Données projet'!$A$114&gt;35,BY67+BX68-CG67,IF(A68&lt;'Données projet'!$A$114,$BV$205^A68,IF(A68='Données projet'!$A$114,'Données projet'!$B$114,BY67+BX68-CG67)))</f>
        <v>331.52884615384613</v>
      </c>
      <c r="BZ68" s="13">
        <f>BY68*VLOOKUP('Données projet'!$B$12,Paramètres!$A$1:$I$89,3,0)*VLOOKUP('Données projet'!$B$12,Paramètres!$A$1:$I$89,5,0)</f>
        <v>155.15549999999999</v>
      </c>
      <c r="CA68" s="13">
        <f t="shared" si="39"/>
        <v>39.74787733410745</v>
      </c>
      <c r="CB68" s="20">
        <f t="shared" ref="CB68:CB131" si="64">(BZ68+CA68)*0.475*44/12</f>
        <v>339.45671552357044</v>
      </c>
      <c r="CC68" s="59">
        <f t="shared" ref="CC68:CC131" si="65">CB68+(BT68+BU68)*44/12</f>
        <v>632.7900488569037</v>
      </c>
      <c r="CD68" s="59">
        <f ca="1">AVERAGE(OFFSET($CC$3,0,0,'Données projet'!$E$12+1,1))-AVERAGE(OFFSET($H$3,0,0,'Données projet'!$E$12+1,1))</f>
        <v>158.58786357608489</v>
      </c>
      <c r="CE68" s="59">
        <f t="shared" si="40"/>
        <v>163.20074068819849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4.0999999999999996</v>
      </c>
      <c r="CT68" s="12">
        <f>IF('Données projet'!$A$140&gt;35,CT67+CS68-DB67,IF(A68&lt;'Données projet'!$A$140,$CQ$205^A68,IF(A68='Données projet'!$A$140,'Données projet'!$B$140,CT67+CS68-DB67)))</f>
        <v>253.49999999999972</v>
      </c>
      <c r="CU68" s="17">
        <f>CT68*VLOOKUP('Données projet'!$B$13,Paramètres!$A$1:$I$89,3,0)*VLOOKUP('Données projet'!$B$13,Paramètres!$A$1:$I$89,5,0)</f>
        <v>185.86619999999976</v>
      </c>
      <c r="CV68" s="13">
        <f t="shared" si="41"/>
        <v>46.624861629559298</v>
      </c>
      <c r="CW68" s="20">
        <f t="shared" ref="CW68:CW131" si="67">(CU68+CV68)*0.475*44/12</f>
        <v>404.92193233814868</v>
      </c>
      <c r="CX68" s="59">
        <f t="shared" ref="CX68:CX131" si="68">CW68+(CO68+CP68)*44/12</f>
        <v>698.25526567148199</v>
      </c>
      <c r="CY68" s="59">
        <f ca="1">AVERAGE(OFFSET($CX$3,0,0,'Données projet'!$E$13+1,1))-AVERAGE(OFFSET($H$3,0,0,'Données projet'!$E$13+1,1))</f>
        <v>178.12968684094687</v>
      </c>
      <c r="CZ68" s="59">
        <f t="shared" si="42"/>
        <v>219.36004077210373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2.9133798750453579</v>
      </c>
      <c r="DH68" s="21">
        <f>EXP(-LN(2)/2)*DH67+(1-EXP(-LN(2)/2))/(LN(2)/2)*DB68*DE68*VLOOKUP('Données projet'!$B$13,Paramètres!$A$1:$I$89,3,0)*0.475*44/12</f>
        <v>5.350297412514897E-5</v>
      </c>
      <c r="DI68" s="22">
        <f t="shared" ref="DI68:DI131" si="69">SUM(DF68:DH68)</f>
        <v>2.9134333780194832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-8.5265128291212022E-14</v>
      </c>
      <c r="DP68" s="17">
        <f>DO68*VLOOKUP('Données projet'!$B$14,Paramètres!$A$1:$I$89,3,0)*VLOOKUP('Données projet'!$B$14,Paramètres!$A$1:$I$89,5,0)</f>
        <v>-7.7147888077888636E-14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225.28075317732998</v>
      </c>
      <c r="DU68" s="59">
        <f t="shared" si="44"/>
        <v>358.43407531256207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1.1217620425655266</v>
      </c>
      <c r="EB68" s="21">
        <f>EXP(-LN(2)/25)*EB67+(1-EXP(-LN(2)/25))/(LN(2)/25)*Calculateur!DW68*Calculateur!DY68*VLOOKUP('Données projet'!$B$14,Paramètres!$A$1:$I$89,3,0)*0.475*44/12</f>
        <v>3.1345233372704517</v>
      </c>
      <c r="EC68" s="21">
        <f>EXP(-LN(2)/2)*EC67+(1-EXP(-LN(2)/2))/(LN(2)/2)*DW68*DZ68*VLOOKUP('Données projet'!$B$14,Paramètres!$A$1:$I$89,3,0)*0.475*44/12</f>
        <v>2.3812746144833034E-5</v>
      </c>
      <c r="ED68" s="22">
        <f t="shared" ref="ED68:ED131" si="72">SUM(EA68:EC68)</f>
        <v>4.2563091925821226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9.2219551282051242</v>
      </c>
      <c r="EJ68" s="12">
        <f>IF('Données projet'!$A$192&gt;35,EJ67+EI68-ER67,IF(A68&lt;'Données projet'!$A$192,$EG$205^A68,IF(A68='Données projet'!$A$192,'Données projet'!$B$192,EJ67+EI68-ER67)))</f>
        <v>265.07291666666652</v>
      </c>
      <c r="EK68" s="17">
        <f>EJ68*VLOOKUP('Données projet'!$B$15,Paramètres!$A$1:$I$89,3,0)*VLOOKUP('Données projet'!$B$15,Paramètres!$A$1:$I$89,5,0)</f>
        <v>268.78393749999987</v>
      </c>
      <c r="EL68" s="13">
        <f t="shared" si="45"/>
        <v>64.5911223702862</v>
      </c>
      <c r="EM68" s="20">
        <f t="shared" ref="EM68:EM131" si="73">(EK68+EL68)*0.475*44/12</f>
        <v>580.62822927408149</v>
      </c>
      <c r="EN68" s="59">
        <f t="shared" ref="EN68:EN131" si="74">EM68+(EE68+EF68)*44/12</f>
        <v>873.96156260741486</v>
      </c>
      <c r="EO68" s="59">
        <f ca="1">AVERAGE(OFFSET($EN$3,0,0,'Données projet'!$E$15+1,1))-AVERAGE(OFFSET($H$3,0,0,'Données projet'!$E$15+1,1))</f>
        <v>363.98308691765931</v>
      </c>
      <c r="EP68" s="59">
        <f t="shared" si="46"/>
        <v>181.47089407988187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9.2219551282051242</v>
      </c>
      <c r="FE68" s="12">
        <f>IF('Données projet'!$A$218&gt;35,FE67+FD68-FM67,IF(A68&lt;'Données projet'!$A$218,$FB$205^A68,IF(A68='Données projet'!$A$218,'Données projet'!$B$218,FE67+FD68-FM67)))</f>
        <v>265.07291666666652</v>
      </c>
      <c r="FF68" s="17">
        <f>FE68*VLOOKUP('Données projet'!$B$16,Paramètres!$A$1:$I$89,3,0)*VLOOKUP('Données projet'!$B$16,Paramètres!$A$1:$I$89,5,0)</f>
        <v>285.3244874999998</v>
      </c>
      <c r="FG68" s="13">
        <f t="shared" si="47"/>
        <v>68.090989560783555</v>
      </c>
      <c r="FH68" s="20">
        <f t="shared" ref="FH68:FH131" si="76">(FF68+FG68)*0.475*44/12</f>
        <v>615.5319558808643</v>
      </c>
      <c r="FI68" s="59">
        <f t="shared" ref="FI68:FI131" si="77">FH68+(EZ68+FA68)*44/12</f>
        <v>908.86528921419767</v>
      </c>
      <c r="FJ68" s="59">
        <f ca="1">AVERAGE(OFFSET($FI$3,0,0,'Données projet'!$E$16+1,1))-AVERAGE(OFFSET($H$3,0,0,'Données projet'!$E$16+1,1))</f>
        <v>395.30533160963489</v>
      </c>
      <c r="FK68" s="59">
        <f t="shared" si="48"/>
        <v>196.02102977695085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4.8</v>
      </c>
      <c r="FZ68" s="12">
        <f>IF('Données projet'!$A$244&gt;35,FZ67+FY68-GH67,IF(A68&lt;'Données projet'!$A$244,$FW$205^A68,IF(A68='Données projet'!$A$244,'Données projet'!$B$244,FZ67+FY68-GH67)))</f>
        <v>212.99999999999991</v>
      </c>
      <c r="GA68" s="17">
        <f>FZ68*VLOOKUP('Données projet'!$B$17,Paramètres!$A$1:$I$89,3,0)*VLOOKUP('Données projet'!$B$17,Paramètres!$A$1:$I$89,5,0)</f>
        <v>222.62759999999994</v>
      </c>
      <c r="GB68" s="13">
        <f t="shared" si="49"/>
        <v>54.685586371535265</v>
      </c>
      <c r="GC68" s="20">
        <f t="shared" ref="GC68:GC131" si="79">(GA68+GB68)*0.475*44/12</f>
        <v>482.9871329304238</v>
      </c>
      <c r="GD68" s="59">
        <f t="shared" ref="GD68:GD131" si="80">GC68+(FU68+FV68)*44/12</f>
        <v>776.32046626375711</v>
      </c>
      <c r="GE68" s="59">
        <f ca="1">AVERAGE(OFFSET($GD$3,0,0,'Données projet'!$E$17+1,1))-AVERAGE(OFFSET($H$3,0,0,'Données projet'!$E$17+1,1))</f>
        <v>269.41185214595805</v>
      </c>
      <c r="GF68" s="59">
        <f t="shared" si="50"/>
        <v>299.70148160580993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3.1706660278726875</v>
      </c>
      <c r="GM68" s="21">
        <f>EXP(-LN(2)/25)*GM67+(1-EXP(-LN(2)/25))/(LN(2)/25)*Calculateur!GH68*Calculateur!GJ68*VLOOKUP('Données projet'!$B$17,Paramètres!$A$1:$I$89,3,0)*0.475*44/12</f>
        <v>6.1475418006325606</v>
      </c>
      <c r="GN68" s="21">
        <f>EXP(-LN(2)/2)*GN67+(1-EXP(-LN(2)/2))/(LN(2)/2)*GH68*GK68*VLOOKUP('Données projet'!$B$17,Paramètres!$A$1:$I$89,3,0)*0.475*44/12</f>
        <v>1.0308738037553517E-4</v>
      </c>
      <c r="GO68" s="21">
        <f t="shared" ref="GO68:GO131" si="81">SUM(GL68:GN68)</f>
        <v>9.3183109158856237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4.0999999999999996</v>
      </c>
      <c r="GU68" s="12">
        <f>IF('Données projet'!$A$270&gt;35,GU67+GT68-HC67,IF(A68&lt;'Données projet'!$A$270,$GR$205^A68,IF(A68='Données projet'!$A$270,'Données projet'!$B$270,GU67+GT68-HC67)))</f>
        <v>253.49999999999972</v>
      </c>
      <c r="GV68" s="17">
        <f>GU68*VLOOKUP('Données projet'!$B$18,Paramètres!$A$1:$I$89,3,0)*VLOOKUP('Données projet'!$B$18,Paramètres!$A$1:$I$89,5,0)</f>
        <v>221.45759999999979</v>
      </c>
      <c r="GW68" s="13">
        <f t="shared" si="51"/>
        <v>54.431566019643213</v>
      </c>
      <c r="GX68" s="20">
        <f t="shared" ref="GX68:GX131" si="82">(GV68+GW68)*0.475*44/12</f>
        <v>480.5069641508781</v>
      </c>
      <c r="GY68" s="59">
        <f t="shared" ref="GY68:GY131" si="83">GX68+(GP68+GQ68)*44/12</f>
        <v>773.84029748421142</v>
      </c>
      <c r="GZ68" s="59">
        <f ca="1">AVERAGE(OFFSET($GY$3,0,0,'Données projet'!$E$18+1,1))-AVERAGE(OFFSET($H$3,0,0,'Données projet'!$E$18+1,1))</f>
        <v>226.35975611953359</v>
      </c>
      <c r="HA68" s="59">
        <f t="shared" si="52"/>
        <v>271.65876694892461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4.2785311574144611</v>
      </c>
      <c r="HI68" s="21">
        <f>EXP(-LN(2)/2)*HI67+(1-EXP(-LN(2)/2))/(LN(2)/2)*HC68*HF68*VLOOKUP('Données projet'!$B$18,Paramètres!$A$1:$I$89,3,0)*0.475*44/12</f>
        <v>6.3748224489539181E-5</v>
      </c>
      <c r="HJ68" s="22">
        <f t="shared" ref="HJ68:HJ131" si="84">SUM(HG68:HI68)</f>
        <v>4.2785949056389505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274.29487179487177</v>
      </c>
      <c r="L69" s="12">
        <f>VLOOKUP(A69,'Données projet'!$A$35:$I$55,9,0)</f>
        <v>9.2219551282051242</v>
      </c>
      <c r="M69" s="12">
        <f t="array" ref="M69">INDEX(L:L,MIN(IF(ISNUMBER(L69:L265),ROW(L69:L265),"")))</f>
        <v>9.2219551282051242</v>
      </c>
      <c r="N69" s="13">
        <f>IF('Données projet'!$A$36&gt;35,N68+M69-V68,IF(A69&lt;'Données projet'!$A$36,$K$205^A69,IF(A69='Données projet'!$A$36,'Données projet'!$B$36,N68+M69-V68)))</f>
        <v>274.29487179487165</v>
      </c>
      <c r="O69" s="13">
        <f>N69*VLOOKUP('Données projet'!$B$9,Paramètres!$A$1:$I$89,3,0)*VLOOKUP('Données projet'!$B$9,Paramètres!$A$1:$I$89,5,0)</f>
        <v>248.18199999999985</v>
      </c>
      <c r="P69" s="13">
        <f t="shared" ref="P69:P132" si="87">EXP(-1.0587+0.8836*LN(O69)+0.284)</f>
        <v>60.196478304365186</v>
      </c>
      <c r="Q69" s="20">
        <f t="shared" si="54"/>
        <v>537.09251638010244</v>
      </c>
      <c r="R69" s="59">
        <f t="shared" si="55"/>
        <v>830.42584971343581</v>
      </c>
      <c r="S69" s="59">
        <f ca="1">AVERAGE(OFFSET($R$3,0,0,'Données projet'!$E$9+1,1))-AVERAGE(OFFSET($H$3,0,0,'Données projet'!$E$9+1,1))</f>
        <v>309.07357540707869</v>
      </c>
      <c r="T69" s="59">
        <f t="shared" ref="T69:T132" si="88">$T$3</f>
        <v>155.9593924683299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54.141025641025635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4.8</v>
      </c>
      <c r="AI69" s="13">
        <f>IF('Données projet'!$A$62&gt;35,AI68+AH69-AQ68,IF(A69&lt;'Données projet'!$A$62,$AF$205^A69,IF(A69='Données projet'!$A$62,'Données projet'!$B$62,AI68+AH69-AQ68)))</f>
        <v>217.79999999999993</v>
      </c>
      <c r="AJ69" s="13">
        <f>AI69*VLOOKUP('Données projet'!$B$10,Paramètres!$A$1:$I$89,3,0)*VLOOKUP('Données projet'!$B$10,Paramètres!$A$1:$I$89,5,0)</f>
        <v>190.27007999999998</v>
      </c>
      <c r="AK69" s="13">
        <f t="shared" ref="AK69:AK132" si="89">EXP(-1.0587+0.8836*LN(AJ69)+0.284)</f>
        <v>47.599658767320413</v>
      </c>
      <c r="AL69" s="20">
        <f t="shared" si="58"/>
        <v>414.28979501974965</v>
      </c>
      <c r="AM69" s="59">
        <f t="shared" si="59"/>
        <v>707.62312835308296</v>
      </c>
      <c r="AN69" s="59">
        <f ca="1">AVERAGE(OFFSET($AM$3,0,0,'Données projet'!$E$10+1,1))-AVERAGE(OFFSET($H$3,0,0,'Données projet'!$E$10+1,1))</f>
        <v>210.07838338464626</v>
      </c>
      <c r="AO69" s="59">
        <f t="shared" ref="AO69:AO132" si="90">$AO$3</f>
        <v>241.76003724236273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2.5981418993277559</v>
      </c>
      <c r="AV69" s="21">
        <f>EXP(-LN(2)/25)*AV68+(1-EXP(-LN(2)/25))/(LN(2)/25)*Calculateur!AQ69*Calculateur!AS69*VLOOKUP('Données projet'!$B$10,Paramètres!$A$1:$I$89,3,0)*0.475*44/12</f>
        <v>4.9977383436016272</v>
      </c>
      <c r="AW69" s="21">
        <f>EXP(-LN(2)/2)*AW68+(1-EXP(-LN(2)/2))/(LN(2)/2)*AQ69*AT69*VLOOKUP('Données projet'!$B$10,Paramètres!$A$1:$I$89,3,0)*0.475*44/12</f>
        <v>6.0926149257084969E-5</v>
      </c>
      <c r="AX69" s="21">
        <f t="shared" si="60"/>
        <v>7.5959411690786398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7.1</v>
      </c>
      <c r="BD69" s="12">
        <f>IF('Données projet'!$A$88&gt;35,BD68+BC69-BL68,IF(A69&lt;'Données projet'!$A$88,$BA$205^A69,IF(A69='Données projet'!$A$88,'Données projet'!$B$88,BD68+BC69-BL68)))</f>
        <v>325.59999999999991</v>
      </c>
      <c r="BE69" s="13">
        <f>BD69*VLOOKUP('Données projet'!$B$11,Paramètres!$A$1:$I$89,3,0)*VLOOKUP('Données projet'!$B$11,Paramètres!$A$1:$I$89,5,0)</f>
        <v>177.77759999999995</v>
      </c>
      <c r="BF69" s="13">
        <f t="shared" ref="BF69:BF132" si="91">EXP(-1.0587+0.8836*LN(BE69)+0.284)</f>
        <v>44.827386173754917</v>
      </c>
      <c r="BG69" s="20">
        <f t="shared" si="61"/>
        <v>387.70368425262308</v>
      </c>
      <c r="BH69" s="59">
        <f t="shared" si="62"/>
        <v>681.03701758595639</v>
      </c>
      <c r="BI69" s="59">
        <f ca="1">AVERAGE(OFFSET($BH$3,0,0,'Données projet'!$E$11+1,1))-AVERAGE(OFFSET($H$3,0,0,'Données projet'!$E$11+1,1))</f>
        <v>168.72306536277267</v>
      </c>
      <c r="BJ69" s="59">
        <f t="shared" ref="BJ69:BJ132" si="92">$BJ$3</f>
        <v>203.35476578922339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1.4912121613906959</v>
      </c>
      <c r="BQ69" s="21">
        <f>EXP(-LN(2)/25)*BQ68+(1-EXP(-LN(2)/25))/(LN(2)/25)*Calculateur!BL69*Calculateur!BN69*VLOOKUP('Données projet'!$B$11,Paramètres!$A$1:$I$89,3,0)*0.475*44/12</f>
        <v>8.4715274311531292</v>
      </c>
      <c r="BR69" s="21">
        <f>EXP(-LN(2)/2)*BR68+(1-EXP(-LN(2)/2))/(LN(2)/2)*BL69*BO69*VLOOKUP('Données projet'!$B$11,Paramètres!$A$1:$I$89,3,0)*0.475*44/12</f>
        <v>7.6384912956578316E-5</v>
      </c>
      <c r="BS69" s="22">
        <f t="shared" si="63"/>
        <v>9.9628159774567813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13.737499999999997</v>
      </c>
      <c r="BY69" s="12">
        <f>IF('Données projet'!$A$114&gt;35,BY68+BX69-CG68,IF(A69&lt;'Données projet'!$A$114,$BV$205^A69,IF(A69='Données projet'!$A$114,'Données projet'!$B$114,BY68+BX69-CG68)))</f>
        <v>345.26634615384614</v>
      </c>
      <c r="BZ69" s="13">
        <f>BY69*VLOOKUP('Données projet'!$B$12,Paramètres!$A$1:$I$89,3,0)*VLOOKUP('Données projet'!$B$12,Paramètres!$A$1:$I$89,5,0)</f>
        <v>161.58464999999998</v>
      </c>
      <c r="CA69" s="13">
        <f t="shared" ref="CA69:CA132" si="93">EXP(-1.0587+0.8836*LN(BZ69)+0.284)</f>
        <v>41.199732368807574</v>
      </c>
      <c r="CB69" s="20">
        <f t="shared" si="64"/>
        <v>353.18279929233978</v>
      </c>
      <c r="CC69" s="59">
        <f t="shared" si="65"/>
        <v>646.51613262567309</v>
      </c>
      <c r="CD69" s="59">
        <f ca="1">AVERAGE(OFFSET($CC$3,0,0,'Données projet'!$E$12+1,1))-AVERAGE(OFFSET($H$3,0,0,'Données projet'!$E$12+1,1))</f>
        <v>158.58786357608489</v>
      </c>
      <c r="CE69" s="59">
        <f t="shared" ref="CE69:CE132" si="94">$CE$3</f>
        <v>163.20074068819849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4.0999999999999996</v>
      </c>
      <c r="CT69" s="12">
        <f>IF('Données projet'!$A$140&gt;35,CT68+CS69-DB68,IF(A69&lt;'Données projet'!$A$140,$CQ$205^A69,IF(A69='Données projet'!$A$140,'Données projet'!$B$140,CT68+CS69-DB68)))</f>
        <v>257.59999999999974</v>
      </c>
      <c r="CU69" s="17">
        <f>CT69*VLOOKUP('Données projet'!$B$13,Paramètres!$A$1:$I$89,3,0)*VLOOKUP('Données projet'!$B$13,Paramètres!$A$1:$I$89,5,0)</f>
        <v>188.8723199999998</v>
      </c>
      <c r="CV69" s="13">
        <f t="shared" ref="CV69:CV132" si="95">EXP(-1.0587+0.8836*LN(CU69)+0.284)</f>
        <v>47.290552503862848</v>
      </c>
      <c r="CW69" s="20">
        <f t="shared" si="67"/>
        <v>411.3170029442274</v>
      </c>
      <c r="CX69" s="59">
        <f t="shared" si="68"/>
        <v>704.65033627756065</v>
      </c>
      <c r="CY69" s="59">
        <f ca="1">AVERAGE(OFFSET($CX$3,0,0,'Données projet'!$E$13+1,1))-AVERAGE(OFFSET($H$3,0,0,'Données projet'!$E$13+1,1))</f>
        <v>178.12968684094687</v>
      </c>
      <c r="CZ69" s="59">
        <f t="shared" ref="CZ69:CZ132" si="96">$CZ$3</f>
        <v>219.36004077210373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2.8337133491542534</v>
      </c>
      <c r="DH69" s="21">
        <f>EXP(-LN(2)/2)*DH68+(1-EXP(-LN(2)/2))/(LN(2)/2)*DB69*DE69*VLOOKUP('Données projet'!$B$13,Paramètres!$A$1:$I$89,3,0)*0.475*44/12</f>
        <v>3.7832315817541226E-5</v>
      </c>
      <c r="DI69" s="22">
        <f t="shared" si="69"/>
        <v>2.8337511814700709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-8.5265128291212022E-14</v>
      </c>
      <c r="DP69" s="17">
        <f>DO69*VLOOKUP('Données projet'!$B$14,Paramètres!$A$1:$I$89,3,0)*VLOOKUP('Données projet'!$B$14,Paramètres!$A$1:$I$89,5,0)</f>
        <v>-7.7147888077888636E-14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225.28075317732998</v>
      </c>
      <c r="DU69" s="59">
        <f t="shared" ref="DU69:DU132" si="98">$DU$3</f>
        <v>358.43407531256207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1.0997649731181027</v>
      </c>
      <c r="EB69" s="21">
        <f>EXP(-LN(2)/25)*EB68+(1-EXP(-LN(2)/25))/(LN(2)/25)*Calculateur!DW69*Calculateur!DY69*VLOOKUP('Données projet'!$B$14,Paramètres!$A$1:$I$89,3,0)*0.475*44/12</f>
        <v>3.0488096317753728</v>
      </c>
      <c r="EC69" s="21">
        <f>EXP(-LN(2)/2)*EC68+(1-EXP(-LN(2)/2))/(LN(2)/2)*DW69*DZ69*VLOOKUP('Données projet'!$B$14,Paramètres!$A$1:$I$89,3,0)*0.475*44/12</f>
        <v>1.6838154277685256E-5</v>
      </c>
      <c r="ED69" s="22">
        <f t="shared" si="72"/>
        <v>4.1485914430477537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>
        <f>VLOOKUP(A69,'Données projet'!$A$191:$I$211,2,0)</f>
        <v>274.29487179487177</v>
      </c>
      <c r="EH69" s="12">
        <f>VLOOKUP(A69,'Données projet'!$A$191:$I$211,9,0)</f>
        <v>9.2219551282051242</v>
      </c>
      <c r="EI69" s="12">
        <f t="array" ref="EI69">INDEX(EH:EH,MIN(IF(ISNUMBER(EH69:EH265),ROW(EH69:EH265),"")))</f>
        <v>9.2219551282051242</v>
      </c>
      <c r="EJ69" s="12">
        <f>IF('Données projet'!$A$192&gt;35,EJ68+EI69-ER68,IF(A69&lt;'Données projet'!$A$192,$EG$205^A69,IF(A69='Données projet'!$A$192,'Données projet'!$B$192,EJ68+EI69-ER68)))</f>
        <v>274.29487179487165</v>
      </c>
      <c r="EK69" s="17">
        <f>EJ69*VLOOKUP('Données projet'!$B$15,Paramètres!$A$1:$I$89,3,0)*VLOOKUP('Données projet'!$B$15,Paramètres!$A$1:$I$89,5,0)</f>
        <v>278.13499999999988</v>
      </c>
      <c r="EL69" s="13">
        <f t="shared" ref="EL69:EL132" si="99">EXP(-1.0587+0.8836*LN(EK69)+0.284)</f>
        <v>66.572727603488161</v>
      </c>
      <c r="EM69" s="20">
        <f t="shared" si="73"/>
        <v>600.36595890940828</v>
      </c>
      <c r="EN69" s="59">
        <f t="shared" si="74"/>
        <v>893.69929224274165</v>
      </c>
      <c r="EO69" s="59">
        <f ca="1">AVERAGE(OFFSET($EN$3,0,0,'Données projet'!$E$15+1,1))-AVERAGE(OFFSET($H$3,0,0,'Données projet'!$E$15+1,1))</f>
        <v>363.98308691765931</v>
      </c>
      <c r="EP69" s="59">
        <f t="shared" ref="EP69:EP132" si="100">$EP$3</f>
        <v>181.47089407988187</v>
      </c>
      <c r="EQ69" s="15">
        <f>IF(ISNA(VLOOKUP(A69,'Données projet'!$A$191:$I$211,3,0)),0,VLOOKUP(A69,'Données projet'!$A$191:$I$211,3,0))</f>
        <v>5</v>
      </c>
      <c r="ER69" s="15">
        <f>IF(ISNA(VLOOKUP(A69,'Données projet'!$A$191:$I$211,4,0)),0,VLOOKUP(A69,'Données projet'!$A$191:$I$211,4,0))</f>
        <v>54.141025641025635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274.29487179487177</v>
      </c>
      <c r="FC69" s="12">
        <f>VLOOKUP(A69,'Données projet'!$A$217:$I$237,9,0)</f>
        <v>9.2219551282051242</v>
      </c>
      <c r="FD69" s="12">
        <f t="array" ref="FD69">INDEX(FC:FC,MIN(IF(ISNUMBER(FC69:FC265),ROW(FC69:FC265),"")))</f>
        <v>9.2219551282051242</v>
      </c>
      <c r="FE69" s="12">
        <f>IF('Données projet'!$A$218&gt;35,FE68+FD69-FM68,IF(A69&lt;'Données projet'!$A$218,$FB$205^A69,IF(A69='Données projet'!$A$218,'Données projet'!$B$218,FE68+FD69-FM68)))</f>
        <v>274.29487179487165</v>
      </c>
      <c r="FF69" s="17">
        <f>FE69*VLOOKUP('Données projet'!$B$16,Paramètres!$A$1:$I$89,3,0)*VLOOKUP('Données projet'!$B$16,Paramètres!$A$1:$I$89,5,0)</f>
        <v>295.25099999999986</v>
      </c>
      <c r="FG69" s="13">
        <f t="shared" ref="FG69:FG132" si="101">EXP(-1.0587+0.8836*LN(FF69)+0.284)</f>
        <v>70.179967988407526</v>
      </c>
      <c r="FH69" s="20">
        <f t="shared" si="76"/>
        <v>636.4589359131428</v>
      </c>
      <c r="FI69" s="59">
        <f t="shared" si="77"/>
        <v>929.79226924647605</v>
      </c>
      <c r="FJ69" s="59">
        <f ca="1">AVERAGE(OFFSET($FI$3,0,0,'Données projet'!$E$16+1,1))-AVERAGE(OFFSET($H$3,0,0,'Données projet'!$E$16+1,1))</f>
        <v>395.30533160963489</v>
      </c>
      <c r="FK69" s="59">
        <f t="shared" ref="FK69:FK132" si="102">$FK$3</f>
        <v>196.02102977695085</v>
      </c>
      <c r="FL69" s="15">
        <f>IF(ISNA(VLOOKUP(A69,'Données projet'!$A$217:$I$237,3,0)),0,VLOOKUP(A69,'Données projet'!$A$217:$I$237,3,0))</f>
        <v>5</v>
      </c>
      <c r="FM69" s="15">
        <f>IF(ISNA(VLOOKUP(A69,'Données projet'!$A$217:$I$237,4,0)),0,VLOOKUP(A69,'Données projet'!$A$217:$I$237,4,0))</f>
        <v>54.141025641025635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4.8</v>
      </c>
      <c r="FZ69" s="12">
        <f>IF('Données projet'!$A$244&gt;35,FZ68+FY69-GH68,IF(A69&lt;'Données projet'!$A$244,$FW$205^A69,IF(A69='Données projet'!$A$244,'Données projet'!$B$244,FZ68+FY69-GH68)))</f>
        <v>217.79999999999993</v>
      </c>
      <c r="GA69" s="17">
        <f>FZ69*VLOOKUP('Données projet'!$B$17,Paramètres!$A$1:$I$89,3,0)*VLOOKUP('Données projet'!$B$17,Paramètres!$A$1:$I$89,5,0)</f>
        <v>227.64455999999996</v>
      </c>
      <c r="GB69" s="13">
        <f t="shared" ref="GB69:GB132" si="103">EXP(-1.0587+0.8836*LN(GA69)+0.284)</f>
        <v>55.773075611618694</v>
      </c>
      <c r="GC69" s="20">
        <f t="shared" si="79"/>
        <v>493.61904869023584</v>
      </c>
      <c r="GD69" s="59">
        <f t="shared" si="80"/>
        <v>786.95238202356916</v>
      </c>
      <c r="GE69" s="59">
        <f ca="1">AVERAGE(OFFSET($GD$3,0,0,'Données projet'!$E$17+1,1))-AVERAGE(OFFSET($H$3,0,0,'Données projet'!$E$17+1,1))</f>
        <v>269.41185214595805</v>
      </c>
      <c r="GF69" s="59">
        <f t="shared" ref="GF69:GF132" si="104">$GF$3</f>
        <v>299.70148160580993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3.108491200981423</v>
      </c>
      <c r="GM69" s="21">
        <f>EXP(-LN(2)/25)*GM68+(1-EXP(-LN(2)/25))/(LN(2)/25)*Calculateur!GH69*Calculateur!GJ69*VLOOKUP('Données projet'!$B$17,Paramètres!$A$1:$I$89,3,0)*0.475*44/12</f>
        <v>5.9794369468090904</v>
      </c>
      <c r="GN69" s="21">
        <f>EXP(-LN(2)/2)*GN68+(1-EXP(-LN(2)/2))/(LN(2)/2)*GH69*GK69*VLOOKUP('Données projet'!$B$17,Paramètres!$A$1:$I$89,3,0)*0.475*44/12</f>
        <v>7.2893785718297941E-5</v>
      </c>
      <c r="GO69" s="21">
        <f t="shared" si="81"/>
        <v>9.0880010415762325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4.0999999999999996</v>
      </c>
      <c r="GU69" s="12">
        <f>IF('Données projet'!$A$270&gt;35,GU68+GT69-HC68,IF(A69&lt;'Données projet'!$A$270,$GR$205^A69,IF(A69='Données projet'!$A$270,'Données projet'!$B$270,GU68+GT69-HC68)))</f>
        <v>257.59999999999974</v>
      </c>
      <c r="GV69" s="17">
        <f>GU69*VLOOKUP('Données projet'!$B$18,Paramètres!$A$1:$I$89,3,0)*VLOOKUP('Données projet'!$B$18,Paramètres!$A$1:$I$89,5,0)</f>
        <v>225.03935999999979</v>
      </c>
      <c r="GW69" s="13">
        <f t="shared" ref="GW69:GW132" si="105">EXP(-1.0587+0.8836*LN(GV69)+0.284)</f>
        <v>55.20871785467093</v>
      </c>
      <c r="GX69" s="20">
        <f t="shared" si="82"/>
        <v>488.09873559688481</v>
      </c>
      <c r="GY69" s="59">
        <f t="shared" si="83"/>
        <v>781.43206893021807</v>
      </c>
      <c r="GZ69" s="59">
        <f ca="1">AVERAGE(OFFSET($GY$3,0,0,'Données projet'!$E$18+1,1))-AVERAGE(OFFSET($H$3,0,0,'Données projet'!$E$18+1,1))</f>
        <v>226.35975611953359</v>
      </c>
      <c r="HA69" s="59">
        <f t="shared" ref="HA69:HA132" si="106">$HA$3</f>
        <v>271.65876694892461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4.1615344979167874</v>
      </c>
      <c r="HI69" s="21">
        <f>EXP(-LN(2)/2)*HI68+(1-EXP(-LN(2)/2))/(LN(2)/2)*HC69*HF69*VLOOKUP('Données projet'!$B$18,Paramètres!$A$1:$I$89,3,0)*0.475*44/12</f>
        <v>4.5076801825155494E-5</v>
      </c>
      <c r="HJ69" s="22">
        <f t="shared" si="84"/>
        <v>4.1615795747186128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8.6875</v>
      </c>
      <c r="N70" s="13">
        <f>IF('Données projet'!$A$36&gt;35,N69+M70-V69,IF(A70&lt;'Données projet'!$A$36,$K$205^A70,IF(A70='Données projet'!$A$36,'Données projet'!$B$36,N69+M70-V69)))</f>
        <v>228.84134615384602</v>
      </c>
      <c r="O70" s="13">
        <f>N70*VLOOKUP('Données projet'!$B$9,Paramètres!$A$1:$I$89,3,0)*VLOOKUP('Données projet'!$B$9,Paramètres!$A$1:$I$89,5,0)</f>
        <v>207.05564999999984</v>
      </c>
      <c r="P70" s="13">
        <f t="shared" si="87"/>
        <v>51.291643354789841</v>
      </c>
      <c r="Q70" s="20">
        <f t="shared" si="54"/>
        <v>449.95486925959204</v>
      </c>
      <c r="R70" s="59">
        <f t="shared" si="55"/>
        <v>743.28820259292536</v>
      </c>
      <c r="S70" s="59">
        <f ca="1">AVERAGE(OFFSET($R$3,0,0,'Données projet'!$E$9+1,1))-AVERAGE(OFFSET($H$3,0,0,'Données projet'!$E$9+1,1))</f>
        <v>309.07357540707869</v>
      </c>
      <c r="T70" s="59">
        <f t="shared" si="88"/>
        <v>155.9593924683299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4.8</v>
      </c>
      <c r="AI70" s="13">
        <f>IF('Données projet'!$A$62&gt;35,AI69+AH70-AQ69,IF(A70&lt;'Données projet'!$A$62,$AF$205^A70,IF(A70='Données projet'!$A$62,'Données projet'!$B$62,AI69+AH70-AQ69)))</f>
        <v>222.59999999999994</v>
      </c>
      <c r="AJ70" s="13">
        <f>AI70*VLOOKUP('Données projet'!$B$10,Paramètres!$A$1:$I$89,3,0)*VLOOKUP('Données projet'!$B$10,Paramètres!$A$1:$I$89,5,0)</f>
        <v>194.46335999999997</v>
      </c>
      <c r="AK70" s="13">
        <f t="shared" si="89"/>
        <v>48.525400894162644</v>
      </c>
      <c r="AL70" s="20">
        <f t="shared" si="58"/>
        <v>423.20542522399984</v>
      </c>
      <c r="AM70" s="59">
        <f t="shared" si="59"/>
        <v>716.53875855733315</v>
      </c>
      <c r="AN70" s="59">
        <f ca="1">AVERAGE(OFFSET($AM$3,0,0,'Données projet'!$E$10+1,1))-AVERAGE(OFFSET($H$3,0,0,'Données projet'!$E$10+1,1))</f>
        <v>210.07838338464626</v>
      </c>
      <c r="AO70" s="59">
        <f t="shared" si="90"/>
        <v>241.76003724236273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2.5471939213920201</v>
      </c>
      <c r="AV70" s="21">
        <f>EXP(-LN(2)/25)*AV69+(1-EXP(-LN(2)/25))/(LN(2)/25)*Calculateur!AQ70*Calculateur!AS70*VLOOKUP('Données projet'!$B$10,Paramètres!$A$1:$I$89,3,0)*0.475*44/12</f>
        <v>4.8610749257762036</v>
      </c>
      <c r="AW70" s="21">
        <f>EXP(-LN(2)/2)*AW69+(1-EXP(-LN(2)/2))/(LN(2)/2)*AQ70*AT70*VLOOKUP('Données projet'!$B$10,Paramètres!$A$1:$I$89,3,0)*0.475*44/12</f>
        <v>4.3081293291268519E-5</v>
      </c>
      <c r="AX70" s="21">
        <f t="shared" si="60"/>
        <v>7.4083119284615142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7.1</v>
      </c>
      <c r="BD70" s="12">
        <f>IF('Données projet'!$A$88&gt;35,BD69+BC70-BL69,IF(A70&lt;'Données projet'!$A$88,$BA$205^A70,IF(A70='Données projet'!$A$88,'Données projet'!$B$88,BD69+BC70-BL69)))</f>
        <v>332.69999999999993</v>
      </c>
      <c r="BE70" s="13">
        <f>BD70*VLOOKUP('Données projet'!$B$11,Paramètres!$A$1:$I$89,3,0)*VLOOKUP('Données projet'!$B$11,Paramètres!$A$1:$I$89,5,0)</f>
        <v>181.65419999999995</v>
      </c>
      <c r="BF70" s="13">
        <f t="shared" si="91"/>
        <v>45.690019016400768</v>
      </c>
      <c r="BG70" s="20">
        <f t="shared" si="61"/>
        <v>395.95784812023118</v>
      </c>
      <c r="BH70" s="59">
        <f t="shared" si="62"/>
        <v>689.29118145356449</v>
      </c>
      <c r="BI70" s="59">
        <f ca="1">AVERAGE(OFFSET($BH$3,0,0,'Données projet'!$E$11+1,1))-AVERAGE(OFFSET($H$3,0,0,'Données projet'!$E$11+1,1))</f>
        <v>168.72306536277267</v>
      </c>
      <c r="BJ70" s="59">
        <f t="shared" si="92"/>
        <v>203.35476578922339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1.4619704004554321</v>
      </c>
      <c r="BQ70" s="21">
        <f>EXP(-LN(2)/25)*BQ69+(1-EXP(-LN(2)/25))/(LN(2)/25)*Calculateur!BL70*Calculateur!BN70*VLOOKUP('Données projet'!$B$11,Paramètres!$A$1:$I$89,3,0)*0.475*44/12</f>
        <v>8.239873068049981</v>
      </c>
      <c r="BR70" s="21">
        <f>EXP(-LN(2)/2)*BR69+(1-EXP(-LN(2)/2))/(LN(2)/2)*BL70*BO70*VLOOKUP('Données projet'!$B$11,Paramètres!$A$1:$I$89,3,0)*0.475*44/12</f>
        <v>5.4012289931940703E-5</v>
      </c>
      <c r="BS70" s="22">
        <f t="shared" si="63"/>
        <v>9.7018974807953438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13.737499999999997</v>
      </c>
      <c r="BY70" s="12">
        <f>IF('Données projet'!$A$114&gt;35,BY69+BX70-CG69,IF(A70&lt;'Données projet'!$A$114,$BV$205^A70,IF(A70='Données projet'!$A$114,'Données projet'!$B$114,BY69+BX70-CG69)))</f>
        <v>359.00384615384615</v>
      </c>
      <c r="BZ70" s="13">
        <f>BY70*VLOOKUP('Données projet'!$B$12,Paramètres!$A$1:$I$89,3,0)*VLOOKUP('Données projet'!$B$12,Paramètres!$A$1:$I$89,5,0)</f>
        <v>168.0138</v>
      </c>
      <c r="CA70" s="13">
        <f t="shared" si="93"/>
        <v>42.644877049412187</v>
      </c>
      <c r="CB70" s="20">
        <f t="shared" si="64"/>
        <v>366.89719586105952</v>
      </c>
      <c r="CC70" s="59">
        <f t="shared" si="65"/>
        <v>660.23052919439283</v>
      </c>
      <c r="CD70" s="59">
        <f ca="1">AVERAGE(OFFSET($CC$3,0,0,'Données projet'!$E$12+1,1))-AVERAGE(OFFSET($H$3,0,0,'Données projet'!$E$12+1,1))</f>
        <v>158.58786357608489</v>
      </c>
      <c r="CE70" s="59">
        <f t="shared" si="94"/>
        <v>163.20074068819849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4.0999999999999996</v>
      </c>
      <c r="CT70" s="12">
        <f>IF('Données projet'!$A$140&gt;35,CT69+CS70-DB69,IF(A70&lt;'Données projet'!$A$140,$CQ$205^A70,IF(A70='Données projet'!$A$140,'Données projet'!$B$140,CT69+CS70-DB69)))</f>
        <v>261.69999999999976</v>
      </c>
      <c r="CU70" s="17">
        <f>CT70*VLOOKUP('Données projet'!$B$13,Paramètres!$A$1:$I$89,3,0)*VLOOKUP('Données projet'!$B$13,Paramètres!$A$1:$I$89,5,0)</f>
        <v>191.87843999999981</v>
      </c>
      <c r="CV70" s="13">
        <f t="shared" si="95"/>
        <v>47.955011179497546</v>
      </c>
      <c r="CW70" s="20">
        <f t="shared" si="67"/>
        <v>417.70992747095789</v>
      </c>
      <c r="CX70" s="59">
        <f t="shared" si="68"/>
        <v>711.04326080429121</v>
      </c>
      <c r="CY70" s="59">
        <f ca="1">AVERAGE(OFFSET($CX$3,0,0,'Données projet'!$E$13+1,1))-AVERAGE(OFFSET($H$3,0,0,'Données projet'!$E$13+1,1))</f>
        <v>178.12968684094687</v>
      </c>
      <c r="CZ70" s="59">
        <f t="shared" si="96"/>
        <v>219.36004077210373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2.7562253086031219</v>
      </c>
      <c r="DH70" s="21">
        <f>EXP(-LN(2)/2)*DH69+(1-EXP(-LN(2)/2))/(LN(2)/2)*DB70*DE70*VLOOKUP('Données projet'!$B$13,Paramètres!$A$1:$I$89,3,0)*0.475*44/12</f>
        <v>2.6751487062574485E-5</v>
      </c>
      <c r="DI70" s="22">
        <f t="shared" si="69"/>
        <v>2.7562520600901843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-8.5265128291212022E-14</v>
      </c>
      <c r="DP70" s="17">
        <f>DO70*VLOOKUP('Données projet'!$B$14,Paramètres!$A$1:$I$89,3,0)*VLOOKUP('Données projet'!$B$14,Paramètres!$A$1:$I$89,5,0)</f>
        <v>-7.7147888077888636E-14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225.28075317732998</v>
      </c>
      <c r="DU70" s="59">
        <f t="shared" si="98"/>
        <v>358.43407531256207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1.0781992527856552</v>
      </c>
      <c r="EB70" s="21">
        <f>EXP(-LN(2)/25)*EB69+(1-EXP(-LN(2)/25))/(LN(2)/25)*Calculateur!DW70*Calculateur!DY70*VLOOKUP('Données projet'!$B$14,Paramètres!$A$1:$I$89,3,0)*0.475*44/12</f>
        <v>2.9654397720645447</v>
      </c>
      <c r="EC70" s="21">
        <f>EXP(-LN(2)/2)*EC69+(1-EXP(-LN(2)/2))/(LN(2)/2)*DW70*DZ70*VLOOKUP('Données projet'!$B$14,Paramètres!$A$1:$I$89,3,0)*0.475*44/12</f>
        <v>1.1906373072416517E-5</v>
      </c>
      <c r="ED70" s="22">
        <f t="shared" si="72"/>
        <v>4.0436509312232722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8.6875</v>
      </c>
      <c r="EJ70" s="12">
        <f>IF('Données projet'!$A$192&gt;35,EJ69+EI70-ER69,IF(A70&lt;'Données projet'!$A$192,$EG$205^A70,IF(A70='Données projet'!$A$192,'Données projet'!$B$192,EJ69+EI70-ER69)))</f>
        <v>228.84134615384602</v>
      </c>
      <c r="EK70" s="17">
        <f>EJ70*VLOOKUP('Données projet'!$B$15,Paramètres!$A$1:$I$89,3,0)*VLOOKUP('Données projet'!$B$15,Paramètres!$A$1:$I$89,5,0)</f>
        <v>232.04512499999987</v>
      </c>
      <c r="EL70" s="13">
        <f t="shared" si="99"/>
        <v>56.724657281920663</v>
      </c>
      <c r="EM70" s="20">
        <f t="shared" si="73"/>
        <v>502.94070414101151</v>
      </c>
      <c r="EN70" s="59">
        <f t="shared" si="74"/>
        <v>796.27403747434482</v>
      </c>
      <c r="EO70" s="59">
        <f ca="1">AVERAGE(OFFSET($EN$3,0,0,'Données projet'!$E$15+1,1))-AVERAGE(OFFSET($H$3,0,0,'Données projet'!$E$15+1,1))</f>
        <v>363.98308691765931</v>
      </c>
      <c r="EP70" s="59">
        <f t="shared" si="100"/>
        <v>181.47089407988187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8.6875</v>
      </c>
      <c r="FE70" s="12">
        <f>IF('Données projet'!$A$218&gt;35,FE69+FD70-FM69,IF(A70&lt;'Données projet'!$A$218,$FB$205^A70,IF(A70='Données projet'!$A$218,'Données projet'!$B$218,FE69+FD70-FM69)))</f>
        <v>228.84134615384602</v>
      </c>
      <c r="FF70" s="17">
        <f>FE70*VLOOKUP('Données projet'!$B$16,Paramètres!$A$1:$I$89,3,0)*VLOOKUP('Données projet'!$B$16,Paramètres!$A$1:$I$89,5,0)</f>
        <v>246.32482499999986</v>
      </c>
      <c r="FG70" s="13">
        <f t="shared" si="101"/>
        <v>59.798280399585039</v>
      </c>
      <c r="FH70" s="20">
        <f t="shared" si="76"/>
        <v>533.16440857094369</v>
      </c>
      <c r="FI70" s="59">
        <f t="shared" si="77"/>
        <v>826.49774190427706</v>
      </c>
      <c r="FJ70" s="59">
        <f ca="1">AVERAGE(OFFSET($FI$3,0,0,'Données projet'!$E$16+1,1))-AVERAGE(OFFSET($H$3,0,0,'Données projet'!$E$16+1,1))</f>
        <v>395.30533160963489</v>
      </c>
      <c r="FK70" s="59">
        <f t="shared" si="102"/>
        <v>196.02102977695085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4.8</v>
      </c>
      <c r="FZ70" s="12">
        <f>IF('Données projet'!$A$244&gt;35,FZ69+FY70-GH69,IF(A70&lt;'Données projet'!$A$244,$FW$205^A70,IF(A70='Données projet'!$A$244,'Données projet'!$B$244,FZ69+FY70-GH69)))</f>
        <v>222.59999999999994</v>
      </c>
      <c r="GA70" s="17">
        <f>FZ70*VLOOKUP('Données projet'!$B$17,Paramètres!$A$1:$I$89,3,0)*VLOOKUP('Données projet'!$B$17,Paramètres!$A$1:$I$89,5,0)</f>
        <v>232.66151999999997</v>
      </c>
      <c r="GB70" s="13">
        <f t="shared" si="103"/>
        <v>56.857778463998805</v>
      </c>
      <c r="GC70" s="20">
        <f t="shared" si="79"/>
        <v>504.24611149146449</v>
      </c>
      <c r="GD70" s="59">
        <f t="shared" si="80"/>
        <v>797.57944482479775</v>
      </c>
      <c r="GE70" s="59">
        <f ca="1">AVERAGE(OFFSET($GD$3,0,0,'Données projet'!$E$17+1,1))-AVERAGE(OFFSET($H$3,0,0,'Données projet'!$E$17+1,1))</f>
        <v>269.41185214595805</v>
      </c>
      <c r="GF70" s="59">
        <f t="shared" si="104"/>
        <v>299.70148160580993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3.047535584522596</v>
      </c>
      <c r="GM70" s="21">
        <f>EXP(-LN(2)/25)*GM69+(1-EXP(-LN(2)/25))/(LN(2)/25)*Calculateur!GH70*Calculateur!GJ70*VLOOKUP('Données projet'!$B$17,Paramètres!$A$1:$I$89,3,0)*0.475*44/12</f>
        <v>5.8159289290536726</v>
      </c>
      <c r="GN70" s="21">
        <f>EXP(-LN(2)/2)*GN69+(1-EXP(-LN(2)/2))/(LN(2)/2)*GH70*GK70*VLOOKUP('Données projet'!$B$17,Paramètres!$A$1:$I$89,3,0)*0.475*44/12</f>
        <v>5.1543690187767586E-5</v>
      </c>
      <c r="GO70" s="21">
        <f t="shared" si="81"/>
        <v>8.8635160572664553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4.0999999999999996</v>
      </c>
      <c r="GU70" s="12">
        <f>IF('Données projet'!$A$270&gt;35,GU69+GT70-HC69,IF(A70&lt;'Données projet'!$A$270,$GR$205^A70,IF(A70='Données projet'!$A$270,'Données projet'!$B$270,GU69+GT70-HC69)))</f>
        <v>261.69999999999976</v>
      </c>
      <c r="GV70" s="17">
        <f>GU70*VLOOKUP('Données projet'!$B$18,Paramètres!$A$1:$I$89,3,0)*VLOOKUP('Données projet'!$B$18,Paramètres!$A$1:$I$89,5,0)</f>
        <v>228.62111999999982</v>
      </c>
      <c r="GW70" s="13">
        <f t="shared" si="105"/>
        <v>55.984431175977761</v>
      </c>
      <c r="GX70" s="20">
        <f t="shared" si="82"/>
        <v>495.68800163149422</v>
      </c>
      <c r="GY70" s="59">
        <f t="shared" si="83"/>
        <v>789.02133496482747</v>
      </c>
      <c r="GZ70" s="59">
        <f ca="1">AVERAGE(OFFSET($GY$3,0,0,'Données projet'!$E$18+1,1))-AVERAGE(OFFSET($H$3,0,0,'Données projet'!$E$18+1,1))</f>
        <v>226.35975611953359</v>
      </c>
      <c r="HA70" s="59">
        <f t="shared" si="106"/>
        <v>271.65876694892461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4.0477371182256645</v>
      </c>
      <c r="HI70" s="21">
        <f>EXP(-LN(2)/2)*HI69+(1-EXP(-LN(2)/2))/(LN(2)/2)*HC70*HF70*VLOOKUP('Données projet'!$B$18,Paramètres!$A$1:$I$89,3,0)*0.475*44/12</f>
        <v>3.1874112244769591E-5</v>
      </c>
      <c r="HJ70" s="22">
        <f t="shared" si="84"/>
        <v>4.0477689923379092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8.6875</v>
      </c>
      <c r="N71" s="13">
        <f>IF('Données projet'!$A$36&gt;35,N70+M71-V70,IF(A71&lt;'Données projet'!$A$36,$K$205^A71,IF(A71='Données projet'!$A$36,'Données projet'!$B$36,N70+M71-V70)))</f>
        <v>237.52884615384602</v>
      </c>
      <c r="O71" s="13">
        <f>N71*VLOOKUP('Données projet'!$B$9,Paramètres!$A$1:$I$89,3,0)*VLOOKUP('Données projet'!$B$9,Paramètres!$A$1:$I$89,5,0)</f>
        <v>214.91609999999989</v>
      </c>
      <c r="P71" s="13">
        <f t="shared" si="87"/>
        <v>53.008426149576081</v>
      </c>
      <c r="Q71" s="20">
        <f t="shared" si="54"/>
        <v>466.6352163771781</v>
      </c>
      <c r="R71" s="59">
        <f t="shared" si="55"/>
        <v>759.96854971051141</v>
      </c>
      <c r="S71" s="59">
        <f ca="1">AVERAGE(OFFSET($R$3,0,0,'Données projet'!$E$9+1,1))-AVERAGE(OFFSET($H$3,0,0,'Données projet'!$E$9+1,1))</f>
        <v>309.07357540707869</v>
      </c>
      <c r="T71" s="59">
        <f t="shared" si="88"/>
        <v>155.9593924683299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4.8</v>
      </c>
      <c r="AI71" s="13">
        <f>IF('Données projet'!$A$62&gt;35,AI70+AH71-AQ70,IF(A71&lt;'Données projet'!$A$62,$AF$205^A71,IF(A71='Données projet'!$A$62,'Données projet'!$B$62,AI70+AH71-AQ70)))</f>
        <v>227.39999999999995</v>
      </c>
      <c r="AJ71" s="13">
        <f>AI71*VLOOKUP('Données projet'!$B$10,Paramètres!$A$1:$I$89,3,0)*VLOOKUP('Données projet'!$B$10,Paramètres!$A$1:$I$89,5,0)</f>
        <v>198.65663999999998</v>
      </c>
      <c r="AK71" s="13">
        <f t="shared" si="89"/>
        <v>49.448822156743425</v>
      </c>
      <c r="AL71" s="20">
        <f t="shared" si="58"/>
        <v>432.11701325632811</v>
      </c>
      <c r="AM71" s="59">
        <f t="shared" si="59"/>
        <v>725.45034658966142</v>
      </c>
      <c r="AN71" s="59">
        <f ca="1">AVERAGE(OFFSET($AM$3,0,0,'Données projet'!$E$10+1,1))-AVERAGE(OFFSET($H$3,0,0,'Données projet'!$E$10+1,1))</f>
        <v>210.07838338464626</v>
      </c>
      <c r="AO71" s="59">
        <f t="shared" si="90"/>
        <v>241.76003724236273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2.4972450022284058</v>
      </c>
      <c r="AV71" s="21">
        <f>EXP(-LN(2)/25)*AV70+(1-EXP(-LN(2)/25))/(LN(2)/25)*Calculateur!AQ71*Calculateur!AS71*VLOOKUP('Données projet'!$B$10,Paramètres!$A$1:$I$89,3,0)*0.475*44/12</f>
        <v>4.7281485762980333</v>
      </c>
      <c r="AW71" s="21">
        <f>EXP(-LN(2)/2)*AW70+(1-EXP(-LN(2)/2))/(LN(2)/2)*AQ71*AT71*VLOOKUP('Données projet'!$B$10,Paramètres!$A$1:$I$89,3,0)*0.475*44/12</f>
        <v>3.0463074628542488E-5</v>
      </c>
      <c r="AX71" s="21">
        <f t="shared" si="60"/>
        <v>7.2254240416010678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7.1</v>
      </c>
      <c r="BD71" s="12">
        <f>IF('Données projet'!$A$88&gt;35,BD70+BC71-BL70,IF(A71&lt;'Données projet'!$A$88,$BA$205^A71,IF(A71='Données projet'!$A$88,'Données projet'!$B$88,BD70+BC71-BL70)))</f>
        <v>339.79999999999995</v>
      </c>
      <c r="BE71" s="13">
        <f>BD71*VLOOKUP('Données projet'!$B$11,Paramètres!$A$1:$I$89,3,0)*VLOOKUP('Données projet'!$B$11,Paramètres!$A$1:$I$89,5,0)</f>
        <v>185.53079999999997</v>
      </c>
      <c r="BF71" s="13">
        <f t="shared" si="91"/>
        <v>46.550511532337509</v>
      </c>
      <c r="BG71" s="20">
        <f t="shared" si="61"/>
        <v>404.20828425215444</v>
      </c>
      <c r="BH71" s="59">
        <f t="shared" si="62"/>
        <v>697.54161758548776</v>
      </c>
      <c r="BI71" s="59">
        <f ca="1">AVERAGE(OFFSET($BH$3,0,0,'Données projet'!$E$11+1,1))-AVERAGE(OFFSET($H$3,0,0,'Données projet'!$E$11+1,1))</f>
        <v>168.72306536277267</v>
      </c>
      <c r="BJ71" s="59">
        <f t="shared" si="92"/>
        <v>203.35476578922339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1.433302052616396</v>
      </c>
      <c r="BQ71" s="21">
        <f>EXP(-LN(2)/25)*BQ70+(1-EXP(-LN(2)/25))/(LN(2)/25)*Calculateur!BL71*Calculateur!BN71*VLOOKUP('Données projet'!$B$11,Paramètres!$A$1:$I$89,3,0)*0.475*44/12</f>
        <v>8.0145533056880627</v>
      </c>
      <c r="BR71" s="21">
        <f>EXP(-LN(2)/2)*BR70+(1-EXP(-LN(2)/2))/(LN(2)/2)*BL71*BO71*VLOOKUP('Données projet'!$B$11,Paramètres!$A$1:$I$89,3,0)*0.475*44/12</f>
        <v>3.8192456478289158E-5</v>
      </c>
      <c r="BS71" s="22">
        <f t="shared" si="63"/>
        <v>9.4478935507609361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13.737499999999997</v>
      </c>
      <c r="BY71" s="12">
        <f>IF('Données projet'!$A$114&gt;35,BY70+BX71-CG70,IF(A71&lt;'Données projet'!$A$114,$BV$205^A71,IF(A71='Données projet'!$A$114,'Données projet'!$B$114,BY70+BX71-CG70)))</f>
        <v>372.74134615384617</v>
      </c>
      <c r="BZ71" s="13">
        <f>BY71*VLOOKUP('Données projet'!$B$12,Paramètres!$A$1:$I$89,3,0)*VLOOKUP('Données projet'!$B$12,Paramètres!$A$1:$I$89,5,0)</f>
        <v>174.44295000000002</v>
      </c>
      <c r="CA71" s="13">
        <f t="shared" si="93"/>
        <v>44.083597545116064</v>
      </c>
      <c r="CB71" s="20">
        <f t="shared" si="64"/>
        <v>380.60040364107721</v>
      </c>
      <c r="CC71" s="59">
        <f t="shared" si="65"/>
        <v>673.93373697441052</v>
      </c>
      <c r="CD71" s="59">
        <f ca="1">AVERAGE(OFFSET($CC$3,0,0,'Données projet'!$E$12+1,1))-AVERAGE(OFFSET($H$3,0,0,'Données projet'!$E$12+1,1))</f>
        <v>158.58786357608489</v>
      </c>
      <c r="CE71" s="59">
        <f t="shared" si="94"/>
        <v>163.20074068819849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4.0999999999999996</v>
      </c>
      <c r="CT71" s="12">
        <f>IF('Données projet'!$A$140&gt;35,CT70+CS71-DB70,IF(A71&lt;'Données projet'!$A$140,$CQ$205^A71,IF(A71='Données projet'!$A$140,'Données projet'!$B$140,CT70+CS71-DB70)))</f>
        <v>265.79999999999978</v>
      </c>
      <c r="CU71" s="17">
        <f>CT71*VLOOKUP('Données projet'!$B$13,Paramètres!$A$1:$I$89,3,0)*VLOOKUP('Données projet'!$B$13,Paramètres!$A$1:$I$89,5,0)</f>
        <v>194.88455999999982</v>
      </c>
      <c r="CV71" s="13">
        <f t="shared" si="95"/>
        <v>48.618259190257277</v>
      </c>
      <c r="CW71" s="20">
        <f t="shared" si="67"/>
        <v>424.10074342303113</v>
      </c>
      <c r="CX71" s="59">
        <f t="shared" si="68"/>
        <v>717.43407675636445</v>
      </c>
      <c r="CY71" s="59">
        <f ca="1">AVERAGE(OFFSET($CX$3,0,0,'Données projet'!$E$13+1,1))-AVERAGE(OFFSET($H$3,0,0,'Données projet'!$E$13+1,1))</f>
        <v>178.12968684094687</v>
      </c>
      <c r="CZ71" s="59">
        <f t="shared" si="96"/>
        <v>219.36004077210373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2.6808561825957802</v>
      </c>
      <c r="DH71" s="21">
        <f>EXP(-LN(2)/2)*DH70+(1-EXP(-LN(2)/2))/(LN(2)/2)*DB71*DE71*VLOOKUP('Données projet'!$B$13,Paramètres!$A$1:$I$89,3,0)*0.475*44/12</f>
        <v>1.8916157908770613E-5</v>
      </c>
      <c r="DI71" s="22">
        <f t="shared" si="69"/>
        <v>2.6808750987536891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-8.5265128291212022E-14</v>
      </c>
      <c r="DP71" s="17">
        <f>DO71*VLOOKUP('Données projet'!$B$14,Paramètres!$A$1:$I$89,3,0)*VLOOKUP('Données projet'!$B$14,Paramètres!$A$1:$I$89,5,0)</f>
        <v>-7.7147888077888636E-14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225.28075317732998</v>
      </c>
      <c r="DU71" s="59">
        <f t="shared" si="98"/>
        <v>358.43407531256207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1.0570564230751365</v>
      </c>
      <c r="EB71" s="21">
        <f>EXP(-LN(2)/25)*EB70+(1-EXP(-LN(2)/25))/(LN(2)/25)*Calculateur!DW71*Calculateur!DY71*VLOOKUP('Données projet'!$B$14,Paramètres!$A$1:$I$89,3,0)*0.475*44/12</f>
        <v>2.8843496655517398</v>
      </c>
      <c r="EC71" s="21">
        <f>EXP(-LN(2)/2)*EC70+(1-EXP(-LN(2)/2))/(LN(2)/2)*DW71*DZ71*VLOOKUP('Données projet'!$B$14,Paramètres!$A$1:$I$89,3,0)*0.475*44/12</f>
        <v>8.4190771388426278E-6</v>
      </c>
      <c r="ED71" s="22">
        <f t="shared" si="72"/>
        <v>3.9414145077040152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8.6875</v>
      </c>
      <c r="EJ71" s="12">
        <f>IF('Données projet'!$A$192&gt;35,EJ70+EI71-ER70,IF(A71&lt;'Données projet'!$A$192,$EG$205^A71,IF(A71='Données projet'!$A$192,'Données projet'!$B$192,EJ70+EI71-ER70)))</f>
        <v>237.52884615384602</v>
      </c>
      <c r="EK71" s="17">
        <f>EJ71*VLOOKUP('Données projet'!$B$15,Paramètres!$A$1:$I$89,3,0)*VLOOKUP('Données projet'!$B$15,Paramètres!$A$1:$I$89,5,0)</f>
        <v>240.85424999999989</v>
      </c>
      <c r="EL71" s="13">
        <f t="shared" si="99"/>
        <v>58.623288507052891</v>
      </c>
      <c r="EM71" s="20">
        <f t="shared" si="73"/>
        <v>521.59004623311682</v>
      </c>
      <c r="EN71" s="59">
        <f t="shared" si="74"/>
        <v>814.92337956645019</v>
      </c>
      <c r="EO71" s="59">
        <f ca="1">AVERAGE(OFFSET($EN$3,0,0,'Données projet'!$E$15+1,1))-AVERAGE(OFFSET($H$3,0,0,'Données projet'!$E$15+1,1))</f>
        <v>363.98308691765931</v>
      </c>
      <c r="EP71" s="59">
        <f t="shared" si="100"/>
        <v>181.47089407988187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8.6875</v>
      </c>
      <c r="FE71" s="12">
        <f>IF('Données projet'!$A$218&gt;35,FE70+FD71-FM70,IF(A71&lt;'Données projet'!$A$218,$FB$205^A71,IF(A71='Données projet'!$A$218,'Données projet'!$B$218,FE70+FD71-FM70)))</f>
        <v>237.52884615384602</v>
      </c>
      <c r="FF71" s="17">
        <f>FE71*VLOOKUP('Données projet'!$B$16,Paramètres!$A$1:$I$89,3,0)*VLOOKUP('Données projet'!$B$16,Paramètres!$A$1:$I$89,5,0)</f>
        <v>255.67604999999983</v>
      </c>
      <c r="FG71" s="13">
        <f t="shared" si="101"/>
        <v>61.799788876076981</v>
      </c>
      <c r="FH71" s="20">
        <f t="shared" si="76"/>
        <v>552.93708604250048</v>
      </c>
      <c r="FI71" s="59">
        <f t="shared" si="77"/>
        <v>846.27041937583385</v>
      </c>
      <c r="FJ71" s="59">
        <f ca="1">AVERAGE(OFFSET($FI$3,0,0,'Données projet'!$E$16+1,1))-AVERAGE(OFFSET($H$3,0,0,'Données projet'!$E$16+1,1))</f>
        <v>395.30533160963489</v>
      </c>
      <c r="FK71" s="59">
        <f t="shared" si="102"/>
        <v>196.02102977695085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4.8</v>
      </c>
      <c r="FZ71" s="12">
        <f>IF('Données projet'!$A$244&gt;35,FZ70+FY71-GH70,IF(A71&lt;'Données projet'!$A$244,$FW$205^A71,IF(A71='Données projet'!$A$244,'Données projet'!$B$244,FZ70+FY71-GH70)))</f>
        <v>227.39999999999995</v>
      </c>
      <c r="GA71" s="17">
        <f>FZ71*VLOOKUP('Données projet'!$B$17,Paramètres!$A$1:$I$89,3,0)*VLOOKUP('Données projet'!$B$17,Paramètres!$A$1:$I$89,5,0)</f>
        <v>237.67847999999998</v>
      </c>
      <c r="GB71" s="13">
        <f t="shared" si="103"/>
        <v>57.939761932641929</v>
      </c>
      <c r="GC71" s="20">
        <f t="shared" si="79"/>
        <v>514.86843803268459</v>
      </c>
      <c r="GD71" s="59">
        <f t="shared" si="80"/>
        <v>808.20177136601797</v>
      </c>
      <c r="GE71" s="59">
        <f ca="1">AVERAGE(OFFSET($GD$3,0,0,'Données projet'!$E$17+1,1))-AVERAGE(OFFSET($H$3,0,0,'Données projet'!$E$17+1,1))</f>
        <v>269.41185214595805</v>
      </c>
      <c r="GF71" s="59">
        <f t="shared" si="104"/>
        <v>299.70148160580993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2.9877752705232719</v>
      </c>
      <c r="GM71" s="21">
        <f>EXP(-LN(2)/25)*GM70+(1-EXP(-LN(2)/25))/(LN(2)/25)*Calculateur!GH71*Calculateur!GJ71*VLOOKUP('Données projet'!$B$17,Paramètres!$A$1:$I$89,3,0)*0.475*44/12</f>
        <v>5.6568920466422901</v>
      </c>
      <c r="GN71" s="21">
        <f>EXP(-LN(2)/2)*GN70+(1-EXP(-LN(2)/2))/(LN(2)/2)*GH71*GK71*VLOOKUP('Données projet'!$B$17,Paramètres!$A$1:$I$89,3,0)*0.475*44/12</f>
        <v>3.6446892859148971E-5</v>
      </c>
      <c r="GO71" s="21">
        <f t="shared" si="81"/>
        <v>8.6447037640584199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4.0999999999999996</v>
      </c>
      <c r="GU71" s="12">
        <f>IF('Données projet'!$A$270&gt;35,GU70+GT71-HC70,IF(A71&lt;'Données projet'!$A$270,$GR$205^A71,IF(A71='Données projet'!$A$270,'Données projet'!$B$270,GU70+GT71-HC70)))</f>
        <v>265.79999999999978</v>
      </c>
      <c r="GV71" s="17">
        <f>GU71*VLOOKUP('Données projet'!$B$18,Paramètres!$A$1:$I$89,3,0)*VLOOKUP('Données projet'!$B$18,Paramètres!$A$1:$I$89,5,0)</f>
        <v>232.20287999999985</v>
      </c>
      <c r="GW71" s="13">
        <f t="shared" si="105"/>
        <v>56.758731122900826</v>
      </c>
      <c r="GX71" s="20">
        <f t="shared" si="82"/>
        <v>503.27480603905195</v>
      </c>
      <c r="GY71" s="59">
        <f t="shared" si="83"/>
        <v>796.60813937238527</v>
      </c>
      <c r="GZ71" s="59">
        <f ca="1">AVERAGE(OFFSET($GY$3,0,0,'Données projet'!$E$18+1,1))-AVERAGE(OFFSET($H$3,0,0,'Données projet'!$E$18+1,1))</f>
        <v>226.35975611953359</v>
      </c>
      <c r="HA71" s="59">
        <f t="shared" si="106"/>
        <v>271.65876694892461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3.9370515338665397</v>
      </c>
      <c r="HI71" s="21">
        <f>EXP(-LN(2)/2)*HI70+(1-EXP(-LN(2)/2))/(LN(2)/2)*HC71*HF71*VLOOKUP('Données projet'!$B$18,Paramètres!$A$1:$I$89,3,0)*0.475*44/12</f>
        <v>2.2538400912577747E-5</v>
      </c>
      <c r="HJ71" s="22">
        <f t="shared" si="84"/>
        <v>3.9370740722674524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8.6875</v>
      </c>
      <c r="N72" s="13">
        <f>IF('Données projet'!$A$36&gt;35,N71+M72-V71,IF(A72&lt;'Données projet'!$A$36,$K$205^A72,IF(A72='Données projet'!$A$36,'Données projet'!$B$36,N71+M72-V71)))</f>
        <v>246.21634615384602</v>
      </c>
      <c r="O72" s="13">
        <f>N72*VLOOKUP('Données projet'!$B$9,Paramètres!$A$1:$I$89,3,0)*VLOOKUP('Données projet'!$B$9,Paramètres!$A$1:$I$89,5,0)</f>
        <v>222.77654999999987</v>
      </c>
      <c r="P72" s="13">
        <f t="shared" si="87"/>
        <v>54.717913950141721</v>
      </c>
      <c r="Q72" s="20">
        <f t="shared" si="54"/>
        <v>483.30285804649662</v>
      </c>
      <c r="R72" s="59">
        <f t="shared" si="55"/>
        <v>776.63619137982994</v>
      </c>
      <c r="S72" s="59">
        <f ca="1">AVERAGE(OFFSET($R$3,0,0,'Données projet'!$E$9+1,1))-AVERAGE(OFFSET($H$3,0,0,'Données projet'!$E$9+1,1))</f>
        <v>309.07357540707869</v>
      </c>
      <c r="T72" s="59">
        <f t="shared" si="88"/>
        <v>155.9593924683299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4.8</v>
      </c>
      <c r="AI72" s="13">
        <f>IF('Données projet'!$A$62&gt;35,AI71+AH72-AQ71,IF(A72&lt;'Données projet'!$A$62,$AF$205^A72,IF(A72='Données projet'!$A$62,'Données projet'!$B$62,AI71+AH72-AQ71)))</f>
        <v>232.19999999999996</v>
      </c>
      <c r="AJ72" s="13">
        <f>AI72*VLOOKUP('Données projet'!$B$10,Paramètres!$A$1:$I$89,3,0)*VLOOKUP('Données projet'!$B$10,Paramètres!$A$1:$I$89,5,0)</f>
        <v>202.84991999999997</v>
      </c>
      <c r="AK72" s="13">
        <f t="shared" si="89"/>
        <v>50.369977187686075</v>
      </c>
      <c r="AL72" s="20">
        <f t="shared" si="58"/>
        <v>441.02465426855321</v>
      </c>
      <c r="AM72" s="59">
        <f t="shared" si="59"/>
        <v>734.35798760188652</v>
      </c>
      <c r="AN72" s="59">
        <f ca="1">AVERAGE(OFFSET($AM$3,0,0,'Données projet'!$E$10+1,1))-AVERAGE(OFFSET($H$3,0,0,'Données projet'!$E$10+1,1))</f>
        <v>210.07838338464626</v>
      </c>
      <c r="AO72" s="59">
        <f t="shared" si="90"/>
        <v>241.76003724236273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2.4482755509037579</v>
      </c>
      <c r="AV72" s="21">
        <f>EXP(-LN(2)/25)*AV71+(1-EXP(-LN(2)/25))/(LN(2)/25)*Calculateur!AQ72*Calculateur!AS72*VLOOKUP('Données projet'!$B$10,Paramètres!$A$1:$I$89,3,0)*0.475*44/12</f>
        <v>4.598857104836636</v>
      </c>
      <c r="AW72" s="21">
        <f>EXP(-LN(2)/2)*AW71+(1-EXP(-LN(2)/2))/(LN(2)/2)*AQ72*AT72*VLOOKUP('Données projet'!$B$10,Paramètres!$A$1:$I$89,3,0)*0.475*44/12</f>
        <v>2.1540646645634263E-5</v>
      </c>
      <c r="AX72" s="21">
        <f t="shared" si="60"/>
        <v>7.0471541963870399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7.1</v>
      </c>
      <c r="BD72" s="12">
        <f>IF('Données projet'!$A$88&gt;35,BD71+BC72-BL71,IF(A72&lt;'Données projet'!$A$88,$BA$205^A72,IF(A72='Données projet'!$A$88,'Données projet'!$B$88,BD71+BC72-BL71)))</f>
        <v>346.9</v>
      </c>
      <c r="BE72" s="13">
        <f>BD72*VLOOKUP('Données projet'!$B$11,Paramètres!$A$1:$I$89,3,0)*VLOOKUP('Données projet'!$B$11,Paramètres!$A$1:$I$89,5,0)</f>
        <v>189.40739999999997</v>
      </c>
      <c r="BF72" s="13">
        <f t="shared" si="91"/>
        <v>47.408913595158396</v>
      </c>
      <c r="BG72" s="20">
        <f t="shared" si="61"/>
        <v>412.45507951156748</v>
      </c>
      <c r="BH72" s="59">
        <f t="shared" si="62"/>
        <v>705.78841284490079</v>
      </c>
      <c r="BI72" s="59">
        <f ca="1">AVERAGE(OFFSET($BH$3,0,0,'Données projet'!$E$11+1,1))-AVERAGE(OFFSET($H$3,0,0,'Données projet'!$E$11+1,1))</f>
        <v>168.72306536277267</v>
      </c>
      <c r="BJ72" s="59">
        <f t="shared" si="92"/>
        <v>203.35476578922339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1.4051958735925176</v>
      </c>
      <c r="BQ72" s="21">
        <f>EXP(-LN(2)/25)*BQ71+(1-EXP(-LN(2)/25))/(LN(2)/25)*Calculateur!BL72*Calculateur!BN72*VLOOKUP('Données projet'!$B$11,Paramètres!$A$1:$I$89,3,0)*0.475*44/12</f>
        <v>7.795394924076982</v>
      </c>
      <c r="BR72" s="21">
        <f>EXP(-LN(2)/2)*BR71+(1-EXP(-LN(2)/2))/(LN(2)/2)*BL72*BO72*VLOOKUP('Données projet'!$B$11,Paramètres!$A$1:$I$89,3,0)*0.475*44/12</f>
        <v>2.7006144965970352E-5</v>
      </c>
      <c r="BS72" s="22">
        <f t="shared" si="63"/>
        <v>9.2006178038144668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13.737499999999997</v>
      </c>
      <c r="BY72" s="12">
        <f>IF('Données projet'!$A$114&gt;35,BY71+BX72-CG71,IF(A72&lt;'Données projet'!$A$114,$BV$205^A72,IF(A72='Données projet'!$A$114,'Données projet'!$B$114,BY71+BX72-CG71)))</f>
        <v>386.47884615384618</v>
      </c>
      <c r="BZ72" s="13">
        <f>BY72*VLOOKUP('Données projet'!$B$12,Paramètres!$A$1:$I$89,3,0)*VLOOKUP('Données projet'!$B$12,Paramètres!$A$1:$I$89,5,0)</f>
        <v>180.87209999999999</v>
      </c>
      <c r="CA72" s="13">
        <f t="shared" si="93"/>
        <v>45.516157736157588</v>
      </c>
      <c r="CB72" s="20">
        <f t="shared" si="64"/>
        <v>394.29288222380774</v>
      </c>
      <c r="CC72" s="59">
        <f t="shared" si="65"/>
        <v>687.62621555714099</v>
      </c>
      <c r="CD72" s="59">
        <f ca="1">AVERAGE(OFFSET($CC$3,0,0,'Données projet'!$E$12+1,1))-AVERAGE(OFFSET($H$3,0,0,'Données projet'!$E$12+1,1))</f>
        <v>158.58786357608489</v>
      </c>
      <c r="CE72" s="59">
        <f t="shared" si="94"/>
        <v>163.20074068819849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4.0999999999999996</v>
      </c>
      <c r="CT72" s="12">
        <f>IF('Données projet'!$A$140&gt;35,CT71+CS72-DB71,IF(A72&lt;'Données projet'!$A$140,$CQ$205^A72,IF(A72='Données projet'!$A$140,'Données projet'!$B$140,CT71+CS72-DB71)))</f>
        <v>269.89999999999981</v>
      </c>
      <c r="CU72" s="17">
        <f>CT72*VLOOKUP('Données projet'!$B$13,Paramètres!$A$1:$I$89,3,0)*VLOOKUP('Données projet'!$B$13,Paramètres!$A$1:$I$89,5,0)</f>
        <v>197.89067999999983</v>
      </c>
      <c r="CV72" s="13">
        <f t="shared" si="95"/>
        <v>49.280317367496515</v>
      </c>
      <c r="CW72" s="20">
        <f t="shared" si="67"/>
        <v>430.48948708172276</v>
      </c>
      <c r="CX72" s="59">
        <f t="shared" si="68"/>
        <v>723.82282041505607</v>
      </c>
      <c r="CY72" s="59">
        <f ca="1">AVERAGE(OFFSET($CX$3,0,0,'Données projet'!$E$13+1,1))-AVERAGE(OFFSET($H$3,0,0,'Données projet'!$E$13+1,1))</f>
        <v>178.12968684094687</v>
      </c>
      <c r="CZ72" s="59">
        <f t="shared" si="96"/>
        <v>219.36004077210373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2.607548029302599</v>
      </c>
      <c r="DH72" s="21">
        <f>EXP(-LN(2)/2)*DH71+(1-EXP(-LN(2)/2))/(LN(2)/2)*DB72*DE72*VLOOKUP('Données projet'!$B$13,Paramètres!$A$1:$I$89,3,0)*0.475*44/12</f>
        <v>1.3375743531287243E-5</v>
      </c>
      <c r="DI72" s="22">
        <f t="shared" si="69"/>
        <v>2.6075614050461304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-8.5265128291212022E-14</v>
      </c>
      <c r="DP72" s="17">
        <f>DO72*VLOOKUP('Données projet'!$B$14,Paramètres!$A$1:$I$89,3,0)*VLOOKUP('Données projet'!$B$14,Paramètres!$A$1:$I$89,5,0)</f>
        <v>-7.7147888077888636E-14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225.28075317732998</v>
      </c>
      <c r="DU72" s="59">
        <f t="shared" si="98"/>
        <v>358.43407531256207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1.0363281913593883</v>
      </c>
      <c r="EB72" s="21">
        <f>EXP(-LN(2)/25)*EB71+(1-EXP(-LN(2)/25))/(LN(2)/25)*Calculateur!DW72*Calculateur!DY72*VLOOKUP('Données projet'!$B$14,Paramètres!$A$1:$I$89,3,0)*0.475*44/12</f>
        <v>2.805476972265871</v>
      </c>
      <c r="EC72" s="21">
        <f>EXP(-LN(2)/2)*EC71+(1-EXP(-LN(2)/2))/(LN(2)/2)*DW72*DZ72*VLOOKUP('Données projet'!$B$14,Paramètres!$A$1:$I$89,3,0)*0.475*44/12</f>
        <v>5.9531865362082586E-6</v>
      </c>
      <c r="ED72" s="22">
        <f t="shared" si="72"/>
        <v>3.8418111168117952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8.6875</v>
      </c>
      <c r="EJ72" s="12">
        <f>IF('Données projet'!$A$192&gt;35,EJ71+EI72-ER71,IF(A72&lt;'Données projet'!$A$192,$EG$205^A72,IF(A72='Données projet'!$A$192,'Données projet'!$B$192,EJ71+EI72-ER71)))</f>
        <v>246.21634615384602</v>
      </c>
      <c r="EK72" s="17">
        <f>EJ72*VLOOKUP('Données projet'!$B$15,Paramètres!$A$1:$I$89,3,0)*VLOOKUP('Données projet'!$B$15,Paramètres!$A$1:$I$89,5,0)</f>
        <v>249.66337499999989</v>
      </c>
      <c r="EL72" s="13">
        <f t="shared" si="99"/>
        <v>60.513852023295833</v>
      </c>
      <c r="EM72" s="20">
        <f t="shared" si="73"/>
        <v>540.2253370655734</v>
      </c>
      <c r="EN72" s="59">
        <f t="shared" si="74"/>
        <v>833.55867039890677</v>
      </c>
      <c r="EO72" s="59">
        <f ca="1">AVERAGE(OFFSET($EN$3,0,0,'Données projet'!$E$15+1,1))-AVERAGE(OFFSET($H$3,0,0,'Données projet'!$E$15+1,1))</f>
        <v>363.98308691765931</v>
      </c>
      <c r="EP72" s="59">
        <f t="shared" si="100"/>
        <v>181.47089407988187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8.6875</v>
      </c>
      <c r="FE72" s="12">
        <f>IF('Données projet'!$A$218&gt;35,FE71+FD72-FM71,IF(A72&lt;'Données projet'!$A$218,$FB$205^A72,IF(A72='Données projet'!$A$218,'Données projet'!$B$218,FE71+FD72-FM71)))</f>
        <v>246.21634615384602</v>
      </c>
      <c r="FF72" s="17">
        <f>FE72*VLOOKUP('Données projet'!$B$16,Paramètres!$A$1:$I$89,3,0)*VLOOKUP('Données projet'!$B$16,Paramètres!$A$1:$I$89,5,0)</f>
        <v>265.0272749999998</v>
      </c>
      <c r="FG72" s="13">
        <f t="shared" si="101"/>
        <v>63.792792495220105</v>
      </c>
      <c r="FH72" s="20">
        <f t="shared" si="76"/>
        <v>572.69495088750807</v>
      </c>
      <c r="FI72" s="59">
        <f t="shared" si="77"/>
        <v>866.02828422084144</v>
      </c>
      <c r="FJ72" s="59">
        <f ca="1">AVERAGE(OFFSET($FI$3,0,0,'Données projet'!$E$16+1,1))-AVERAGE(OFFSET($H$3,0,0,'Données projet'!$E$16+1,1))</f>
        <v>395.30533160963489</v>
      </c>
      <c r="FK72" s="59">
        <f t="shared" si="102"/>
        <v>196.02102977695085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4.8</v>
      </c>
      <c r="FZ72" s="12">
        <f>IF('Données projet'!$A$244&gt;35,FZ71+FY72-GH71,IF(A72&lt;'Données projet'!$A$244,$FW$205^A72,IF(A72='Données projet'!$A$244,'Données projet'!$B$244,FZ71+FY72-GH71)))</f>
        <v>232.19999999999996</v>
      </c>
      <c r="GA72" s="17">
        <f>FZ72*VLOOKUP('Données projet'!$B$17,Paramètres!$A$1:$I$89,3,0)*VLOOKUP('Données projet'!$B$17,Paramètres!$A$1:$I$89,5,0)</f>
        <v>242.69543999999999</v>
      </c>
      <c r="GB72" s="13">
        <f t="shared" si="103"/>
        <v>59.019090031230249</v>
      </c>
      <c r="GC72" s="20">
        <f t="shared" si="79"/>
        <v>525.48613980439268</v>
      </c>
      <c r="GD72" s="59">
        <f t="shared" si="80"/>
        <v>818.81947313772594</v>
      </c>
      <c r="GE72" s="59">
        <f ca="1">AVERAGE(OFFSET($GD$3,0,0,'Données projet'!$E$17+1,1))-AVERAGE(OFFSET($H$3,0,0,'Données projet'!$E$17+1,1))</f>
        <v>269.41185214595805</v>
      </c>
      <c r="GF72" s="59">
        <f t="shared" si="104"/>
        <v>299.70148160580993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2.929186819831282</v>
      </c>
      <c r="GM72" s="21">
        <f>EXP(-LN(2)/25)*GM71+(1-EXP(-LN(2)/25))/(LN(2)/25)*Calculateur!GH72*Calculateur!GJ72*VLOOKUP('Données projet'!$B$17,Paramètres!$A$1:$I$89,3,0)*0.475*44/12</f>
        <v>5.5022040361438327</v>
      </c>
      <c r="GN72" s="21">
        <f>EXP(-LN(2)/2)*GN71+(1-EXP(-LN(2)/2))/(LN(2)/2)*GH72*GK72*VLOOKUP('Données projet'!$B$17,Paramètres!$A$1:$I$89,3,0)*0.475*44/12</f>
        <v>2.5771845093883793E-5</v>
      </c>
      <c r="GO72" s="21">
        <f t="shared" si="81"/>
        <v>8.4314166278202087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4.0999999999999996</v>
      </c>
      <c r="GU72" s="12">
        <f>IF('Données projet'!$A$270&gt;35,GU71+GT72-HC71,IF(A72&lt;'Données projet'!$A$270,$GR$205^A72,IF(A72='Données projet'!$A$270,'Données projet'!$B$270,GU71+GT72-HC71)))</f>
        <v>269.89999999999981</v>
      </c>
      <c r="GV72" s="17">
        <f>GU72*VLOOKUP('Données projet'!$B$18,Paramètres!$A$1:$I$89,3,0)*VLOOKUP('Données projet'!$B$18,Paramètres!$A$1:$I$89,5,0)</f>
        <v>235.78463999999988</v>
      </c>
      <c r="GW72" s="13">
        <f t="shared" si="105"/>
        <v>57.531642014724213</v>
      </c>
      <c r="GX72" s="20">
        <f t="shared" si="82"/>
        <v>510.85919117564441</v>
      </c>
      <c r="GY72" s="59">
        <f t="shared" si="83"/>
        <v>804.19252450897773</v>
      </c>
      <c r="GZ72" s="59">
        <f ca="1">AVERAGE(OFFSET($GY$3,0,0,'Données projet'!$E$18+1,1))-AVERAGE(OFFSET($H$3,0,0,'Données projet'!$E$18+1,1))</f>
        <v>226.35975611953359</v>
      </c>
      <c r="HA72" s="59">
        <f t="shared" si="106"/>
        <v>271.65876694892461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3.8293926526324173</v>
      </c>
      <c r="HI72" s="21">
        <f>EXP(-LN(2)/2)*HI71+(1-EXP(-LN(2)/2))/(LN(2)/2)*HC72*HF72*VLOOKUP('Données projet'!$B$18,Paramètres!$A$1:$I$89,3,0)*0.475*44/12</f>
        <v>1.5937056122384795E-5</v>
      </c>
      <c r="HJ72" s="22">
        <f t="shared" si="84"/>
        <v>3.8294085896885397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8.6875</v>
      </c>
      <c r="N73" s="13">
        <f>IF('Données projet'!$A$36&gt;35,N72+M73-V72,IF(A73&lt;'Données projet'!$A$36,$K$205^A73,IF(A73='Données projet'!$A$36,'Données projet'!$B$36,N72+M73-V72)))</f>
        <v>254.90384615384602</v>
      </c>
      <c r="O73" s="13">
        <f>N73*VLOOKUP('Données projet'!$B$9,Paramètres!$A$1:$I$89,3,0)*VLOOKUP('Données projet'!$B$9,Paramètres!$A$1:$I$89,5,0)</f>
        <v>230.63699999999986</v>
      </c>
      <c r="P73" s="13">
        <f t="shared" si="87"/>
        <v>56.420393645840619</v>
      </c>
      <c r="Q73" s="20">
        <f t="shared" si="54"/>
        <v>499.95829393317217</v>
      </c>
      <c r="R73" s="59">
        <f t="shared" si="55"/>
        <v>793.29162726650543</v>
      </c>
      <c r="S73" s="59">
        <f ca="1">AVERAGE(OFFSET($R$3,0,0,'Données projet'!$E$9+1,1))-AVERAGE(OFFSET($H$3,0,0,'Données projet'!$E$9+1,1))</f>
        <v>309.07357540707869</v>
      </c>
      <c r="T73" s="59">
        <f t="shared" si="88"/>
        <v>155.9593924683299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237</v>
      </c>
      <c r="AG73" s="12">
        <f>VLOOKUP(A73,'Données projet'!$A$61:$I$81,9,0)</f>
        <v>4.8</v>
      </c>
      <c r="AH73" s="12">
        <f t="array" ref="AH73">INDEX(AG:AG,MIN(IF(ISNUMBER(AG73:AG269),ROW(AG73:AG269),"")))</f>
        <v>4.8</v>
      </c>
      <c r="AI73" s="13">
        <f>IF('Données projet'!$A$62&gt;35,AI72+AH73-AQ72,IF(A73&lt;'Données projet'!$A$62,$AF$205^A73,IF(A73='Données projet'!$A$62,'Données projet'!$B$62,AI72+AH73-AQ72)))</f>
        <v>236.99999999999997</v>
      </c>
      <c r="AJ73" s="13">
        <f>AI73*VLOOKUP('Données projet'!$B$10,Paramètres!$A$1:$I$89,3,0)*VLOOKUP('Données projet'!$B$10,Paramètres!$A$1:$I$89,5,0)</f>
        <v>207.04320000000001</v>
      </c>
      <c r="AK73" s="13">
        <f t="shared" si="89"/>
        <v>51.288918231806321</v>
      </c>
      <c r="AL73" s="20">
        <f t="shared" si="58"/>
        <v>449.92843925372944</v>
      </c>
      <c r="AM73" s="59">
        <f t="shared" si="59"/>
        <v>743.26177258706275</v>
      </c>
      <c r="AN73" s="59">
        <f ca="1">AVERAGE(OFFSET($AM$3,0,0,'Données projet'!$E$10+1,1))-AVERAGE(OFFSET($H$3,0,0,'Données projet'!$E$10+1,1))</f>
        <v>210.07838338464626</v>
      </c>
      <c r="AO73" s="59">
        <f t="shared" si="90"/>
        <v>241.76003724236273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2.4002663606511701</v>
      </c>
      <c r="AV73" s="21">
        <f>EXP(-LN(2)/25)*AV72+(1-EXP(-LN(2)/25))/(LN(2)/25)*Calculateur!AQ73*Calculateur!AS73*VLOOKUP('Données projet'!$B$10,Paramètres!$A$1:$I$89,3,0)*0.475*44/12</f>
        <v>4.4731011154614935</v>
      </c>
      <c r="AW73" s="21">
        <f>EXP(-LN(2)/2)*AW72+(1-EXP(-LN(2)/2))/(LN(2)/2)*AQ73*AT73*VLOOKUP('Données projet'!$B$10,Paramètres!$A$1:$I$89,3,0)*0.475*44/12</f>
        <v>1.5231537314271247E-5</v>
      </c>
      <c r="AX73" s="21">
        <f t="shared" si="60"/>
        <v>6.8733827076499781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354</v>
      </c>
      <c r="BB73" s="12">
        <f>VLOOKUP(A73,'Données projet'!$A$87:$I$107,9,0)</f>
        <v>7.1</v>
      </c>
      <c r="BC73" s="12">
        <f t="array" ref="BC73">INDEX(BB:BB,MIN(IF(ISNUMBER(BB73:BB269),ROW(BB73:BB269),"")))</f>
        <v>7.1</v>
      </c>
      <c r="BD73" s="12">
        <f>IF('Données projet'!$A$88&gt;35,BD72+BC73-BL72,IF(A73&lt;'Données projet'!$A$88,$BA$205^A73,IF(A73='Données projet'!$A$88,'Données projet'!$B$88,BD72+BC73-BL72)))</f>
        <v>354</v>
      </c>
      <c r="BE73" s="13">
        <f>BD73*VLOOKUP('Données projet'!$B$11,Paramètres!$A$1:$I$89,3,0)*VLOOKUP('Données projet'!$B$11,Paramètres!$A$1:$I$89,5,0)</f>
        <v>193.28400000000002</v>
      </c>
      <c r="BF73" s="13">
        <f t="shared" si="91"/>
        <v>48.265272920234025</v>
      </c>
      <c r="BG73" s="20">
        <f t="shared" si="61"/>
        <v>420.69831700274091</v>
      </c>
      <c r="BH73" s="59">
        <f t="shared" si="62"/>
        <v>714.03165033607422</v>
      </c>
      <c r="BI73" s="59">
        <f ca="1">AVERAGE(OFFSET($BH$3,0,0,'Données projet'!$E$11+1,1))-AVERAGE(OFFSET($H$3,0,0,'Données projet'!$E$11+1,1))</f>
        <v>168.72306536277267</v>
      </c>
      <c r="BJ73" s="59">
        <f t="shared" si="92"/>
        <v>203.35476578922339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1.3776408395962212</v>
      </c>
      <c r="BQ73" s="21">
        <f>EXP(-LN(2)/25)*BQ72+(1-EXP(-LN(2)/25))/(LN(2)/25)*Calculateur!BL73*Calculateur!BN73*VLOOKUP('Données projet'!$B$11,Paramètres!$A$1:$I$89,3,0)*0.475*44/12</f>
        <v>7.5822294399360946</v>
      </c>
      <c r="BR73" s="21">
        <f>EXP(-LN(2)/2)*BR72+(1-EXP(-LN(2)/2))/(LN(2)/2)*BL73*BO73*VLOOKUP('Données projet'!$B$11,Paramètres!$A$1:$I$89,3,0)*0.475*44/12</f>
        <v>1.9096228239144579E-5</v>
      </c>
      <c r="BS73" s="22">
        <f t="shared" si="63"/>
        <v>8.9598893757605556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13.737499999999997</v>
      </c>
      <c r="BY73" s="12">
        <f>IF('Données projet'!$A$114&gt;35,BY72+BX73-CG72,IF(A73&lt;'Données projet'!$A$114,$BV$205^A73,IF(A73='Données projet'!$A$114,'Données projet'!$B$114,BY72+BX73-CG72)))</f>
        <v>400.21634615384619</v>
      </c>
      <c r="BZ73" s="13">
        <f>BY73*VLOOKUP('Données projet'!$B$12,Paramètres!$A$1:$I$89,3,0)*VLOOKUP('Données projet'!$B$12,Paramètres!$A$1:$I$89,5,0)</f>
        <v>187.30125000000001</v>
      </c>
      <c r="CA73" s="13">
        <f t="shared" si="93"/>
        <v>46.942801679870392</v>
      </c>
      <c r="CB73" s="20">
        <f t="shared" si="64"/>
        <v>407.97505667577428</v>
      </c>
      <c r="CC73" s="59">
        <f t="shared" si="65"/>
        <v>701.3083900091076</v>
      </c>
      <c r="CD73" s="59">
        <f ca="1">AVERAGE(OFFSET($CC$3,0,0,'Données projet'!$E$12+1,1))-AVERAGE(OFFSET($H$3,0,0,'Données projet'!$E$12+1,1))</f>
        <v>158.58786357608489</v>
      </c>
      <c r="CE73" s="59">
        <f t="shared" si="94"/>
        <v>163.20074068819849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274</v>
      </c>
      <c r="CR73" s="12">
        <f>VLOOKUP(A73,'Données projet'!$A$139:$I$159,9,0)</f>
        <v>4.0999999999999996</v>
      </c>
      <c r="CS73" s="12">
        <f t="array" ref="CS73">INDEX(CR:CR,MIN(IF(ISNUMBER(CR73:CR269),ROW(CR73:CR269),"")))</f>
        <v>4.0999999999999996</v>
      </c>
      <c r="CT73" s="12">
        <f>IF('Données projet'!$A$140&gt;35,CT72+CS73-DB72,IF(A73&lt;'Données projet'!$A$140,$CQ$205^A73,IF(A73='Données projet'!$A$140,'Données projet'!$B$140,CT72+CS73-DB72)))</f>
        <v>273.99999999999983</v>
      </c>
      <c r="CU73" s="17">
        <f>CT73*VLOOKUP('Données projet'!$B$13,Paramètres!$A$1:$I$89,3,0)*VLOOKUP('Données projet'!$B$13,Paramètres!$A$1:$I$89,5,0)</f>
        <v>200.89679999999987</v>
      </c>
      <c r="CV73" s="13">
        <f t="shared" si="95"/>
        <v>49.941205873360175</v>
      </c>
      <c r="CW73" s="20">
        <f t="shared" si="67"/>
        <v>436.87619356276872</v>
      </c>
      <c r="CX73" s="59">
        <f t="shared" si="68"/>
        <v>730.20952689610203</v>
      </c>
      <c r="CY73" s="59">
        <f ca="1">AVERAGE(OFFSET($CX$3,0,0,'Données projet'!$E$13+1,1))-AVERAGE(OFFSET($H$3,0,0,'Données projet'!$E$13+1,1))</f>
        <v>178.12968684094687</v>
      </c>
      <c r="CZ73" s="59">
        <f t="shared" si="96"/>
        <v>219.36004077210373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2.536244491316328</v>
      </c>
      <c r="DH73" s="21">
        <f>EXP(-LN(2)/2)*DH72+(1-EXP(-LN(2)/2))/(LN(2)/2)*DB73*DE73*VLOOKUP('Données projet'!$B$13,Paramètres!$A$1:$I$89,3,0)*0.475*44/12</f>
        <v>9.4580789543853066E-6</v>
      </c>
      <c r="DI73" s="22">
        <f t="shared" si="69"/>
        <v>2.5362539493952823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-8.5265128291212022E-14</v>
      </c>
      <c r="DP73" s="17">
        <f>DO73*VLOOKUP('Données projet'!$B$14,Paramètres!$A$1:$I$89,3,0)*VLOOKUP('Données projet'!$B$14,Paramètres!$A$1:$I$89,5,0)</f>
        <v>-7.7147888077888636E-14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225.28075317732998</v>
      </c>
      <c r="DU73" s="59">
        <f t="shared" si="98"/>
        <v>358.43407531256207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1.0160064276246128</v>
      </c>
      <c r="EB73" s="21">
        <f>EXP(-LN(2)/25)*EB72+(1-EXP(-LN(2)/25))/(LN(2)/25)*Calculateur!DW73*Calculateur!DY73*VLOOKUP('Données projet'!$B$14,Paramètres!$A$1:$I$89,3,0)*0.475*44/12</f>
        <v>2.7287610569256389</v>
      </c>
      <c r="EC73" s="21">
        <f>EXP(-LN(2)/2)*EC72+(1-EXP(-LN(2)/2))/(LN(2)/2)*DW73*DZ73*VLOOKUP('Données projet'!$B$14,Paramètres!$A$1:$I$89,3,0)*0.475*44/12</f>
        <v>4.2095385694213139E-6</v>
      </c>
      <c r="ED73" s="22">
        <f t="shared" si="72"/>
        <v>3.7447716940888212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8.6875</v>
      </c>
      <c r="EJ73" s="12">
        <f>IF('Données projet'!$A$192&gt;35,EJ72+EI73-ER72,IF(A73&lt;'Données projet'!$A$192,$EG$205^A73,IF(A73='Données projet'!$A$192,'Données projet'!$B$192,EJ72+EI73-ER72)))</f>
        <v>254.90384615384602</v>
      </c>
      <c r="EK73" s="17">
        <f>EJ73*VLOOKUP('Données projet'!$B$15,Paramètres!$A$1:$I$89,3,0)*VLOOKUP('Données projet'!$B$15,Paramètres!$A$1:$I$89,5,0)</f>
        <v>258.47249999999985</v>
      </c>
      <c r="EL73" s="13">
        <f t="shared" si="99"/>
        <v>62.396665108459487</v>
      </c>
      <c r="EM73" s="20">
        <f t="shared" si="73"/>
        <v>558.84712923056668</v>
      </c>
      <c r="EN73" s="59">
        <f t="shared" si="74"/>
        <v>852.18046256389994</v>
      </c>
      <c r="EO73" s="59">
        <f ca="1">AVERAGE(OFFSET($EN$3,0,0,'Données projet'!$E$15+1,1))-AVERAGE(OFFSET($H$3,0,0,'Données projet'!$E$15+1,1))</f>
        <v>363.98308691765931</v>
      </c>
      <c r="EP73" s="59">
        <f t="shared" si="100"/>
        <v>181.47089407988187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8.6875</v>
      </c>
      <c r="FE73" s="12">
        <f>IF('Données projet'!$A$218&gt;35,FE72+FD73-FM72,IF(A73&lt;'Données projet'!$A$218,$FB$205^A73,IF(A73='Données projet'!$A$218,'Données projet'!$B$218,FE72+FD73-FM72)))</f>
        <v>254.90384615384602</v>
      </c>
      <c r="FF73" s="17">
        <f>FE73*VLOOKUP('Données projet'!$B$16,Paramètres!$A$1:$I$89,3,0)*VLOOKUP('Données projet'!$B$16,Paramètres!$A$1:$I$89,5,0)</f>
        <v>274.37849999999986</v>
      </c>
      <c r="FG73" s="13">
        <f t="shared" si="101"/>
        <v>65.777625726508958</v>
      </c>
      <c r="FH73" s="20">
        <f t="shared" si="76"/>
        <v>592.43858564033621</v>
      </c>
      <c r="FI73" s="59">
        <f t="shared" si="77"/>
        <v>885.77191897366947</v>
      </c>
      <c r="FJ73" s="59">
        <f ca="1">AVERAGE(OFFSET($FI$3,0,0,'Données projet'!$E$16+1,1))-AVERAGE(OFFSET($H$3,0,0,'Données projet'!$E$16+1,1))</f>
        <v>395.30533160963489</v>
      </c>
      <c r="FK73" s="59">
        <f t="shared" si="102"/>
        <v>196.02102977695085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237</v>
      </c>
      <c r="FX73" s="12">
        <f>VLOOKUP(A73,'Données projet'!$A$243:$I$263,9,0)</f>
        <v>4.8</v>
      </c>
      <c r="FY73" s="12">
        <f t="array" ref="FY73">INDEX(FX:FX,MIN(IF(ISNUMBER(FX73:FX269),ROW(FX73:FX269),"")))</f>
        <v>4.8</v>
      </c>
      <c r="FZ73" s="12">
        <f>IF('Données projet'!$A$244&gt;35,FZ72+FY73-GH72,IF(A73&lt;'Données projet'!$A$244,$FW$205^A73,IF(A73='Données projet'!$A$244,'Données projet'!$B$244,FZ72+FY73-GH72)))</f>
        <v>236.99999999999997</v>
      </c>
      <c r="GA73" s="17">
        <f>FZ73*VLOOKUP('Données projet'!$B$17,Paramètres!$A$1:$I$89,3,0)*VLOOKUP('Données projet'!$B$17,Paramètres!$A$1:$I$89,5,0)</f>
        <v>247.7124</v>
      </c>
      <c r="GB73" s="13">
        <f t="shared" si="103"/>
        <v>60.095823975624157</v>
      </c>
      <c r="GC73" s="20">
        <f t="shared" si="79"/>
        <v>536.099323424212</v>
      </c>
      <c r="GD73" s="59">
        <f t="shared" si="80"/>
        <v>829.43265675754537</v>
      </c>
      <c r="GE73" s="59">
        <f ca="1">AVERAGE(OFFSET($GD$3,0,0,'Données projet'!$E$17+1,1))-AVERAGE(OFFSET($H$3,0,0,'Données projet'!$E$17+1,1))</f>
        <v>269.41185214595805</v>
      </c>
      <c r="GF73" s="59">
        <f t="shared" si="104"/>
        <v>299.70148160580993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33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2.8717472529219359</v>
      </c>
      <c r="GM73" s="21">
        <f>EXP(-LN(2)/25)*GM72+(1-EXP(-LN(2)/25))/(LN(2)/25)*Calculateur!GH73*Calculateur!GJ73*VLOOKUP('Données projet'!$B$17,Paramètres!$A$1:$I$89,3,0)*0.475*44/12</f>
        <v>5.3517459774271448</v>
      </c>
      <c r="GN73" s="21">
        <f>EXP(-LN(2)/2)*GN72+(1-EXP(-LN(2)/2))/(LN(2)/2)*GH73*GK73*VLOOKUP('Données projet'!$B$17,Paramètres!$A$1:$I$89,3,0)*0.475*44/12</f>
        <v>1.8223446429574485E-5</v>
      </c>
      <c r="GO73" s="21">
        <f t="shared" si="81"/>
        <v>8.2235114537955116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274</v>
      </c>
      <c r="GS73" s="12">
        <f>VLOOKUP(A73,'Données projet'!$A$269:$I$289,9,0)</f>
        <v>4.0999999999999996</v>
      </c>
      <c r="GT73" s="12">
        <f t="array" ref="GT73">INDEX(GS:GS,MIN(IF(ISNUMBER(GS73:GS269),ROW(GS73:GS269),"")))</f>
        <v>4.0999999999999996</v>
      </c>
      <c r="GU73" s="12">
        <f>IF('Données projet'!$A$270&gt;35,GU72+GT73-HC72,IF(A73&lt;'Données projet'!$A$270,$GR$205^A73,IF(A73='Données projet'!$A$270,'Données projet'!$B$270,GU72+GT73-HC72)))</f>
        <v>273.99999999999983</v>
      </c>
      <c r="GV73" s="17">
        <f>GU73*VLOOKUP('Données projet'!$B$18,Paramètres!$A$1:$I$89,3,0)*VLOOKUP('Données projet'!$B$18,Paramètres!$A$1:$I$89,5,0)</f>
        <v>239.36639999999989</v>
      </c>
      <c r="GW73" s="13">
        <f t="shared" si="105"/>
        <v>58.303187389471979</v>
      </c>
      <c r="GX73" s="20">
        <f t="shared" si="82"/>
        <v>518.44119803666342</v>
      </c>
      <c r="GY73" s="59">
        <f t="shared" si="83"/>
        <v>811.77453136999679</v>
      </c>
      <c r="GZ73" s="59">
        <f ca="1">AVERAGE(OFFSET($GY$3,0,0,'Données projet'!$E$18+1,1))-AVERAGE(OFFSET($H$3,0,0,'Données projet'!$E$18+1,1))</f>
        <v>226.35975611953359</v>
      </c>
      <c r="HA73" s="59">
        <f t="shared" si="106"/>
        <v>271.65876694892461</v>
      </c>
      <c r="HB73" s="15">
        <f>IF(ISNA(VLOOKUP(A73,'Données projet'!$A$269:$I$289,3,0)),0,VLOOKUP(A73,'Données projet'!$A$269:$I$289,3,0))</f>
        <v>6</v>
      </c>
      <c r="HC73" s="15">
        <f>IF(ISNA(VLOOKUP(A73,'Données projet'!$A$269:$I$289,4,0)),0,VLOOKUP(A73,'Données projet'!$A$269:$I$289,4,0))</f>
        <v>21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3.7246777091671763</v>
      </c>
      <c r="HI73" s="21">
        <f>EXP(-LN(2)/2)*HI72+(1-EXP(-LN(2)/2))/(LN(2)/2)*HC73*HF73*VLOOKUP('Données projet'!$B$18,Paramètres!$A$1:$I$89,3,0)*0.475*44/12</f>
        <v>1.1269200456288873E-5</v>
      </c>
      <c r="HJ73" s="22">
        <f t="shared" si="84"/>
        <v>3.7246889783676327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8.6875</v>
      </c>
      <c r="N74" s="13">
        <f>IF('Données projet'!$A$36&gt;35,N73+M74-V73,IF(A74&lt;'Données projet'!$A$36,$K$205^A74,IF(A74='Données projet'!$A$36,'Données projet'!$B$36,N73+M74-V73)))</f>
        <v>263.59134615384602</v>
      </c>
      <c r="O74" s="13">
        <f>N74*VLOOKUP('Données projet'!$B$9,Paramètres!$A$1:$I$89,3,0)*VLOOKUP('Données projet'!$B$9,Paramètres!$A$1:$I$89,5,0)</f>
        <v>238.49744999999984</v>
      </c>
      <c r="P74" s="13">
        <f t="shared" si="87"/>
        <v>58.116131461503187</v>
      </c>
      <c r="Q74" s="20">
        <f t="shared" si="54"/>
        <v>516.60198771211776</v>
      </c>
      <c r="R74" s="59">
        <f t="shared" si="55"/>
        <v>809.93532104545102</v>
      </c>
      <c r="S74" s="59">
        <f ca="1">AVERAGE(OFFSET($R$3,0,0,'Données projet'!$E$9+1,1))-AVERAGE(OFFSET($H$3,0,0,'Données projet'!$E$9+1,1))</f>
        <v>309.07357540707869</v>
      </c>
      <c r="T74" s="59">
        <f t="shared" si="88"/>
        <v>155.9593924683299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3.7</v>
      </c>
      <c r="AI74" s="13">
        <f>IF('Données projet'!$A$62&gt;35,AI73+AH74-AQ73,IF(A74&lt;'Données projet'!$A$62,$AF$205^A74,IF(A74='Données projet'!$A$62,'Données projet'!$B$62,AI73+AH74-AQ73)))</f>
        <v>207.69999999999996</v>
      </c>
      <c r="AJ74" s="13">
        <f>AI74*VLOOKUP('Données projet'!$B$10,Paramètres!$A$1:$I$89,3,0)*VLOOKUP('Données projet'!$B$10,Paramètres!$A$1:$I$89,5,0)</f>
        <v>181.44671999999997</v>
      </c>
      <c r="AK74" s="13">
        <f t="shared" si="89"/>
        <v>45.64390459939613</v>
      </c>
      <c r="AL74" s="20">
        <f t="shared" si="58"/>
        <v>395.51617117728159</v>
      </c>
      <c r="AM74" s="59">
        <f t="shared" si="59"/>
        <v>688.84950451061491</v>
      </c>
      <c r="AN74" s="59">
        <f ca="1">AVERAGE(OFFSET($AM$3,0,0,'Données projet'!$E$10+1,1))-AVERAGE(OFFSET($H$3,0,0,'Données projet'!$E$10+1,1))</f>
        <v>210.07838338464626</v>
      </c>
      <c r="AO74" s="59">
        <f t="shared" si="90"/>
        <v>241.76003724236273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2.3531986013367208</v>
      </c>
      <c r="AV74" s="21">
        <f>EXP(-LN(2)/25)*AV73+(1-EXP(-LN(2)/25))/(LN(2)/25)*Calculateur!AQ74*Calculateur!AS74*VLOOKUP('Données projet'!$B$10,Paramètres!$A$1:$I$89,3,0)*0.475*44/12</f>
        <v>4.350783930229035</v>
      </c>
      <c r="AW74" s="21">
        <f>EXP(-LN(2)/2)*AW73+(1-EXP(-LN(2)/2))/(LN(2)/2)*AQ74*AT74*VLOOKUP('Données projet'!$B$10,Paramètres!$A$1:$I$89,3,0)*0.475*44/12</f>
        <v>1.0770323322817133E-5</v>
      </c>
      <c r="AX74" s="21">
        <f t="shared" si="60"/>
        <v>6.7039933018890787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6.1</v>
      </c>
      <c r="BD74" s="12">
        <f>IF('Données projet'!$A$88&gt;35,BD73+BC74-BL73,IF(A74&lt;'Données projet'!$A$88,$BA$205^A74,IF(A74='Données projet'!$A$88,'Données projet'!$B$88,BD73+BC74-BL73)))</f>
        <v>318.10000000000002</v>
      </c>
      <c r="BE74" s="13">
        <f>BD74*VLOOKUP('Données projet'!$B$11,Paramètres!$A$1:$I$89,3,0)*VLOOKUP('Données projet'!$B$11,Paramètres!$A$1:$I$89,5,0)</f>
        <v>173.68260000000001</v>
      </c>
      <c r="BF74" s="13">
        <f t="shared" si="91"/>
        <v>43.913771928509959</v>
      </c>
      <c r="BG74" s="20">
        <f t="shared" si="61"/>
        <v>378.98034777548816</v>
      </c>
      <c r="BH74" s="59">
        <f t="shared" si="62"/>
        <v>672.31368110882147</v>
      </c>
      <c r="BI74" s="59">
        <f ca="1">AVERAGE(OFFSET($BH$3,0,0,'Données projet'!$E$11+1,1))-AVERAGE(OFFSET($H$3,0,0,'Données projet'!$E$11+1,1))</f>
        <v>168.72306536277267</v>
      </c>
      <c r="BJ74" s="59">
        <f t="shared" si="92"/>
        <v>203.35476578922339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1.3506261430096809</v>
      </c>
      <c r="BQ74" s="21">
        <f>EXP(-LN(2)/25)*BQ73+(1-EXP(-LN(2)/25))/(LN(2)/25)*Calculateur!BL74*Calculateur!BN74*VLOOKUP('Données projet'!$B$11,Paramètres!$A$1:$I$89,3,0)*0.475*44/12</f>
        <v>7.3748929771689253</v>
      </c>
      <c r="BR74" s="21">
        <f>EXP(-LN(2)/2)*BR73+(1-EXP(-LN(2)/2))/(LN(2)/2)*BL74*BO74*VLOOKUP('Données projet'!$B$11,Paramètres!$A$1:$I$89,3,0)*0.475*44/12</f>
        <v>1.3503072482985176E-5</v>
      </c>
      <c r="BS74" s="22">
        <f t="shared" si="63"/>
        <v>8.7255326232510892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413.95384615384614</v>
      </c>
      <c r="BW74" s="12">
        <f>VLOOKUP(A74,'Données projet'!$A$113:$I$133,9,0)</f>
        <v>13.737499999999997</v>
      </c>
      <c r="BX74" s="12">
        <f t="array" ref="BX74">INDEX(BW:BW,MIN(IF(ISNUMBER(BW74:BW270),ROW(BW74:BW270),"")))</f>
        <v>13.737499999999997</v>
      </c>
      <c r="BY74" s="12">
        <f>IF('Données projet'!$A$114&gt;35,BY73+BX74-CG73,IF(A74&lt;'Données projet'!$A$114,$BV$205^A74,IF(A74='Données projet'!$A$114,'Données projet'!$B$114,BY73+BX74-CG73)))</f>
        <v>413.9538461538462</v>
      </c>
      <c r="BZ74" s="13">
        <f>BY74*VLOOKUP('Données projet'!$B$12,Paramètres!$A$1:$I$89,3,0)*VLOOKUP('Données projet'!$B$12,Paramètres!$A$1:$I$89,5,0)</f>
        <v>193.73040000000003</v>
      </c>
      <c r="CA74" s="13">
        <f t="shared" si="93"/>
        <v>48.363755728631737</v>
      </c>
      <c r="CB74" s="20">
        <f t="shared" si="64"/>
        <v>421.647321227367</v>
      </c>
      <c r="CC74" s="59">
        <f t="shared" si="65"/>
        <v>714.98065456070026</v>
      </c>
      <c r="CD74" s="59">
        <f ca="1">AVERAGE(OFFSET($CC$3,0,0,'Données projet'!$E$12+1,1))-AVERAGE(OFFSET($H$3,0,0,'Données projet'!$E$12+1,1))</f>
        <v>158.58786357608489</v>
      </c>
      <c r="CE74" s="59">
        <f t="shared" si="94"/>
        <v>163.20074068819849</v>
      </c>
      <c r="CF74" s="15">
        <f>IF(ISNA(VLOOKUP(A74,'Données projet'!$A$113:$I$133,3,0)),0,VLOOKUP(A74,'Données projet'!$A$113:$I$133,3,0))</f>
        <v>5</v>
      </c>
      <c r="CG74" s="15">
        <f>IF(ISNA(VLOOKUP(A74,'Données projet'!$A$113:$I$133,4,0)),0,VLOOKUP(A74,'Données projet'!$A$113:$I$133,4,0))</f>
        <v>80.399999999999991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3.1</v>
      </c>
      <c r="CT74" s="12">
        <f>IF('Données projet'!$A$140&gt;35,CT73+CS74-DB73,IF(A74&lt;'Données projet'!$A$140,$CQ$205^A74,IF(A74='Données projet'!$A$140,'Données projet'!$B$140,CT73+CS74-DB73)))</f>
        <v>256.09999999999985</v>
      </c>
      <c r="CU74" s="17">
        <f>CT74*VLOOKUP('Données projet'!$B$13,Paramètres!$A$1:$I$89,3,0)*VLOOKUP('Données projet'!$B$13,Paramètres!$A$1:$I$89,5,0)</f>
        <v>187.77251999999987</v>
      </c>
      <c r="CV74" s="13">
        <f t="shared" si="95"/>
        <v>47.047151159984395</v>
      </c>
      <c r="CW74" s="20">
        <f t="shared" si="67"/>
        <v>408.9775939369726</v>
      </c>
      <c r="CX74" s="59">
        <f t="shared" si="68"/>
        <v>702.31092727030591</v>
      </c>
      <c r="CY74" s="59">
        <f ca="1">AVERAGE(OFFSET($CX$3,0,0,'Données projet'!$E$13+1,1))-AVERAGE(OFFSET($H$3,0,0,'Données projet'!$E$13+1,1))</f>
        <v>178.12968684094687</v>
      </c>
      <c r="CZ74" s="59">
        <f t="shared" si="96"/>
        <v>219.36004077210373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2.4668907523259818</v>
      </c>
      <c r="DH74" s="21">
        <f>EXP(-LN(2)/2)*DH73+(1-EXP(-LN(2)/2))/(LN(2)/2)*DB74*DE74*VLOOKUP('Données projet'!$B$13,Paramètres!$A$1:$I$89,3,0)*0.475*44/12</f>
        <v>6.6878717656436213E-6</v>
      </c>
      <c r="DI74" s="22">
        <f t="shared" si="69"/>
        <v>2.4668974401977475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-8.5265128291212022E-14</v>
      </c>
      <c r="DP74" s="17">
        <f>DO74*VLOOKUP('Données projet'!$B$14,Paramètres!$A$1:$I$89,3,0)*VLOOKUP('Données projet'!$B$14,Paramètres!$A$1:$I$89,5,0)</f>
        <v>-7.7147888077888636E-14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225.28075317732998</v>
      </c>
      <c r="DU74" s="59">
        <f t="shared" si="98"/>
        <v>358.43407531256207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0.99608316128162444</v>
      </c>
      <c r="EB74" s="21">
        <f>EXP(-LN(2)/25)*EB73+(1-EXP(-LN(2)/25))/(LN(2)/25)*Calculateur!DW74*Calculateur!DY74*VLOOKUP('Données projet'!$B$14,Paramètres!$A$1:$I$89,3,0)*0.475*44/12</f>
        <v>2.6541429423246998</v>
      </c>
      <c r="EC74" s="21">
        <f>EXP(-LN(2)/2)*EC73+(1-EXP(-LN(2)/2))/(LN(2)/2)*DW74*DZ74*VLOOKUP('Données projet'!$B$14,Paramètres!$A$1:$I$89,3,0)*0.475*44/12</f>
        <v>2.9765932681041293E-6</v>
      </c>
      <c r="ED74" s="22">
        <f t="shared" si="72"/>
        <v>3.6502290801995927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8.6875</v>
      </c>
      <c r="EJ74" s="12">
        <f>IF('Données projet'!$A$192&gt;35,EJ73+EI74-ER73,IF(A74&lt;'Données projet'!$A$192,$EG$205^A74,IF(A74='Données projet'!$A$192,'Données projet'!$B$192,EJ73+EI74-ER73)))</f>
        <v>263.59134615384602</v>
      </c>
      <c r="EK74" s="17">
        <f>EJ74*VLOOKUP('Données projet'!$B$15,Paramètres!$A$1:$I$89,3,0)*VLOOKUP('Données projet'!$B$15,Paramètres!$A$1:$I$89,5,0)</f>
        <v>267.28162499999985</v>
      </c>
      <c r="EL74" s="13">
        <f t="shared" si="99"/>
        <v>64.272022186962403</v>
      </c>
      <c r="EM74" s="20">
        <f t="shared" si="73"/>
        <v>577.45593551729269</v>
      </c>
      <c r="EN74" s="59">
        <f t="shared" si="74"/>
        <v>870.78926885062606</v>
      </c>
      <c r="EO74" s="59">
        <f ca="1">AVERAGE(OFFSET($EN$3,0,0,'Données projet'!$E$15+1,1))-AVERAGE(OFFSET($H$3,0,0,'Données projet'!$E$15+1,1))</f>
        <v>363.98308691765931</v>
      </c>
      <c r="EP74" s="59">
        <f t="shared" si="100"/>
        <v>181.47089407988187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8.6875</v>
      </c>
      <c r="FE74" s="12">
        <f>IF('Données projet'!$A$218&gt;35,FE73+FD74-FM73,IF(A74&lt;'Données projet'!$A$218,$FB$205^A74,IF(A74='Données projet'!$A$218,'Données projet'!$B$218,FE73+FD74-FM73)))</f>
        <v>263.59134615384602</v>
      </c>
      <c r="FF74" s="17">
        <f>FE74*VLOOKUP('Données projet'!$B$16,Paramètres!$A$1:$I$89,3,0)*VLOOKUP('Données projet'!$B$16,Paramètres!$A$1:$I$89,5,0)</f>
        <v>283.72972499999986</v>
      </c>
      <c r="FG74" s="13">
        <f t="shared" si="101"/>
        <v>67.754598947736383</v>
      </c>
      <c r="FH74" s="20">
        <f t="shared" si="76"/>
        <v>612.16853087564061</v>
      </c>
      <c r="FI74" s="59">
        <f t="shared" si="77"/>
        <v>905.50186420897398</v>
      </c>
      <c r="FJ74" s="59">
        <f ca="1">AVERAGE(OFFSET($FI$3,0,0,'Données projet'!$E$16+1,1))-AVERAGE(OFFSET($H$3,0,0,'Données projet'!$E$16+1,1))</f>
        <v>395.30533160963489</v>
      </c>
      <c r="FK74" s="59">
        <f t="shared" si="102"/>
        <v>196.02102977695085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3.7</v>
      </c>
      <c r="FZ74" s="12">
        <f>IF('Données projet'!$A$244&gt;35,FZ73+FY74-GH73,IF(A74&lt;'Données projet'!$A$244,$FW$205^A74,IF(A74='Données projet'!$A$244,'Données projet'!$B$244,FZ73+FY74-GH73)))</f>
        <v>207.69999999999996</v>
      </c>
      <c r="GA74" s="17">
        <f>FZ74*VLOOKUP('Données projet'!$B$17,Paramètres!$A$1:$I$89,3,0)*VLOOKUP('Données projet'!$B$17,Paramètres!$A$1:$I$89,5,0)</f>
        <v>217.08804000000001</v>
      </c>
      <c r="GB74" s="13">
        <f t="shared" si="103"/>
        <v>53.481495631632171</v>
      </c>
      <c r="GC74" s="20">
        <f t="shared" si="79"/>
        <v>471.24194122509266</v>
      </c>
      <c r="GD74" s="59">
        <f t="shared" si="80"/>
        <v>764.57527455842592</v>
      </c>
      <c r="GE74" s="59">
        <f ca="1">AVERAGE(OFFSET($GD$3,0,0,'Données projet'!$E$17+1,1))-AVERAGE(OFFSET($H$3,0,0,'Données projet'!$E$17+1,1))</f>
        <v>269.41185214595805</v>
      </c>
      <c r="GF74" s="59">
        <f t="shared" si="104"/>
        <v>299.70148160580993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2.8154340408850054</v>
      </c>
      <c r="GM74" s="21">
        <f>EXP(-LN(2)/25)*GM73+(1-EXP(-LN(2)/25))/(LN(2)/25)*Calculateur!GH74*Calculateur!GJ74*VLOOKUP('Données projet'!$B$17,Paramètres!$A$1:$I$89,3,0)*0.475*44/12</f>
        <v>5.20540220223831</v>
      </c>
      <c r="GN74" s="21">
        <f>EXP(-LN(2)/2)*GN73+(1-EXP(-LN(2)/2))/(LN(2)/2)*GH74*GK74*VLOOKUP('Données projet'!$B$17,Paramètres!$A$1:$I$89,3,0)*0.475*44/12</f>
        <v>1.2885922546941896E-5</v>
      </c>
      <c r="GO74" s="21">
        <f t="shared" si="81"/>
        <v>8.0208491290458639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3.1</v>
      </c>
      <c r="GU74" s="12">
        <f>IF('Données projet'!$A$270&gt;35,GU73+GT74-HC73,IF(A74&lt;'Données projet'!$A$270,$GR$205^A74,IF(A74='Données projet'!$A$270,'Données projet'!$B$270,GU73+GT74-HC73)))</f>
        <v>256.09999999999985</v>
      </c>
      <c r="GV74" s="17">
        <f>GU74*VLOOKUP('Données projet'!$B$18,Paramètres!$A$1:$I$89,3,0)*VLOOKUP('Données projet'!$B$18,Paramètres!$A$1:$I$89,5,0)</f>
        <v>223.72895999999992</v>
      </c>
      <c r="GW74" s="13">
        <f t="shared" si="105"/>
        <v>54.924562237784592</v>
      </c>
      <c r="GX74" s="20">
        <f t="shared" si="82"/>
        <v>485.32155123080798</v>
      </c>
      <c r="GY74" s="59">
        <f t="shared" si="83"/>
        <v>778.6548845641413</v>
      </c>
      <c r="GZ74" s="59">
        <f ca="1">AVERAGE(OFFSET($GY$3,0,0,'Données projet'!$E$18+1,1))-AVERAGE(OFFSET($H$3,0,0,'Données projet'!$E$18+1,1))</f>
        <v>226.35975611953359</v>
      </c>
      <c r="HA74" s="59">
        <f t="shared" si="106"/>
        <v>271.65876694892461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3.6228262013377122</v>
      </c>
      <c r="HI74" s="21">
        <f>EXP(-LN(2)/2)*HI73+(1-EXP(-LN(2)/2))/(LN(2)/2)*HC74*HF74*VLOOKUP('Données projet'!$B$18,Paramètres!$A$1:$I$89,3,0)*0.475*44/12</f>
        <v>7.9685280611923977E-6</v>
      </c>
      <c r="HJ74" s="22">
        <f t="shared" si="84"/>
        <v>3.6228341698657736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8.6875</v>
      </c>
      <c r="N75" s="13">
        <f>IF('Données projet'!$A$36&gt;35,N74+M75-V74,IF(A75&lt;'Données projet'!$A$36,$K$205^A75,IF(A75='Données projet'!$A$36,'Données projet'!$B$36,N74+M75-V74)))</f>
        <v>272.27884615384602</v>
      </c>
      <c r="O75" s="13">
        <f>N75*VLOOKUP('Données projet'!$B$9,Paramètres!$A$1:$I$89,3,0)*VLOOKUP('Données projet'!$B$9,Paramètres!$A$1:$I$89,5,0)</f>
        <v>246.35789999999989</v>
      </c>
      <c r="P75" s="13">
        <f t="shared" si="87"/>
        <v>59.805375077411945</v>
      </c>
      <c r="Q75" s="20">
        <f t="shared" si="54"/>
        <v>533.23437075982554</v>
      </c>
      <c r="R75" s="59">
        <f t="shared" si="55"/>
        <v>826.56770409315891</v>
      </c>
      <c r="S75" s="59">
        <f ca="1">AVERAGE(OFFSET($R$3,0,0,'Données projet'!$E$9+1,1))-AVERAGE(OFFSET($H$3,0,0,'Données projet'!$E$9+1,1))</f>
        <v>309.07357540707869</v>
      </c>
      <c r="T75" s="59">
        <f t="shared" si="88"/>
        <v>155.9593924683299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3.7</v>
      </c>
      <c r="AI75" s="13">
        <f>IF('Données projet'!$A$62&gt;35,AI74+AH75-AQ74,IF(A75&lt;'Données projet'!$A$62,$AF$205^A75,IF(A75='Données projet'!$A$62,'Données projet'!$B$62,AI74+AH75-AQ74)))</f>
        <v>211.39999999999995</v>
      </c>
      <c r="AJ75" s="13">
        <f>AI75*VLOOKUP('Données projet'!$B$10,Paramètres!$A$1:$I$89,3,0)*VLOOKUP('Données projet'!$B$10,Paramètres!$A$1:$I$89,5,0)</f>
        <v>184.67903999999999</v>
      </c>
      <c r="AK75" s="13">
        <f t="shared" si="89"/>
        <v>46.361626470742181</v>
      </c>
      <c r="AL75" s="20">
        <f t="shared" si="58"/>
        <v>402.39582743654256</v>
      </c>
      <c r="AM75" s="59">
        <f t="shared" si="59"/>
        <v>695.72916076987588</v>
      </c>
      <c r="AN75" s="59">
        <f ca="1">AVERAGE(OFFSET($AM$3,0,0,'Données projet'!$E$10+1,1))-AVERAGE(OFFSET($H$3,0,0,'Données projet'!$E$10+1,1))</f>
        <v>210.07838338464626</v>
      </c>
      <c r="AO75" s="59">
        <f t="shared" si="90"/>
        <v>241.76003724236273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2.3070538120739292</v>
      </c>
      <c r="AV75" s="21">
        <f>EXP(-LN(2)/25)*AV74+(1-EXP(-LN(2)/25))/(LN(2)/25)*Calculateur!AQ75*Calculateur!AS75*VLOOKUP('Données projet'!$B$10,Paramètres!$A$1:$I$89,3,0)*0.475*44/12</f>
        <v>4.2318115148591389</v>
      </c>
      <c r="AW75" s="21">
        <f>EXP(-LN(2)/2)*AW74+(1-EXP(-LN(2)/2))/(LN(2)/2)*AQ75*AT75*VLOOKUP('Données projet'!$B$10,Paramètres!$A$1:$I$89,3,0)*0.475*44/12</f>
        <v>7.6157686571356245E-6</v>
      </c>
      <c r="AX75" s="21">
        <f t="shared" si="60"/>
        <v>6.538872942701726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6.1</v>
      </c>
      <c r="BD75" s="12">
        <f>IF('Données projet'!$A$88&gt;35,BD74+BC75-BL74,IF(A75&lt;'Données projet'!$A$88,$BA$205^A75,IF(A75='Données projet'!$A$88,'Données projet'!$B$88,BD74+BC75-BL74)))</f>
        <v>324.20000000000005</v>
      </c>
      <c r="BE75" s="13">
        <f>BD75*VLOOKUP('Données projet'!$B$11,Paramètres!$A$1:$I$89,3,0)*VLOOKUP('Données projet'!$B$11,Paramètres!$A$1:$I$89,5,0)</f>
        <v>177.01320000000004</v>
      </c>
      <c r="BF75" s="13">
        <f t="shared" si="91"/>
        <v>44.657032460641901</v>
      </c>
      <c r="BG75" s="20">
        <f t="shared" si="61"/>
        <v>386.0756548689514</v>
      </c>
      <c r="BH75" s="59">
        <f t="shared" si="62"/>
        <v>679.40898820228472</v>
      </c>
      <c r="BI75" s="59">
        <f ca="1">AVERAGE(OFFSET($BH$3,0,0,'Données projet'!$E$11+1,1))-AVERAGE(OFFSET($H$3,0,0,'Données projet'!$E$11+1,1))</f>
        <v>168.72306536277267</v>
      </c>
      <c r="BJ75" s="59">
        <f t="shared" si="92"/>
        <v>203.35476578922339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1.3241411881458647</v>
      </c>
      <c r="BQ75" s="21">
        <f>EXP(-LN(2)/25)*BQ74+(1-EXP(-LN(2)/25))/(LN(2)/25)*Calculateur!BL75*Calculateur!BN75*VLOOKUP('Données projet'!$B$11,Paramètres!$A$1:$I$89,3,0)*0.475*44/12</f>
        <v>7.1732261408794749</v>
      </c>
      <c r="BR75" s="21">
        <f>EXP(-LN(2)/2)*BR74+(1-EXP(-LN(2)/2))/(LN(2)/2)*BL75*BO75*VLOOKUP('Données projet'!$B$11,Paramètres!$A$1:$I$89,3,0)*0.475*44/12</f>
        <v>9.5481141195722895E-6</v>
      </c>
      <c r="BS75" s="22">
        <f t="shared" si="63"/>
        <v>8.4973768771394589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12.913461538461533</v>
      </c>
      <c r="BY75" s="12">
        <f>IF('Données projet'!$A$114&gt;35,BY74+BX75-CG74,IF(A75&lt;'Données projet'!$A$114,$BV$205^A75,IF(A75='Données projet'!$A$114,'Données projet'!$B$114,BY74+BX75-CG74)))</f>
        <v>346.46730769230777</v>
      </c>
      <c r="BZ75" s="13">
        <f>BY75*VLOOKUP('Données projet'!$B$12,Paramètres!$A$1:$I$89,3,0)*VLOOKUP('Données projet'!$B$12,Paramètres!$A$1:$I$89,5,0)</f>
        <v>162.14670000000004</v>
      </c>
      <c r="CA75" s="13">
        <f t="shared" si="93"/>
        <v>41.326333369414826</v>
      </c>
      <c r="CB75" s="20">
        <f t="shared" si="64"/>
        <v>354.38219978506419</v>
      </c>
      <c r="CC75" s="59">
        <f t="shared" si="65"/>
        <v>647.7155331183975</v>
      </c>
      <c r="CD75" s="59">
        <f ca="1">AVERAGE(OFFSET($CC$3,0,0,'Données projet'!$E$12+1,1))-AVERAGE(OFFSET($H$3,0,0,'Données projet'!$E$12+1,1))</f>
        <v>158.58786357608489</v>
      </c>
      <c r="CE75" s="59">
        <f t="shared" si="94"/>
        <v>163.20074068819849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3.1</v>
      </c>
      <c r="CT75" s="12">
        <f>IF('Données projet'!$A$140&gt;35,CT74+CS75-DB74,IF(A75&lt;'Données projet'!$A$140,$CQ$205^A75,IF(A75='Données projet'!$A$140,'Données projet'!$B$140,CT74+CS75-DB74)))</f>
        <v>259.19999999999987</v>
      </c>
      <c r="CU75" s="17">
        <f>CT75*VLOOKUP('Données projet'!$B$13,Paramètres!$A$1:$I$89,3,0)*VLOOKUP('Données projet'!$B$13,Paramètres!$A$1:$I$89,5,0)</f>
        <v>190.04543999999993</v>
      </c>
      <c r="CV75" s="13">
        <f t="shared" si="95"/>
        <v>47.549998850241536</v>
      </c>
      <c r="CW75" s="20">
        <f t="shared" si="67"/>
        <v>413.81205599750388</v>
      </c>
      <c r="CX75" s="59">
        <f t="shared" si="68"/>
        <v>707.14538933083713</v>
      </c>
      <c r="CY75" s="59">
        <f ca="1">AVERAGE(OFFSET($CX$3,0,0,'Données projet'!$E$13+1,1))-AVERAGE(OFFSET($H$3,0,0,'Données projet'!$E$13+1,1))</f>
        <v>178.12968684094687</v>
      </c>
      <c r="CZ75" s="59">
        <f t="shared" si="96"/>
        <v>219.36004077210373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2.3994334949754812</v>
      </c>
      <c r="DH75" s="21">
        <f>EXP(-LN(2)/2)*DH74+(1-EXP(-LN(2)/2))/(LN(2)/2)*DB75*DE75*VLOOKUP('Données projet'!$B$13,Paramètres!$A$1:$I$89,3,0)*0.475*44/12</f>
        <v>4.7290394771926533E-6</v>
      </c>
      <c r="DI75" s="22">
        <f t="shared" si="69"/>
        <v>2.3994382240149585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-8.5265128291212022E-14</v>
      </c>
      <c r="DP75" s="17">
        <f>DO75*VLOOKUP('Données projet'!$B$14,Paramètres!$A$1:$I$89,3,0)*VLOOKUP('Données projet'!$B$14,Paramètres!$A$1:$I$89,5,0)</f>
        <v>-7.7147888077888636E-14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225.28075317732998</v>
      </c>
      <c r="DU75" s="59">
        <f t="shared" si="98"/>
        <v>358.43407531256207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0.97655057803962952</v>
      </c>
      <c r="EB75" s="21">
        <f>EXP(-LN(2)/25)*EB74+(1-EXP(-LN(2)/25))/(LN(2)/25)*Calculateur!DW75*Calculateur!DY75*VLOOKUP('Données projet'!$B$14,Paramètres!$A$1:$I$89,3,0)*0.475*44/12</f>
        <v>2.5815652639915196</v>
      </c>
      <c r="EC75" s="21">
        <f>EXP(-LN(2)/2)*EC74+(1-EXP(-LN(2)/2))/(LN(2)/2)*DW75*DZ75*VLOOKUP('Données projet'!$B$14,Paramètres!$A$1:$I$89,3,0)*0.475*44/12</f>
        <v>2.104769284710657E-6</v>
      </c>
      <c r="ED75" s="22">
        <f t="shared" si="72"/>
        <v>3.5581179468004338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8.6875</v>
      </c>
      <c r="EJ75" s="12">
        <f>IF('Données projet'!$A$192&gt;35,EJ74+EI75-ER74,IF(A75&lt;'Données projet'!$A$192,$EG$205^A75,IF(A75='Données projet'!$A$192,'Données projet'!$B$192,EJ74+EI75-ER74)))</f>
        <v>272.27884615384602</v>
      </c>
      <c r="EK75" s="17">
        <f>EJ75*VLOOKUP('Données projet'!$B$15,Paramètres!$A$1:$I$89,3,0)*VLOOKUP('Données projet'!$B$15,Paramètres!$A$1:$I$89,5,0)</f>
        <v>276.0907499999999</v>
      </c>
      <c r="EL75" s="13">
        <f t="shared" si="99"/>
        <v>66.140197174363124</v>
      </c>
      <c r="EM75" s="20">
        <f t="shared" si="73"/>
        <v>596.05223299534885</v>
      </c>
      <c r="EN75" s="59">
        <f t="shared" si="74"/>
        <v>889.38556632868222</v>
      </c>
      <c r="EO75" s="59">
        <f ca="1">AVERAGE(OFFSET($EN$3,0,0,'Données projet'!$E$15+1,1))-AVERAGE(OFFSET($H$3,0,0,'Données projet'!$E$15+1,1))</f>
        <v>363.98308691765931</v>
      </c>
      <c r="EP75" s="59">
        <f t="shared" si="100"/>
        <v>181.47089407988187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8.6875</v>
      </c>
      <c r="FE75" s="12">
        <f>IF('Données projet'!$A$218&gt;35,FE74+FD75-FM74,IF(A75&lt;'Données projet'!$A$218,$FB$205^A75,IF(A75='Données projet'!$A$218,'Données projet'!$B$218,FE74+FD75-FM74)))</f>
        <v>272.27884615384602</v>
      </c>
      <c r="FF75" s="17">
        <f>FE75*VLOOKUP('Données projet'!$B$16,Paramètres!$A$1:$I$89,3,0)*VLOOKUP('Données projet'!$B$16,Paramètres!$A$1:$I$89,5,0)</f>
        <v>293.0809499999998</v>
      </c>
      <c r="FG75" s="13">
        <f t="shared" si="101"/>
        <v>69.724000916563881</v>
      </c>
      <c r="FH75" s="20">
        <f t="shared" si="76"/>
        <v>631.88528951301521</v>
      </c>
      <c r="FI75" s="59">
        <f t="shared" si="77"/>
        <v>925.21862284634858</v>
      </c>
      <c r="FJ75" s="59">
        <f ca="1">AVERAGE(OFFSET($FI$3,0,0,'Données projet'!$E$16+1,1))-AVERAGE(OFFSET($H$3,0,0,'Données projet'!$E$16+1,1))</f>
        <v>395.30533160963489</v>
      </c>
      <c r="FK75" s="59">
        <f t="shared" si="102"/>
        <v>196.02102977695085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3.7</v>
      </c>
      <c r="FZ75" s="12">
        <f>IF('Données projet'!$A$244&gt;35,FZ74+FY75-GH74,IF(A75&lt;'Données projet'!$A$244,$FW$205^A75,IF(A75='Données projet'!$A$244,'Données projet'!$B$244,FZ74+FY75-GH74)))</f>
        <v>211.39999999999995</v>
      </c>
      <c r="GA75" s="17">
        <f>FZ75*VLOOKUP('Données projet'!$B$17,Paramètres!$A$1:$I$89,3,0)*VLOOKUP('Données projet'!$B$17,Paramètres!$A$1:$I$89,5,0)</f>
        <v>220.95527999999996</v>
      </c>
      <c r="GB75" s="13">
        <f t="shared" si="103"/>
        <v>54.322458723287362</v>
      </c>
      <c r="GC75" s="20">
        <f t="shared" si="79"/>
        <v>479.44206160972539</v>
      </c>
      <c r="GD75" s="59">
        <f t="shared" si="80"/>
        <v>772.7753949430587</v>
      </c>
      <c r="GE75" s="59">
        <f ca="1">AVERAGE(OFFSET($GD$3,0,0,'Données projet'!$E$17+1,1))-AVERAGE(OFFSET($H$3,0,0,'Données projet'!$E$17+1,1))</f>
        <v>269.41185214595805</v>
      </c>
      <c r="GF75" s="59">
        <f t="shared" si="104"/>
        <v>299.70148160580993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2.7602250965884516</v>
      </c>
      <c r="GM75" s="21">
        <f>EXP(-LN(2)/25)*GM74+(1-EXP(-LN(2)/25))/(LN(2)/25)*Calculateur!GH75*Calculateur!GJ75*VLOOKUP('Données projet'!$B$17,Paramètres!$A$1:$I$89,3,0)*0.475*44/12</f>
        <v>5.0630602052778988</v>
      </c>
      <c r="GN75" s="21">
        <f>EXP(-LN(2)/2)*GN74+(1-EXP(-LN(2)/2))/(LN(2)/2)*GH75*GK75*VLOOKUP('Données projet'!$B$17,Paramètres!$A$1:$I$89,3,0)*0.475*44/12</f>
        <v>9.1117232147872427E-6</v>
      </c>
      <c r="GO75" s="21">
        <f t="shared" si="81"/>
        <v>7.8232944135895659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3.1</v>
      </c>
      <c r="GU75" s="12">
        <f>IF('Données projet'!$A$270&gt;35,GU74+GT75-HC74,IF(A75&lt;'Données projet'!$A$270,$GR$205^A75,IF(A75='Données projet'!$A$270,'Données projet'!$B$270,GU74+GT75-HC74)))</f>
        <v>259.19999999999987</v>
      </c>
      <c r="GV75" s="17">
        <f>GU75*VLOOKUP('Données projet'!$B$18,Paramètres!$A$1:$I$89,3,0)*VLOOKUP('Données projet'!$B$18,Paramètres!$A$1:$I$89,5,0)</f>
        <v>226.43711999999991</v>
      </c>
      <c r="GW75" s="13">
        <f t="shared" si="105"/>
        <v>55.5116049933753</v>
      </c>
      <c r="GX75" s="20">
        <f t="shared" si="82"/>
        <v>491.06069603012844</v>
      </c>
      <c r="GY75" s="59">
        <f t="shared" si="83"/>
        <v>784.39402936346175</v>
      </c>
      <c r="GZ75" s="59">
        <f ca="1">AVERAGE(OFFSET($GY$3,0,0,'Données projet'!$E$18+1,1))-AVERAGE(OFFSET($H$3,0,0,'Données projet'!$E$18+1,1))</f>
        <v>226.35975611953359</v>
      </c>
      <c r="HA75" s="59">
        <f t="shared" si="106"/>
        <v>271.65876694892461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3.5237598283459826</v>
      </c>
      <c r="HI75" s="21">
        <f>EXP(-LN(2)/2)*HI74+(1-EXP(-LN(2)/2))/(LN(2)/2)*HC75*HF75*VLOOKUP('Données projet'!$B$18,Paramètres!$A$1:$I$89,3,0)*0.475*44/12</f>
        <v>5.6346002281444367E-6</v>
      </c>
      <c r="HJ75" s="22">
        <f t="shared" si="84"/>
        <v>3.5237654629462107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8.6875</v>
      </c>
      <c r="N76" s="13">
        <f>IF('Données projet'!$A$36&gt;35,N75+M76-V75,IF(A76&lt;'Données projet'!$A$36,$K$205^A76,IF(A76='Données projet'!$A$36,'Données projet'!$B$36,N75+M76-V75)))</f>
        <v>280.96634615384602</v>
      </c>
      <c r="O76" s="13">
        <f>N76*VLOOKUP('Données projet'!$B$9,Paramètres!$A$1:$I$89,3,0)*VLOOKUP('Données projet'!$B$9,Paramètres!$A$1:$I$89,5,0)</f>
        <v>254.21834999999987</v>
      </c>
      <c r="P76" s="13">
        <f t="shared" si="87"/>
        <v>61.488355471111007</v>
      </c>
      <c r="Q76" s="20">
        <f t="shared" si="54"/>
        <v>549.85584536218471</v>
      </c>
      <c r="R76" s="59">
        <f t="shared" si="55"/>
        <v>843.18917869551797</v>
      </c>
      <c r="S76" s="59">
        <f ca="1">AVERAGE(OFFSET($R$3,0,0,'Données projet'!$E$9+1,1))-AVERAGE(OFFSET($H$3,0,0,'Données projet'!$E$9+1,1))</f>
        <v>309.07357540707869</v>
      </c>
      <c r="T76" s="59">
        <f t="shared" si="88"/>
        <v>155.9593924683299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3.7</v>
      </c>
      <c r="AI76" s="13">
        <f>IF('Données projet'!$A$62&gt;35,AI75+AH76-AQ75,IF(A76&lt;'Données projet'!$A$62,$AF$205^A76,IF(A76='Données projet'!$A$62,'Données projet'!$B$62,AI75+AH76-AQ75)))</f>
        <v>215.09999999999994</v>
      </c>
      <c r="AJ76" s="13">
        <f>AI76*VLOOKUP('Données projet'!$B$10,Paramètres!$A$1:$I$89,3,0)*VLOOKUP('Données projet'!$B$10,Paramètres!$A$1:$I$89,5,0)</f>
        <v>187.91135999999997</v>
      </c>
      <c r="AK76" s="13">
        <f t="shared" si="89"/>
        <v>47.077887554632845</v>
      </c>
      <c r="AL76" s="20">
        <f t="shared" si="58"/>
        <v>409.27293949098544</v>
      </c>
      <c r="AM76" s="59">
        <f t="shared" si="59"/>
        <v>702.60627282431869</v>
      </c>
      <c r="AN76" s="59">
        <f ca="1">AVERAGE(OFFSET($AM$3,0,0,'Données projet'!$E$10+1,1))-AVERAGE(OFFSET($H$3,0,0,'Données projet'!$E$10+1,1))</f>
        <v>210.07838338464626</v>
      </c>
      <c r="AO76" s="59">
        <f t="shared" si="90"/>
        <v>241.76003724236273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2.2618138939830388</v>
      </c>
      <c r="AV76" s="21">
        <f>EXP(-LN(2)/25)*AV75+(1-EXP(-LN(2)/25))/(LN(2)/25)*Calculateur!AQ76*Calculateur!AS76*VLOOKUP('Données projet'!$B$10,Paramètres!$A$1:$I$89,3,0)*0.475*44/12</f>
        <v>4.1160924064440199</v>
      </c>
      <c r="AW76" s="21">
        <f>EXP(-LN(2)/2)*AW75+(1-EXP(-LN(2)/2))/(LN(2)/2)*AQ76*AT76*VLOOKUP('Données projet'!$B$10,Paramètres!$A$1:$I$89,3,0)*0.475*44/12</f>
        <v>5.3851616614085675E-6</v>
      </c>
      <c r="AX76" s="21">
        <f t="shared" si="60"/>
        <v>6.3779116855887201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6.1</v>
      </c>
      <c r="BD76" s="12">
        <f>IF('Données projet'!$A$88&gt;35,BD75+BC76-BL75,IF(A76&lt;'Données projet'!$A$88,$BA$205^A76,IF(A76='Données projet'!$A$88,'Données projet'!$B$88,BD75+BC76-BL75)))</f>
        <v>330.30000000000007</v>
      </c>
      <c r="BE76" s="13">
        <f>BD76*VLOOKUP('Données projet'!$B$11,Paramètres!$A$1:$I$89,3,0)*VLOOKUP('Données projet'!$B$11,Paramètres!$A$1:$I$89,5,0)</f>
        <v>180.34380000000004</v>
      </c>
      <c r="BF76" s="13">
        <f t="shared" si="91"/>
        <v>45.398666835773618</v>
      </c>
      <c r="BG76" s="20">
        <f t="shared" si="61"/>
        <v>393.16812973897248</v>
      </c>
      <c r="BH76" s="59">
        <f t="shared" si="62"/>
        <v>686.5014630723058</v>
      </c>
      <c r="BI76" s="59">
        <f ca="1">AVERAGE(OFFSET($BH$3,0,0,'Données projet'!$E$11+1,1))-AVERAGE(OFFSET($H$3,0,0,'Données projet'!$E$11+1,1))</f>
        <v>168.72306536277267</v>
      </c>
      <c r="BJ76" s="59">
        <f t="shared" si="92"/>
        <v>203.35476578922339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1.2981755870927005</v>
      </c>
      <c r="BQ76" s="21">
        <f>EXP(-LN(2)/25)*BQ75+(1-EXP(-LN(2)/25))/(LN(2)/25)*Calculateur!BL76*Calculateur!BN76*VLOOKUP('Données projet'!$B$11,Paramètres!$A$1:$I$89,3,0)*0.475*44/12</f>
        <v>6.9770738948335573</v>
      </c>
      <c r="BR76" s="21">
        <f>EXP(-LN(2)/2)*BR75+(1-EXP(-LN(2)/2))/(LN(2)/2)*BL76*BO76*VLOOKUP('Données projet'!$B$11,Paramètres!$A$1:$I$89,3,0)*0.475*44/12</f>
        <v>6.7515362414925879E-6</v>
      </c>
      <c r="BS76" s="22">
        <f t="shared" si="63"/>
        <v>8.2752562334624997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12.913461538461533</v>
      </c>
      <c r="BY76" s="12">
        <f>IF('Données projet'!$A$114&gt;35,BY75+BX76-CG75,IF(A76&lt;'Données projet'!$A$114,$BV$205^A76,IF(A76='Données projet'!$A$114,'Données projet'!$B$114,BY75+BX76-CG75)))</f>
        <v>359.38076923076932</v>
      </c>
      <c r="BZ76" s="13">
        <f>BY76*VLOOKUP('Données projet'!$B$12,Paramètres!$A$1:$I$89,3,0)*VLOOKUP('Données projet'!$B$12,Paramètres!$A$1:$I$89,5,0)</f>
        <v>168.19020000000003</v>
      </c>
      <c r="CA76" s="13">
        <f t="shared" si="93"/>
        <v>42.684436447240749</v>
      </c>
      <c r="CB76" s="20">
        <f t="shared" si="64"/>
        <v>367.27332514561107</v>
      </c>
      <c r="CC76" s="59">
        <f t="shared" si="65"/>
        <v>660.60665847894438</v>
      </c>
      <c r="CD76" s="59">
        <f ca="1">AVERAGE(OFFSET($CC$3,0,0,'Données projet'!$E$12+1,1))-AVERAGE(OFFSET($H$3,0,0,'Données projet'!$E$12+1,1))</f>
        <v>158.58786357608489</v>
      </c>
      <c r="CE76" s="59">
        <f t="shared" si="94"/>
        <v>163.20074068819849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3.1</v>
      </c>
      <c r="CT76" s="12">
        <f>IF('Données projet'!$A$140&gt;35,CT75+CS76-DB75,IF(A76&lt;'Données projet'!$A$140,$CQ$205^A76,IF(A76='Données projet'!$A$140,'Données projet'!$B$140,CT75+CS76-DB75)))</f>
        <v>262.2999999999999</v>
      </c>
      <c r="CU76" s="17">
        <f>CT76*VLOOKUP('Données projet'!$B$13,Paramètres!$A$1:$I$89,3,0)*VLOOKUP('Données projet'!$B$13,Paramètres!$A$1:$I$89,5,0)</f>
        <v>192.31835999999993</v>
      </c>
      <c r="CV76" s="13">
        <f t="shared" si="95"/>
        <v>48.052146980733127</v>
      </c>
      <c r="CW76" s="20">
        <f t="shared" si="67"/>
        <v>418.6452996581101</v>
      </c>
      <c r="CX76" s="59">
        <f t="shared" si="68"/>
        <v>711.97863299144342</v>
      </c>
      <c r="CY76" s="59">
        <f ca="1">AVERAGE(OFFSET($CX$3,0,0,'Données projet'!$E$13+1,1))-AVERAGE(OFFSET($H$3,0,0,'Données projet'!$E$13+1,1))</f>
        <v>178.12968684094687</v>
      </c>
      <c r="CZ76" s="59">
        <f t="shared" si="96"/>
        <v>219.36004077210373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2.333820859874653</v>
      </c>
      <c r="DH76" s="21">
        <f>EXP(-LN(2)/2)*DH75+(1-EXP(-LN(2)/2))/(LN(2)/2)*DB76*DE76*VLOOKUP('Données projet'!$B$13,Paramètres!$A$1:$I$89,3,0)*0.475*44/12</f>
        <v>3.3439358828218106E-6</v>
      </c>
      <c r="DI76" s="22">
        <f t="shared" si="69"/>
        <v>2.3338242038105359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-8.5265128291212022E-14</v>
      </c>
      <c r="DP76" s="17">
        <f>DO76*VLOOKUP('Données projet'!$B$14,Paramètres!$A$1:$I$89,3,0)*VLOOKUP('Données projet'!$B$14,Paramètres!$A$1:$I$89,5,0)</f>
        <v>-7.7147888077888636E-14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225.28075317732998</v>
      </c>
      <c r="DU76" s="59">
        <f t="shared" si="98"/>
        <v>358.43407531256207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0.95740101684131074</v>
      </c>
      <c r="EB76" s="21">
        <f>EXP(-LN(2)/25)*EB75+(1-EXP(-LN(2)/25))/(LN(2)/25)*Calculateur!DW76*Calculateur!DY76*VLOOKUP('Données projet'!$B$14,Paramètres!$A$1:$I$89,3,0)*0.475*44/12</f>
        <v>2.5109722260890543</v>
      </c>
      <c r="EC76" s="21">
        <f>EXP(-LN(2)/2)*EC75+(1-EXP(-LN(2)/2))/(LN(2)/2)*DW76*DZ76*VLOOKUP('Données projet'!$B$14,Paramètres!$A$1:$I$89,3,0)*0.475*44/12</f>
        <v>1.4882966340520647E-6</v>
      </c>
      <c r="ED76" s="22">
        <f t="shared" si="72"/>
        <v>3.4683747312269992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8.6875</v>
      </c>
      <c r="EJ76" s="12">
        <f>IF('Données projet'!$A$192&gt;35,EJ75+EI76-ER75,IF(A76&lt;'Données projet'!$A$192,$EG$205^A76,IF(A76='Données projet'!$A$192,'Données projet'!$B$192,EJ75+EI76-ER75)))</f>
        <v>280.96634615384602</v>
      </c>
      <c r="EK76" s="17">
        <f>EJ76*VLOOKUP('Données projet'!$B$15,Paramètres!$A$1:$I$89,3,0)*VLOOKUP('Données projet'!$B$15,Paramètres!$A$1:$I$89,5,0)</f>
        <v>284.89987499999989</v>
      </c>
      <c r="EL76" s="13">
        <f t="shared" si="99"/>
        <v>68.001445514261732</v>
      </c>
      <c r="EM76" s="20">
        <f t="shared" si="73"/>
        <v>614.63646656233891</v>
      </c>
      <c r="EN76" s="59">
        <f t="shared" si="74"/>
        <v>907.96979989567217</v>
      </c>
      <c r="EO76" s="59">
        <f ca="1">AVERAGE(OFFSET($EN$3,0,0,'Données projet'!$E$15+1,1))-AVERAGE(OFFSET($H$3,0,0,'Données projet'!$E$15+1,1))</f>
        <v>363.98308691765931</v>
      </c>
      <c r="EP76" s="59">
        <f t="shared" si="100"/>
        <v>181.47089407988187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8.6875</v>
      </c>
      <c r="FE76" s="12">
        <f>IF('Données projet'!$A$218&gt;35,FE75+FD76-FM75,IF(A76&lt;'Données projet'!$A$218,$FB$205^A76,IF(A76='Données projet'!$A$218,'Données projet'!$B$218,FE75+FD76-FM75)))</f>
        <v>280.96634615384602</v>
      </c>
      <c r="FF76" s="17">
        <f>FE76*VLOOKUP('Données projet'!$B$16,Paramètres!$A$1:$I$89,3,0)*VLOOKUP('Données projet'!$B$16,Paramètres!$A$1:$I$89,5,0)</f>
        <v>302.43217499999986</v>
      </c>
      <c r="FG76" s="13">
        <f t="shared" si="101"/>
        <v>71.686100917791961</v>
      </c>
      <c r="FH76" s="20">
        <f t="shared" si="76"/>
        <v>651.58933055682076</v>
      </c>
      <c r="FI76" s="59">
        <f t="shared" si="77"/>
        <v>944.92266389015413</v>
      </c>
      <c r="FJ76" s="59">
        <f ca="1">AVERAGE(OFFSET($FI$3,0,0,'Données projet'!$E$16+1,1))-AVERAGE(OFFSET($H$3,0,0,'Données projet'!$E$16+1,1))</f>
        <v>395.30533160963489</v>
      </c>
      <c r="FK76" s="59">
        <f t="shared" si="102"/>
        <v>196.02102977695085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3.7</v>
      </c>
      <c r="FZ76" s="12">
        <f>IF('Données projet'!$A$244&gt;35,FZ75+FY76-GH75,IF(A76&lt;'Données projet'!$A$244,$FW$205^A76,IF(A76='Données projet'!$A$244,'Données projet'!$B$244,FZ75+FY76-GH75)))</f>
        <v>215.09999999999994</v>
      </c>
      <c r="GA76" s="17">
        <f>FZ76*VLOOKUP('Données projet'!$B$17,Paramètres!$A$1:$I$89,3,0)*VLOOKUP('Données projet'!$B$17,Paramètres!$A$1:$I$89,5,0)</f>
        <v>224.82251999999994</v>
      </c>
      <c r="GB76" s="13">
        <f t="shared" si="103"/>
        <v>55.161710193235308</v>
      </c>
      <c r="GC76" s="20">
        <f t="shared" si="79"/>
        <v>487.63920091988467</v>
      </c>
      <c r="GD76" s="59">
        <f t="shared" si="80"/>
        <v>780.97253425321799</v>
      </c>
      <c r="GE76" s="59">
        <f ca="1">AVERAGE(OFFSET($GD$3,0,0,'Données projet'!$E$17+1,1))-AVERAGE(OFFSET($H$3,0,0,'Données projet'!$E$17+1,1))</f>
        <v>269.41185214595805</v>
      </c>
      <c r="GF76" s="59">
        <f t="shared" si="104"/>
        <v>299.70148160580993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2.7060987660154221</v>
      </c>
      <c r="GM76" s="21">
        <f>EXP(-LN(2)/25)*GM75+(1-EXP(-LN(2)/25))/(LN(2)/25)*Calculateur!GH76*Calculateur!GJ76*VLOOKUP('Données projet'!$B$17,Paramètres!$A$1:$I$89,3,0)*0.475*44/12</f>
        <v>4.9246105577098103</v>
      </c>
      <c r="GN76" s="21">
        <f>EXP(-LN(2)/2)*GN75+(1-EXP(-LN(2)/2))/(LN(2)/2)*GH76*GK76*VLOOKUP('Données projet'!$B$17,Paramètres!$A$1:$I$89,3,0)*0.475*44/12</f>
        <v>6.4429612734709482E-6</v>
      </c>
      <c r="GO76" s="21">
        <f t="shared" si="81"/>
        <v>7.6307157666865066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3.1</v>
      </c>
      <c r="GU76" s="12">
        <f>IF('Données projet'!$A$270&gt;35,GU75+GT76-HC75,IF(A76&lt;'Données projet'!$A$270,$GR$205^A76,IF(A76='Données projet'!$A$270,'Données projet'!$B$270,GU75+GT76-HC75)))</f>
        <v>262.2999999999999</v>
      </c>
      <c r="GV76" s="17">
        <f>GU76*VLOOKUP('Données projet'!$B$18,Paramètres!$A$1:$I$89,3,0)*VLOOKUP('Données projet'!$B$18,Paramètres!$A$1:$I$89,5,0)</f>
        <v>229.14527999999993</v>
      </c>
      <c r="GW76" s="13">
        <f t="shared" si="105"/>
        <v>56.097831057350788</v>
      </c>
      <c r="GX76" s="20">
        <f t="shared" si="82"/>
        <v>496.79841842488571</v>
      </c>
      <c r="GY76" s="59">
        <f t="shared" si="83"/>
        <v>790.13175175821902</v>
      </c>
      <c r="GZ76" s="59">
        <f ca="1">AVERAGE(OFFSET($GY$3,0,0,'Données projet'!$E$18+1,1))-AVERAGE(OFFSET($H$3,0,0,'Données projet'!$E$18+1,1))</f>
        <v>226.35975611953359</v>
      </c>
      <c r="HA76" s="59">
        <f t="shared" si="106"/>
        <v>271.65876694892461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3.4274024305333861</v>
      </c>
      <c r="HI76" s="21">
        <f>EXP(-LN(2)/2)*HI75+(1-EXP(-LN(2)/2))/(LN(2)/2)*HC76*HF76*VLOOKUP('Données projet'!$B$18,Paramètres!$A$1:$I$89,3,0)*0.475*44/12</f>
        <v>3.9842640305961988E-6</v>
      </c>
      <c r="HJ76" s="22">
        <f t="shared" si="84"/>
        <v>3.4274064147974168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289.65384615384613</v>
      </c>
      <c r="L77" s="12">
        <f>VLOOKUP(A77,'Données projet'!$A$35:$I$55,9,0)</f>
        <v>8.6875</v>
      </c>
      <c r="M77" s="12">
        <f t="array" ref="M77">INDEX(L:L,MIN(IF(ISNUMBER(L77:L273),ROW(L77:L273),"")))</f>
        <v>8.6875</v>
      </c>
      <c r="N77" s="13">
        <f>IF('Données projet'!$A$36&gt;35,N76+M77-V76,IF(A77&lt;'Données projet'!$A$36,$K$205^A77,IF(A77='Données projet'!$A$36,'Données projet'!$B$36,N76+M77-V76)))</f>
        <v>289.65384615384602</v>
      </c>
      <c r="O77" s="13">
        <f>N77*VLOOKUP('Données projet'!$B$9,Paramètres!$A$1:$I$89,3,0)*VLOOKUP('Données projet'!$B$9,Paramètres!$A$1:$I$89,5,0)</f>
        <v>262.07879999999989</v>
      </c>
      <c r="P77" s="13">
        <f t="shared" si="87"/>
        <v>63.165288525021069</v>
      </c>
      <c r="Q77" s="20">
        <f t="shared" si="54"/>
        <v>566.46678751441152</v>
      </c>
      <c r="R77" s="59">
        <f t="shared" si="55"/>
        <v>859.80012084774489</v>
      </c>
      <c r="S77" s="59">
        <f ca="1">AVERAGE(OFFSET($R$3,0,0,'Données projet'!$E$9+1,1))-AVERAGE(OFFSET($H$3,0,0,'Données projet'!$E$9+1,1))</f>
        <v>309.07357540707869</v>
      </c>
      <c r="T77" s="59">
        <f t="shared" si="88"/>
        <v>155.9593924683299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52.737179487179482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3.7</v>
      </c>
      <c r="AI77" s="13">
        <f>IF('Données projet'!$A$62&gt;35,AI76+AH77-AQ76,IF(A77&lt;'Données projet'!$A$62,$AF$205^A77,IF(A77='Données projet'!$A$62,'Données projet'!$B$62,AI76+AH77-AQ76)))</f>
        <v>218.79999999999993</v>
      </c>
      <c r="AJ77" s="13">
        <f>AI77*VLOOKUP('Données projet'!$B$10,Paramètres!$A$1:$I$89,3,0)*VLOOKUP('Données projet'!$B$10,Paramètres!$A$1:$I$89,5,0)</f>
        <v>191.14367999999996</v>
      </c>
      <c r="AK77" s="13">
        <f t="shared" si="89"/>
        <v>47.792715878069544</v>
      </c>
      <c r="AL77" s="20">
        <f t="shared" si="58"/>
        <v>416.14755615430437</v>
      </c>
      <c r="AM77" s="59">
        <f t="shared" si="59"/>
        <v>709.48088948763768</v>
      </c>
      <c r="AN77" s="59">
        <f ca="1">AVERAGE(OFFSET($AM$3,0,0,'Données projet'!$E$10+1,1))-AVERAGE(OFFSET($H$3,0,0,'Données projet'!$E$10+1,1))</f>
        <v>210.07838338464626</v>
      </c>
      <c r="AO77" s="59">
        <f t="shared" si="90"/>
        <v>241.76003724236273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2.2174611030922855</v>
      </c>
      <c r="AV77" s="21">
        <f>EXP(-LN(2)/25)*AV76+(1-EXP(-LN(2)/25))/(LN(2)/25)*Calculateur!AQ77*Calculateur!AS77*VLOOKUP('Données projet'!$B$10,Paramètres!$A$1:$I$89,3,0)*0.475*44/12</f>
        <v>4.0035376431339156</v>
      </c>
      <c r="AW77" s="21">
        <f>EXP(-LN(2)/2)*AW76+(1-EXP(-LN(2)/2))/(LN(2)/2)*AQ77*AT77*VLOOKUP('Données projet'!$B$10,Paramètres!$A$1:$I$89,3,0)*0.475*44/12</f>
        <v>3.8078843285678131E-6</v>
      </c>
      <c r="AX77" s="21">
        <f t="shared" si="60"/>
        <v>6.2210025541105294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6.1</v>
      </c>
      <c r="BD77" s="12">
        <f>IF('Données projet'!$A$88&gt;35,BD76+BC77-BL76,IF(A77&lt;'Données projet'!$A$88,$BA$205^A77,IF(A77='Données projet'!$A$88,'Données projet'!$B$88,BD76+BC77-BL76)))</f>
        <v>336.40000000000009</v>
      </c>
      <c r="BE77" s="13">
        <f>BD77*VLOOKUP('Données projet'!$B$11,Paramètres!$A$1:$I$89,3,0)*VLOOKUP('Données projet'!$B$11,Paramètres!$A$1:$I$89,5,0)</f>
        <v>183.67440000000005</v>
      </c>
      <c r="BF77" s="13">
        <f t="shared" si="91"/>
        <v>46.138708549418716</v>
      </c>
      <c r="BG77" s="20">
        <f t="shared" si="61"/>
        <v>400.25783072357098</v>
      </c>
      <c r="BH77" s="59">
        <f t="shared" si="62"/>
        <v>693.59116405690429</v>
      </c>
      <c r="BI77" s="59">
        <f ca="1">AVERAGE(OFFSET($BH$3,0,0,'Données projet'!$E$11+1,1))-AVERAGE(OFFSET($H$3,0,0,'Données projet'!$E$11+1,1))</f>
        <v>168.72306536277267</v>
      </c>
      <c r="BJ77" s="59">
        <f t="shared" si="92"/>
        <v>203.35476578922339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1.2727191556387361</v>
      </c>
      <c r="BQ77" s="21">
        <f>EXP(-LN(2)/25)*BQ76+(1-EXP(-LN(2)/25))/(LN(2)/25)*Calculateur!BL77*Calculateur!BN77*VLOOKUP('Données projet'!$B$11,Paramètres!$A$1:$I$89,3,0)*0.475*44/12</f>
        <v>6.7862854422709642</v>
      </c>
      <c r="BR77" s="21">
        <f>EXP(-LN(2)/2)*BR76+(1-EXP(-LN(2)/2))/(LN(2)/2)*BL77*BO77*VLOOKUP('Données projet'!$B$11,Paramètres!$A$1:$I$89,3,0)*0.475*44/12</f>
        <v>4.7740570597861448E-6</v>
      </c>
      <c r="BS77" s="22">
        <f t="shared" si="63"/>
        <v>8.0590093719667593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12.913461538461533</v>
      </c>
      <c r="BY77" s="12">
        <f>IF('Données projet'!$A$114&gt;35,BY76+BX77-CG76,IF(A77&lt;'Données projet'!$A$114,$BV$205^A77,IF(A77='Données projet'!$A$114,'Données projet'!$B$114,BY76+BX77-CG76)))</f>
        <v>372.29423076923086</v>
      </c>
      <c r="BZ77" s="13">
        <f>BY77*VLOOKUP('Données projet'!$B$12,Paramètres!$A$1:$I$89,3,0)*VLOOKUP('Données projet'!$B$12,Paramètres!$A$1:$I$89,5,0)</f>
        <v>174.23370000000006</v>
      </c>
      <c r="CA77" s="13">
        <f t="shared" si="93"/>
        <v>44.036869769028705</v>
      </c>
      <c r="CB77" s="20">
        <f t="shared" si="64"/>
        <v>380.15457568105836</v>
      </c>
      <c r="CC77" s="59">
        <f t="shared" si="65"/>
        <v>673.48790901439168</v>
      </c>
      <c r="CD77" s="59">
        <f ca="1">AVERAGE(OFFSET($CC$3,0,0,'Données projet'!$E$12+1,1))-AVERAGE(OFFSET($H$3,0,0,'Données projet'!$E$12+1,1))</f>
        <v>158.58786357608489</v>
      </c>
      <c r="CE77" s="59">
        <f t="shared" si="94"/>
        <v>163.20074068819849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3.1</v>
      </c>
      <c r="CT77" s="12">
        <f>IF('Données projet'!$A$140&gt;35,CT76+CS77-DB76,IF(A77&lt;'Données projet'!$A$140,$CQ$205^A77,IF(A77='Données projet'!$A$140,'Données projet'!$B$140,CT76+CS77-DB76)))</f>
        <v>265.39999999999992</v>
      </c>
      <c r="CU77" s="17">
        <f>CT77*VLOOKUP('Données projet'!$B$13,Paramètres!$A$1:$I$89,3,0)*VLOOKUP('Données projet'!$B$13,Paramètres!$A$1:$I$89,5,0)</f>
        <v>194.59127999999993</v>
      </c>
      <c r="CV77" s="13">
        <f t="shared" si="95"/>
        <v>48.553604775680185</v>
      </c>
      <c r="CW77" s="20">
        <f t="shared" si="67"/>
        <v>423.47734098430948</v>
      </c>
      <c r="CX77" s="59">
        <f t="shared" si="68"/>
        <v>716.81067431764279</v>
      </c>
      <c r="CY77" s="59">
        <f ca="1">AVERAGE(OFFSET($CX$3,0,0,'Données projet'!$E$13+1,1))-AVERAGE(OFFSET($H$3,0,0,'Données projet'!$E$13+1,1))</f>
        <v>178.12968684094687</v>
      </c>
      <c r="CZ77" s="59">
        <f t="shared" si="96"/>
        <v>219.36004077210373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2.2700024057310757</v>
      </c>
      <c r="DH77" s="21">
        <f>EXP(-LN(2)/2)*DH76+(1-EXP(-LN(2)/2))/(LN(2)/2)*DB77*DE77*VLOOKUP('Données projet'!$B$13,Paramètres!$A$1:$I$89,3,0)*0.475*44/12</f>
        <v>2.3645197385963267E-6</v>
      </c>
      <c r="DI77" s="22">
        <f t="shared" si="69"/>
        <v>2.2700047702508144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-8.5265128291212022E-14</v>
      </c>
      <c r="DP77" s="17">
        <f>DO77*VLOOKUP('Données projet'!$B$14,Paramètres!$A$1:$I$89,3,0)*VLOOKUP('Données projet'!$B$14,Paramètres!$A$1:$I$89,5,0)</f>
        <v>-7.7147888077888636E-14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225.28075317732998</v>
      </c>
      <c r="DU77" s="59">
        <f t="shared" si="98"/>
        <v>358.43407531256207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0.93862696685801195</v>
      </c>
      <c r="EB77" s="21">
        <f>EXP(-LN(2)/25)*EB76+(1-EXP(-LN(2)/25))/(LN(2)/25)*Calculateur!DW77*Calculateur!DY77*VLOOKUP('Données projet'!$B$14,Paramètres!$A$1:$I$89,3,0)*0.475*44/12</f>
        <v>2.4423095585203587</v>
      </c>
      <c r="EC77" s="21">
        <f>EXP(-LN(2)/2)*EC76+(1-EXP(-LN(2)/2))/(LN(2)/2)*DW77*DZ77*VLOOKUP('Données projet'!$B$14,Paramètres!$A$1:$I$89,3,0)*0.475*44/12</f>
        <v>1.0523846423553285E-6</v>
      </c>
      <c r="ED77" s="22">
        <f t="shared" si="72"/>
        <v>3.3809375777630133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>
        <f>VLOOKUP(A77,'Données projet'!$A$191:$I$211,2,0)</f>
        <v>289.65384615384613</v>
      </c>
      <c r="EH77" s="12">
        <f>VLOOKUP(A77,'Données projet'!$A$191:$I$211,9,0)</f>
        <v>8.6875</v>
      </c>
      <c r="EI77" s="12">
        <f t="array" ref="EI77">INDEX(EH:EH,MIN(IF(ISNUMBER(EH77:EH273),ROW(EH77:EH273),"")))</f>
        <v>8.6875</v>
      </c>
      <c r="EJ77" s="12">
        <f>IF('Données projet'!$A$192&gt;35,EJ76+EI77-ER76,IF(A77&lt;'Données projet'!$A$192,$EG$205^A77,IF(A77='Données projet'!$A$192,'Données projet'!$B$192,EJ76+EI77-ER76)))</f>
        <v>289.65384615384602</v>
      </c>
      <c r="EK77" s="17">
        <f>EJ77*VLOOKUP('Données projet'!$B$15,Paramètres!$A$1:$I$89,3,0)*VLOOKUP('Données projet'!$B$15,Paramètres!$A$1:$I$89,5,0)</f>
        <v>293.70899999999989</v>
      </c>
      <c r="EL77" s="13">
        <f t="shared" si="99"/>
        <v>69.856005956199439</v>
      </c>
      <c r="EM77" s="20">
        <f t="shared" si="73"/>
        <v>633.20905204038047</v>
      </c>
      <c r="EN77" s="59">
        <f t="shared" si="74"/>
        <v>926.54238537371384</v>
      </c>
      <c r="EO77" s="59">
        <f ca="1">AVERAGE(OFFSET($EN$3,0,0,'Données projet'!$E$15+1,1))-AVERAGE(OFFSET($H$3,0,0,'Données projet'!$E$15+1,1))</f>
        <v>363.98308691765931</v>
      </c>
      <c r="EP77" s="59">
        <f t="shared" si="100"/>
        <v>181.47089407988187</v>
      </c>
      <c r="EQ77" s="15">
        <f>IF(ISNA(VLOOKUP(A77,'Données projet'!$A$191:$I$211,3,0)),0,VLOOKUP(A77,'Données projet'!$A$191:$I$211,3,0))</f>
        <v>6</v>
      </c>
      <c r="ER77" s="15">
        <f>IF(ISNA(VLOOKUP(A77,'Données projet'!$A$191:$I$211,4,0)),0,VLOOKUP(A77,'Données projet'!$A$191:$I$211,4,0))</f>
        <v>52.737179487179482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>
        <f>VLOOKUP(A77,'Données projet'!$A$217:$I$237,2,0)</f>
        <v>289.65384615384613</v>
      </c>
      <c r="FC77" s="12">
        <f>VLOOKUP(A77,'Données projet'!$A$217:$I$237,9,0)</f>
        <v>8.6875</v>
      </c>
      <c r="FD77" s="12">
        <f t="array" ref="FD77">INDEX(FC:FC,MIN(IF(ISNUMBER(FC77:FC273),ROW(FC77:FC273),"")))</f>
        <v>8.6875</v>
      </c>
      <c r="FE77" s="12">
        <f>IF('Données projet'!$A$218&gt;35,FE76+FD77-FM76,IF(A77&lt;'Données projet'!$A$218,$FB$205^A77,IF(A77='Données projet'!$A$218,'Données projet'!$B$218,FE76+FD77-FM76)))</f>
        <v>289.65384615384602</v>
      </c>
      <c r="FF77" s="17">
        <f>FE77*VLOOKUP('Données projet'!$B$16,Paramètres!$A$1:$I$89,3,0)*VLOOKUP('Données projet'!$B$16,Paramètres!$A$1:$I$89,5,0)</f>
        <v>311.78339999999986</v>
      </c>
      <c r="FG77" s="13">
        <f t="shared" si="101"/>
        <v>73.64115063759553</v>
      </c>
      <c r="FH77" s="20">
        <f t="shared" si="76"/>
        <v>671.28109236047862</v>
      </c>
      <c r="FI77" s="59">
        <f t="shared" si="77"/>
        <v>964.61442569381188</v>
      </c>
      <c r="FJ77" s="59">
        <f ca="1">AVERAGE(OFFSET($FI$3,0,0,'Données projet'!$E$16+1,1))-AVERAGE(OFFSET($H$3,0,0,'Données projet'!$E$16+1,1))</f>
        <v>395.30533160963489</v>
      </c>
      <c r="FK77" s="59">
        <f t="shared" si="102"/>
        <v>196.02102977695085</v>
      </c>
      <c r="FL77" s="15">
        <f>IF(ISNA(VLOOKUP(A77,'Données projet'!$A$217:$I$237,3,0)),0,VLOOKUP(A77,'Données projet'!$A$217:$I$237,3,0))</f>
        <v>6</v>
      </c>
      <c r="FM77" s="15">
        <f>IF(ISNA(VLOOKUP(A77,'Données projet'!$A$217:$I$237,4,0)),0,VLOOKUP(A77,'Données projet'!$A$217:$I$237,4,0))</f>
        <v>52.737179487179482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3.7</v>
      </c>
      <c r="FZ77" s="12">
        <f>IF('Données projet'!$A$244&gt;35,FZ76+FY77-GH76,IF(A77&lt;'Données projet'!$A$244,$FW$205^A77,IF(A77='Données projet'!$A$244,'Données projet'!$B$244,FZ76+FY77-GH76)))</f>
        <v>218.79999999999993</v>
      </c>
      <c r="GA77" s="17">
        <f>FZ77*VLOOKUP('Données projet'!$B$17,Paramètres!$A$1:$I$89,3,0)*VLOOKUP('Données projet'!$B$17,Paramètres!$A$1:$I$89,5,0)</f>
        <v>228.68975999999992</v>
      </c>
      <c r="GB77" s="13">
        <f t="shared" si="103"/>
        <v>55.999282881040642</v>
      </c>
      <c r="GC77" s="20">
        <f t="shared" si="79"/>
        <v>495.83341635114562</v>
      </c>
      <c r="GD77" s="59">
        <f t="shared" si="80"/>
        <v>789.16674968447887</v>
      </c>
      <c r="GE77" s="59">
        <f ca="1">AVERAGE(OFFSET($GD$3,0,0,'Données projet'!$E$17+1,1))-AVERAGE(OFFSET($H$3,0,0,'Données projet'!$E$17+1,1))</f>
        <v>269.41185214595805</v>
      </c>
      <c r="GF77" s="59">
        <f t="shared" si="104"/>
        <v>299.70148160580993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2.6530338197711281</v>
      </c>
      <c r="GM77" s="21">
        <f>EXP(-LN(2)/25)*GM76+(1-EXP(-LN(2)/25))/(LN(2)/25)*Calculateur!GH77*Calculateur!GJ77*VLOOKUP('Données projet'!$B$17,Paramètres!$A$1:$I$89,3,0)*0.475*44/12</f>
        <v>4.7899468230352218</v>
      </c>
      <c r="GN77" s="21">
        <f>EXP(-LN(2)/2)*GN76+(1-EXP(-LN(2)/2))/(LN(2)/2)*GH77*GK77*VLOOKUP('Données projet'!$B$17,Paramètres!$A$1:$I$89,3,0)*0.475*44/12</f>
        <v>4.5558616073936213E-6</v>
      </c>
      <c r="GO77" s="21">
        <f t="shared" si="81"/>
        <v>7.4429851986679569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3.1</v>
      </c>
      <c r="GU77" s="12">
        <f>IF('Données projet'!$A$270&gt;35,GU76+GT77-HC76,IF(A77&lt;'Données projet'!$A$270,$GR$205^A77,IF(A77='Données projet'!$A$270,'Données projet'!$B$270,GU76+GT77-HC76)))</f>
        <v>265.39999999999992</v>
      </c>
      <c r="GV77" s="17">
        <f>GU77*VLOOKUP('Données projet'!$B$18,Paramètres!$A$1:$I$89,3,0)*VLOOKUP('Données projet'!$B$18,Paramètres!$A$1:$I$89,5,0)</f>
        <v>231.85343999999995</v>
      </c>
      <c r="GW77" s="13">
        <f t="shared" si="105"/>
        <v>56.683251198403141</v>
      </c>
      <c r="GX77" s="20">
        <f t="shared" si="82"/>
        <v>502.53473717055203</v>
      </c>
      <c r="GY77" s="59">
        <f t="shared" si="83"/>
        <v>795.86807050388529</v>
      </c>
      <c r="GZ77" s="59">
        <f ca="1">AVERAGE(OFFSET($GY$3,0,0,'Données projet'!$E$18+1,1))-AVERAGE(OFFSET($H$3,0,0,'Données projet'!$E$18+1,1))</f>
        <v>226.35975611953359</v>
      </c>
      <c r="HA77" s="59">
        <f t="shared" si="106"/>
        <v>271.65876694892461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3.3336799308311904</v>
      </c>
      <c r="HI77" s="21">
        <f>EXP(-LN(2)/2)*HI76+(1-EXP(-LN(2)/2))/(LN(2)/2)*HC77*HF77*VLOOKUP('Données projet'!$B$18,Paramètres!$A$1:$I$89,3,0)*0.475*44/12</f>
        <v>2.8173001140722183E-6</v>
      </c>
      <c r="HJ77" s="22">
        <f t="shared" si="84"/>
        <v>3.3336827481313045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8.1746794871794854</v>
      </c>
      <c r="N78" s="13">
        <f>IF('Données projet'!$A$36&gt;35,N77+M78-V77,IF(A78&lt;'Données projet'!$A$36,$K$205^A78,IF(A78='Données projet'!$A$36,'Données projet'!$B$36,N77+M78-V77)))</f>
        <v>245.09134615384605</v>
      </c>
      <c r="O78" s="13">
        <f>N78*VLOOKUP('Données projet'!$B$9,Paramètres!$A$1:$I$89,3,0)*VLOOKUP('Données projet'!$B$9,Paramètres!$A$1:$I$89,5,0)</f>
        <v>221.7586499999999</v>
      </c>
      <c r="P78" s="13">
        <f t="shared" si="87"/>
        <v>54.49694230414304</v>
      </c>
      <c r="Q78" s="20">
        <f t="shared" si="54"/>
        <v>481.14515659638232</v>
      </c>
      <c r="R78" s="59">
        <f t="shared" si="55"/>
        <v>774.47848992971558</v>
      </c>
      <c r="S78" s="59">
        <f ca="1">AVERAGE(OFFSET($R$3,0,0,'Données projet'!$E$9+1,1))-AVERAGE(OFFSET($H$3,0,0,'Données projet'!$E$9+1,1))</f>
        <v>309.07357540707869</v>
      </c>
      <c r="T78" s="59">
        <f t="shared" si="88"/>
        <v>155.9593924683299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3.7</v>
      </c>
      <c r="AI78" s="13">
        <f>IF('Données projet'!$A$62&gt;35,AI77+AH78-AQ77,IF(A78&lt;'Données projet'!$A$62,$AF$205^A78,IF(A78='Données projet'!$A$62,'Données projet'!$B$62,AI77+AH78-AQ77)))</f>
        <v>222.49999999999991</v>
      </c>
      <c r="AJ78" s="13">
        <f>AI78*VLOOKUP('Données projet'!$B$10,Paramètres!$A$1:$I$89,3,0)*VLOOKUP('Données projet'!$B$10,Paramètres!$A$1:$I$89,5,0)</f>
        <v>194.37599999999995</v>
      </c>
      <c r="AK78" s="13">
        <f t="shared" si="89"/>
        <v>48.506138465833089</v>
      </c>
      <c r="AL78" s="20">
        <f t="shared" si="58"/>
        <v>423.01972449465916</v>
      </c>
      <c r="AM78" s="59">
        <f t="shared" si="59"/>
        <v>716.35305782799242</v>
      </c>
      <c r="AN78" s="59">
        <f ca="1">AVERAGE(OFFSET($AM$3,0,0,'Données projet'!$E$10+1,1))-AVERAGE(OFFSET($H$3,0,0,'Données projet'!$E$10+1,1))</f>
        <v>210.07838338464626</v>
      </c>
      <c r="AO78" s="59">
        <f t="shared" si="90"/>
        <v>241.76003724236273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2.1739780433783684</v>
      </c>
      <c r="AV78" s="21">
        <f>EXP(-LN(2)/25)*AV77+(1-EXP(-LN(2)/25))/(LN(2)/25)*Calculateur!AQ78*Calculateur!AS78*VLOOKUP('Données projet'!$B$10,Paramètres!$A$1:$I$89,3,0)*0.475*44/12</f>
        <v>3.8940606957455244</v>
      </c>
      <c r="AW78" s="21">
        <f>EXP(-LN(2)/2)*AW77+(1-EXP(-LN(2)/2))/(LN(2)/2)*AQ78*AT78*VLOOKUP('Données projet'!$B$10,Paramètres!$A$1:$I$89,3,0)*0.475*44/12</f>
        <v>2.6925808307042842E-6</v>
      </c>
      <c r="AX78" s="21">
        <f t="shared" si="60"/>
        <v>6.0680414317047227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6.1</v>
      </c>
      <c r="BD78" s="12">
        <f>IF('Données projet'!$A$88&gt;35,BD77+BC78-BL77,IF(A78&lt;'Données projet'!$A$88,$BA$205^A78,IF(A78='Données projet'!$A$88,'Données projet'!$B$88,BD77+BC78-BL77)))</f>
        <v>342.50000000000011</v>
      </c>
      <c r="BE78" s="13">
        <f>BD78*VLOOKUP('Données projet'!$B$11,Paramètres!$A$1:$I$89,3,0)*VLOOKUP('Données projet'!$B$11,Paramètres!$A$1:$I$89,5,0)</f>
        <v>187.00500000000008</v>
      </c>
      <c r="BF78" s="13">
        <f t="shared" si="91"/>
        <v>46.877189812776606</v>
      </c>
      <c r="BG78" s="20">
        <f t="shared" si="61"/>
        <v>407.34481392391939</v>
      </c>
      <c r="BH78" s="59">
        <f t="shared" si="62"/>
        <v>700.6781472572527</v>
      </c>
      <c r="BI78" s="59">
        <f ca="1">AVERAGE(OFFSET($BH$3,0,0,'Données projet'!$E$11+1,1))-AVERAGE(OFFSET($H$3,0,0,'Données projet'!$E$11+1,1))</f>
        <v>168.72306536277267</v>
      </c>
      <c r="BJ78" s="59">
        <f t="shared" si="92"/>
        <v>203.35476578922339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1.2477619092786938</v>
      </c>
      <c r="BQ78" s="21">
        <f>EXP(-LN(2)/25)*BQ77+(1-EXP(-LN(2)/25))/(LN(2)/25)*Calculateur!BL78*Calculateur!BN78*VLOOKUP('Données projet'!$B$11,Paramètres!$A$1:$I$89,3,0)*0.475*44/12</f>
        <v>6.6007141099768232</v>
      </c>
      <c r="BR78" s="21">
        <f>EXP(-LN(2)/2)*BR77+(1-EXP(-LN(2)/2))/(LN(2)/2)*BL78*BO78*VLOOKUP('Données projet'!$B$11,Paramètres!$A$1:$I$89,3,0)*0.475*44/12</f>
        <v>3.375768120746294E-6</v>
      </c>
      <c r="BS78" s="22">
        <f t="shared" si="63"/>
        <v>7.848479395023638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12.913461538461533</v>
      </c>
      <c r="BY78" s="12">
        <f>IF('Données projet'!$A$114&gt;35,BY77+BX78-CG77,IF(A78&lt;'Données projet'!$A$114,$BV$205^A78,IF(A78='Données projet'!$A$114,'Données projet'!$B$114,BY77+BX78-CG77)))</f>
        <v>385.20769230769241</v>
      </c>
      <c r="BZ78" s="13">
        <f>BY78*VLOOKUP('Données projet'!$B$12,Paramètres!$A$1:$I$89,3,0)*VLOOKUP('Données projet'!$B$12,Paramètres!$A$1:$I$89,5,0)</f>
        <v>180.27720000000005</v>
      </c>
      <c r="CA78" s="13">
        <f t="shared" si="93"/>
        <v>45.383852535093837</v>
      </c>
      <c r="CB78" s="20">
        <f t="shared" si="64"/>
        <v>393.02633316528846</v>
      </c>
      <c r="CC78" s="59">
        <f t="shared" si="65"/>
        <v>686.35966649862178</v>
      </c>
      <c r="CD78" s="59">
        <f ca="1">AVERAGE(OFFSET($CC$3,0,0,'Données projet'!$E$12+1,1))-AVERAGE(OFFSET($H$3,0,0,'Données projet'!$E$12+1,1))</f>
        <v>158.58786357608489</v>
      </c>
      <c r="CE78" s="59">
        <f t="shared" si="94"/>
        <v>163.20074068819849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3.1</v>
      </c>
      <c r="CT78" s="12">
        <f>IF('Données projet'!$A$140&gt;35,CT77+CS78-DB77,IF(A78&lt;'Données projet'!$A$140,$CQ$205^A78,IF(A78='Données projet'!$A$140,'Données projet'!$B$140,CT77+CS78-DB77)))</f>
        <v>268.49999999999994</v>
      </c>
      <c r="CU78" s="17">
        <f>CT78*VLOOKUP('Données projet'!$B$13,Paramètres!$A$1:$I$89,3,0)*VLOOKUP('Données projet'!$B$13,Paramètres!$A$1:$I$89,5,0)</f>
        <v>196.86419999999995</v>
      </c>
      <c r="CV78" s="13">
        <f t="shared" si="95"/>
        <v>49.054381231414986</v>
      </c>
      <c r="CW78" s="20">
        <f t="shared" si="67"/>
        <v>428.30819564471432</v>
      </c>
      <c r="CX78" s="59">
        <f t="shared" si="68"/>
        <v>721.64152897804763</v>
      </c>
      <c r="CY78" s="59">
        <f ca="1">AVERAGE(OFFSET($CX$3,0,0,'Données projet'!$E$13+1,1))-AVERAGE(OFFSET($H$3,0,0,'Données projet'!$E$13+1,1))</f>
        <v>178.12968684094687</v>
      </c>
      <c r="CZ78" s="59">
        <f t="shared" si="96"/>
        <v>219.36004077210373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2.2079290705721211</v>
      </c>
      <c r="DH78" s="21">
        <f>EXP(-LN(2)/2)*DH77+(1-EXP(-LN(2)/2))/(LN(2)/2)*DB78*DE78*VLOOKUP('Données projet'!$B$13,Paramètres!$A$1:$I$89,3,0)*0.475*44/12</f>
        <v>1.6719679414109053E-6</v>
      </c>
      <c r="DI78" s="22">
        <f t="shared" si="69"/>
        <v>2.2079307425400625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-8.5265128291212022E-14</v>
      </c>
      <c r="DP78" s="17">
        <f>DO78*VLOOKUP('Données projet'!$B$14,Paramètres!$A$1:$I$89,3,0)*VLOOKUP('Données projet'!$B$14,Paramètres!$A$1:$I$89,5,0)</f>
        <v>-7.7147888077888636E-14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225.28075317732998</v>
      </c>
      <c r="DU78" s="59">
        <f t="shared" si="98"/>
        <v>358.43407531256207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0.92022106454384589</v>
      </c>
      <c r="EB78" s="21">
        <f>EXP(-LN(2)/25)*EB77+(1-EXP(-LN(2)/25))/(LN(2)/25)*Calculateur!DW78*Calculateur!DY78*VLOOKUP('Données projet'!$B$14,Paramètres!$A$1:$I$89,3,0)*0.475*44/12</f>
        <v>2.3755244752071416</v>
      </c>
      <c r="EC78" s="21">
        <f>EXP(-LN(2)/2)*EC77+(1-EXP(-LN(2)/2))/(LN(2)/2)*DW78*DZ78*VLOOKUP('Données projet'!$B$14,Paramètres!$A$1:$I$89,3,0)*0.475*44/12</f>
        <v>7.4414831702603233E-7</v>
      </c>
      <c r="ED78" s="22">
        <f t="shared" si="72"/>
        <v>3.2957462838993048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8.1746794871794854</v>
      </c>
      <c r="EJ78" s="12">
        <f>IF('Données projet'!$A$192&gt;35,EJ77+EI78-ER77,IF(A78&lt;'Données projet'!$A$192,$EG$205^A78,IF(A78='Données projet'!$A$192,'Données projet'!$B$192,EJ77+EI78-ER77)))</f>
        <v>245.09134615384605</v>
      </c>
      <c r="EK78" s="17">
        <f>EJ78*VLOOKUP('Données projet'!$B$15,Paramètres!$A$1:$I$89,3,0)*VLOOKUP('Données projet'!$B$15,Paramètres!$A$1:$I$89,5,0)</f>
        <v>248.52262499999989</v>
      </c>
      <c r="EL78" s="13">
        <f t="shared" si="99"/>
        <v>60.269474185728868</v>
      </c>
      <c r="EM78" s="20">
        <f t="shared" si="73"/>
        <v>537.81290608181098</v>
      </c>
      <c r="EN78" s="59">
        <f t="shared" si="74"/>
        <v>831.14623941514424</v>
      </c>
      <c r="EO78" s="59">
        <f ca="1">AVERAGE(OFFSET($EN$3,0,0,'Données projet'!$E$15+1,1))-AVERAGE(OFFSET($H$3,0,0,'Données projet'!$E$15+1,1))</f>
        <v>363.98308691765931</v>
      </c>
      <c r="EP78" s="59">
        <f t="shared" si="100"/>
        <v>181.47089407988187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8.1746794871794854</v>
      </c>
      <c r="FE78" s="12">
        <f>IF('Données projet'!$A$218&gt;35,FE77+FD78-FM77,IF(A78&lt;'Données projet'!$A$218,$FB$205^A78,IF(A78='Données projet'!$A$218,'Données projet'!$B$218,FE77+FD78-FM77)))</f>
        <v>245.09134615384605</v>
      </c>
      <c r="FF78" s="17">
        <f>FE78*VLOOKUP('Données projet'!$B$16,Paramètres!$A$1:$I$89,3,0)*VLOOKUP('Données projet'!$B$16,Paramètres!$A$1:$I$89,5,0)</f>
        <v>263.81632499999984</v>
      </c>
      <c r="FG78" s="13">
        <f t="shared" si="101"/>
        <v>63.535173055024181</v>
      </c>
      <c r="FH78" s="20">
        <f t="shared" si="76"/>
        <v>570.13719244583342</v>
      </c>
      <c r="FI78" s="59">
        <f t="shared" si="77"/>
        <v>863.47052577916679</v>
      </c>
      <c r="FJ78" s="59">
        <f ca="1">AVERAGE(OFFSET($FI$3,0,0,'Données projet'!$E$16+1,1))-AVERAGE(OFFSET($H$3,0,0,'Données projet'!$E$16+1,1))</f>
        <v>395.30533160963489</v>
      </c>
      <c r="FK78" s="59">
        <f t="shared" si="102"/>
        <v>196.02102977695085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3.7</v>
      </c>
      <c r="FZ78" s="12">
        <f>IF('Données projet'!$A$244&gt;35,FZ77+FY78-GH77,IF(A78&lt;'Données projet'!$A$244,$FW$205^A78,IF(A78='Données projet'!$A$244,'Données projet'!$B$244,FZ77+FY78-GH77)))</f>
        <v>222.49999999999991</v>
      </c>
      <c r="GA78" s="17">
        <f>FZ78*VLOOKUP('Données projet'!$B$17,Paramètres!$A$1:$I$89,3,0)*VLOOKUP('Données projet'!$B$17,Paramètres!$A$1:$I$89,5,0)</f>
        <v>232.55699999999996</v>
      </c>
      <c r="GB78" s="13">
        <f t="shared" si="103"/>
        <v>56.835208451954408</v>
      </c>
      <c r="GC78" s="20">
        <f t="shared" si="79"/>
        <v>504.02476305382055</v>
      </c>
      <c r="GD78" s="59">
        <f t="shared" si="80"/>
        <v>797.35809638715386</v>
      </c>
      <c r="GE78" s="59">
        <f ca="1">AVERAGE(OFFSET($GD$3,0,0,'Données projet'!$E$17+1,1))-AVERAGE(OFFSET($H$3,0,0,'Données projet'!$E$17+1,1))</f>
        <v>269.41185214595805</v>
      </c>
      <c r="GF78" s="59">
        <f t="shared" si="104"/>
        <v>299.70148160580993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2.6010094447562633</v>
      </c>
      <c r="GM78" s="21">
        <f>EXP(-LN(2)/25)*GM77+(1-EXP(-LN(2)/25))/(LN(2)/25)*Calculateur!GH78*Calculateur!GJ78*VLOOKUP('Données projet'!$B$17,Paramètres!$A$1:$I$89,3,0)*0.475*44/12</f>
        <v>4.6589654752669674</v>
      </c>
      <c r="GN78" s="21">
        <f>EXP(-LN(2)/2)*GN77+(1-EXP(-LN(2)/2))/(LN(2)/2)*GH78*GK78*VLOOKUP('Données projet'!$B$17,Paramètres!$A$1:$I$89,3,0)*0.475*44/12</f>
        <v>3.2214806367354741E-6</v>
      </c>
      <c r="GO78" s="21">
        <f t="shared" si="81"/>
        <v>7.2599781415038676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3.1</v>
      </c>
      <c r="GU78" s="12">
        <f>IF('Données projet'!$A$270&gt;35,GU77+GT78-HC77,IF(A78&lt;'Données projet'!$A$270,$GR$205^A78,IF(A78='Données projet'!$A$270,'Données projet'!$B$270,GU77+GT78-HC77)))</f>
        <v>268.49999999999994</v>
      </c>
      <c r="GV78" s="17">
        <f>GU78*VLOOKUP('Données projet'!$B$18,Paramètres!$A$1:$I$89,3,0)*VLOOKUP('Données projet'!$B$18,Paramètres!$A$1:$I$89,5,0)</f>
        <v>234.5616</v>
      </c>
      <c r="GW78" s="13">
        <f t="shared" si="105"/>
        <v>57.267875919179374</v>
      </c>
      <c r="GX78" s="20">
        <f t="shared" si="82"/>
        <v>508.26967055923734</v>
      </c>
      <c r="GY78" s="59">
        <f t="shared" si="83"/>
        <v>801.60300389257065</v>
      </c>
      <c r="GZ78" s="59">
        <f ca="1">AVERAGE(OFFSET($GY$3,0,0,'Données projet'!$E$18+1,1))-AVERAGE(OFFSET($H$3,0,0,'Données projet'!$E$18+1,1))</f>
        <v>226.35975611953359</v>
      </c>
      <c r="HA78" s="59">
        <f t="shared" si="106"/>
        <v>271.65876694892461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3.242520277812003</v>
      </c>
      <c r="HI78" s="21">
        <f>EXP(-LN(2)/2)*HI77+(1-EXP(-LN(2)/2))/(LN(2)/2)*HC78*HF78*VLOOKUP('Données projet'!$B$18,Paramètres!$A$1:$I$89,3,0)*0.475*44/12</f>
        <v>1.9921320152980994E-6</v>
      </c>
      <c r="HJ78" s="22">
        <f t="shared" si="84"/>
        <v>3.2425222699440184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8.1746794871794854</v>
      </c>
      <c r="N79" s="13">
        <f>IF('Données projet'!$A$36&gt;35,N78+M79-V78,IF(A79&lt;'Données projet'!$A$36,$K$205^A79,IF(A79='Données projet'!$A$36,'Données projet'!$B$36,N78+M79-V78)))</f>
        <v>253.26602564102552</v>
      </c>
      <c r="O79" s="13">
        <f>N79*VLOOKUP('Données projet'!$B$9,Paramètres!$A$1:$I$89,3,0)*VLOOKUP('Données projet'!$B$9,Paramètres!$A$1:$I$89,5,0)</f>
        <v>229.15509999999986</v>
      </c>
      <c r="P79" s="13">
        <f t="shared" si="87"/>
        <v>56.099955286020709</v>
      </c>
      <c r="Q79" s="20">
        <f t="shared" si="54"/>
        <v>496.8192212898191</v>
      </c>
      <c r="R79" s="59">
        <f t="shared" si="55"/>
        <v>790.15255462315235</v>
      </c>
      <c r="S79" s="59">
        <f ca="1">AVERAGE(OFFSET($R$3,0,0,'Données projet'!$E$9+1,1))-AVERAGE(OFFSET($H$3,0,0,'Données projet'!$E$9+1,1))</f>
        <v>309.07357540707869</v>
      </c>
      <c r="T79" s="59">
        <f t="shared" si="88"/>
        <v>155.9593924683299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3.7</v>
      </c>
      <c r="AI79" s="13">
        <f>IF('Données projet'!$A$62&gt;35,AI78+AH79-AQ78,IF(A79&lt;'Données projet'!$A$62,$AF$205^A79,IF(A79='Données projet'!$A$62,'Données projet'!$B$62,AI78+AH79-AQ78)))</f>
        <v>226.1999999999999</v>
      </c>
      <c r="AJ79" s="13">
        <f>AI79*VLOOKUP('Données projet'!$B$10,Paramètres!$A$1:$I$89,3,0)*VLOOKUP('Données projet'!$B$10,Paramètres!$A$1:$I$89,5,0)</f>
        <v>197.60831999999994</v>
      </c>
      <c r="AK79" s="13">
        <f t="shared" si="89"/>
        <v>49.218181392381361</v>
      </c>
      <c r="AL79" s="20">
        <f t="shared" si="58"/>
        <v>429.88948992506403</v>
      </c>
      <c r="AM79" s="59">
        <f t="shared" si="59"/>
        <v>723.22282325839728</v>
      </c>
      <c r="AN79" s="59">
        <f ca="1">AVERAGE(OFFSET($AM$3,0,0,'Données projet'!$E$10+1,1))-AVERAGE(OFFSET($H$3,0,0,'Données projet'!$E$10+1,1))</f>
        <v>210.07838338464626</v>
      </c>
      <c r="AO79" s="59">
        <f t="shared" si="90"/>
        <v>241.76003724236273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2.131347659943394</v>
      </c>
      <c r="AV79" s="21">
        <f>EXP(-LN(2)/25)*AV78+(1-EXP(-LN(2)/25))/(LN(2)/25)*Calculateur!AQ79*Calculateur!AS79*VLOOKUP('Données projet'!$B$10,Paramètres!$A$1:$I$89,3,0)*0.475*44/12</f>
        <v>3.7875774012406112</v>
      </c>
      <c r="AW79" s="21">
        <f>EXP(-LN(2)/2)*AW78+(1-EXP(-LN(2)/2))/(LN(2)/2)*AQ79*AT79*VLOOKUP('Données projet'!$B$10,Paramètres!$A$1:$I$89,3,0)*0.475*44/12</f>
        <v>1.9039421642839068E-6</v>
      </c>
      <c r="AX79" s="21">
        <f t="shared" si="60"/>
        <v>5.9189269651261691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6.1</v>
      </c>
      <c r="BD79" s="12">
        <f>IF('Données projet'!$A$88&gt;35,BD78+BC79-BL78,IF(A79&lt;'Données projet'!$A$88,$BA$205^A79,IF(A79='Données projet'!$A$88,'Données projet'!$B$88,BD78+BC79-BL78)))</f>
        <v>348.60000000000014</v>
      </c>
      <c r="BE79" s="13">
        <f>BD79*VLOOKUP('Données projet'!$B$11,Paramètres!$A$1:$I$89,3,0)*VLOOKUP('Données projet'!$B$11,Paramètres!$A$1:$I$89,5,0)</f>
        <v>190.33560000000008</v>
      </c>
      <c r="BF79" s="13">
        <f t="shared" si="91"/>
        <v>47.614141623958091</v>
      </c>
      <c r="BG79" s="20">
        <f t="shared" si="61"/>
        <v>414.42913332839385</v>
      </c>
      <c r="BH79" s="59">
        <f t="shared" si="62"/>
        <v>707.7624666617271</v>
      </c>
      <c r="BI79" s="59">
        <f ca="1">AVERAGE(OFFSET($BH$3,0,0,'Données projet'!$E$11+1,1))-AVERAGE(OFFSET($H$3,0,0,'Données projet'!$E$11+1,1))</f>
        <v>168.72306536277267</v>
      </c>
      <c r="BJ79" s="59">
        <f t="shared" si="92"/>
        <v>203.35476578922339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1.2232940592973549</v>
      </c>
      <c r="BQ79" s="21">
        <f>EXP(-LN(2)/25)*BQ78+(1-EXP(-LN(2)/25))/(LN(2)/25)*Calculateur!BL79*Calculateur!BN79*VLOOKUP('Données projet'!$B$11,Paramètres!$A$1:$I$89,3,0)*0.475*44/12</f>
        <v>6.4202172355230385</v>
      </c>
      <c r="BR79" s="21">
        <f>EXP(-LN(2)/2)*BR78+(1-EXP(-LN(2)/2))/(LN(2)/2)*BL79*BO79*VLOOKUP('Données projet'!$B$11,Paramètres!$A$1:$I$89,3,0)*0.475*44/12</f>
        <v>2.3870285298930724E-6</v>
      </c>
      <c r="BS79" s="22">
        <f t="shared" si="63"/>
        <v>7.6435136818489227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12.913461538461533</v>
      </c>
      <c r="BY79" s="12">
        <f>IF('Données projet'!$A$114&gt;35,BY78+BX79-CG78,IF(A79&lt;'Données projet'!$A$114,$BV$205^A79,IF(A79='Données projet'!$A$114,'Données projet'!$B$114,BY78+BX79-CG78)))</f>
        <v>398.12115384615396</v>
      </c>
      <c r="BZ79" s="13">
        <f>BY79*VLOOKUP('Données projet'!$B$12,Paramètres!$A$1:$I$89,3,0)*VLOOKUP('Données projet'!$B$12,Paramètres!$A$1:$I$89,5,0)</f>
        <v>186.32070000000004</v>
      </c>
      <c r="CA79" s="13">
        <f t="shared" si="93"/>
        <v>46.725588415193215</v>
      </c>
      <c r="CB79" s="20">
        <f t="shared" si="64"/>
        <v>405.88895232312825</v>
      </c>
      <c r="CC79" s="59">
        <f t="shared" si="65"/>
        <v>699.22228565646151</v>
      </c>
      <c r="CD79" s="59">
        <f ca="1">AVERAGE(OFFSET($CC$3,0,0,'Données projet'!$E$12+1,1))-AVERAGE(OFFSET($H$3,0,0,'Données projet'!$E$12+1,1))</f>
        <v>158.58786357608489</v>
      </c>
      <c r="CE79" s="59">
        <f t="shared" si="94"/>
        <v>163.20074068819849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3.1</v>
      </c>
      <c r="CT79" s="12">
        <f>IF('Données projet'!$A$140&gt;35,CT78+CS79-DB78,IF(A79&lt;'Données projet'!$A$140,$CQ$205^A79,IF(A79='Données projet'!$A$140,'Données projet'!$B$140,CT78+CS79-DB78)))</f>
        <v>271.59999999999997</v>
      </c>
      <c r="CU79" s="17">
        <f>CT79*VLOOKUP('Données projet'!$B$13,Paramètres!$A$1:$I$89,3,0)*VLOOKUP('Données projet'!$B$13,Paramètres!$A$1:$I$89,5,0)</f>
        <v>199.13711999999995</v>
      </c>
      <c r="CV79" s="13">
        <f t="shared" si="95"/>
        <v>49.554485124576232</v>
      </c>
      <c r="CW79" s="20">
        <f t="shared" si="67"/>
        <v>433.13787892530354</v>
      </c>
      <c r="CX79" s="59">
        <f t="shared" si="68"/>
        <v>726.4712122586368</v>
      </c>
      <c r="CY79" s="59">
        <f ca="1">AVERAGE(OFFSET($CX$3,0,0,'Données projet'!$E$13+1,1))-AVERAGE(OFFSET($H$3,0,0,'Données projet'!$E$13+1,1))</f>
        <v>178.12968684094687</v>
      </c>
      <c r="CZ79" s="59">
        <f t="shared" si="96"/>
        <v>219.36004077210373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2.1475531340273828</v>
      </c>
      <c r="DH79" s="21">
        <f>EXP(-LN(2)/2)*DH78+(1-EXP(-LN(2)/2))/(LN(2)/2)*DB79*DE79*VLOOKUP('Données projet'!$B$13,Paramètres!$A$1:$I$89,3,0)*0.475*44/12</f>
        <v>1.1822598692981633E-6</v>
      </c>
      <c r="DI79" s="22">
        <f t="shared" si="69"/>
        <v>2.1475543162872519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-8.5265128291212022E-14</v>
      </c>
      <c r="DP79" s="17">
        <f>DO79*VLOOKUP('Données projet'!$B$14,Paramètres!$A$1:$I$89,3,0)*VLOOKUP('Données projet'!$B$14,Paramètres!$A$1:$I$89,5,0)</f>
        <v>-7.7147888077888636E-14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225.28075317732998</v>
      </c>
      <c r="DU79" s="59">
        <f t="shared" si="98"/>
        <v>358.43407531256207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0.90217609074756866</v>
      </c>
      <c r="EB79" s="21">
        <f>EXP(-LN(2)/25)*EB78+(1-EXP(-LN(2)/25))/(LN(2)/25)*Calculateur!DW79*Calculateur!DY79*VLOOKUP('Données projet'!$B$14,Paramètres!$A$1:$I$89,3,0)*0.475*44/12</f>
        <v>2.3105656335091993</v>
      </c>
      <c r="EC79" s="21">
        <f>EXP(-LN(2)/2)*EC78+(1-EXP(-LN(2)/2))/(LN(2)/2)*DW79*DZ79*VLOOKUP('Données projet'!$B$14,Paramètres!$A$1:$I$89,3,0)*0.475*44/12</f>
        <v>5.2619232117766424E-7</v>
      </c>
      <c r="ED79" s="22">
        <f t="shared" si="72"/>
        <v>3.212742250449089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8.1746794871794854</v>
      </c>
      <c r="EJ79" s="12">
        <f>IF('Données projet'!$A$192&gt;35,EJ78+EI79-ER78,IF(A79&lt;'Données projet'!$A$192,$EG$205^A79,IF(A79='Données projet'!$A$192,'Données projet'!$B$192,EJ78+EI79-ER78)))</f>
        <v>253.26602564102552</v>
      </c>
      <c r="EK79" s="17">
        <f>EJ79*VLOOKUP('Données projet'!$B$15,Paramètres!$A$1:$I$89,3,0)*VLOOKUP('Données projet'!$B$15,Paramètres!$A$1:$I$89,5,0)</f>
        <v>256.8117499999999</v>
      </c>
      <c r="EL79" s="13">
        <f t="shared" si="99"/>
        <v>62.042284648955892</v>
      </c>
      <c r="EM79" s="20">
        <f t="shared" si="73"/>
        <v>555.33744368026464</v>
      </c>
      <c r="EN79" s="59">
        <f t="shared" si="74"/>
        <v>848.6707770135979</v>
      </c>
      <c r="EO79" s="59">
        <f ca="1">AVERAGE(OFFSET($EN$3,0,0,'Données projet'!$E$15+1,1))-AVERAGE(OFFSET($H$3,0,0,'Données projet'!$E$15+1,1))</f>
        <v>363.98308691765931</v>
      </c>
      <c r="EP79" s="59">
        <f t="shared" si="100"/>
        <v>181.47089407988187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8.1746794871794854</v>
      </c>
      <c r="FE79" s="12">
        <f>IF('Données projet'!$A$218&gt;35,FE78+FD79-FM78,IF(A79&lt;'Données projet'!$A$218,$FB$205^A79,IF(A79='Données projet'!$A$218,'Données projet'!$B$218,FE78+FD79-FM78)))</f>
        <v>253.26602564102552</v>
      </c>
      <c r="FF79" s="17">
        <f>FE79*VLOOKUP('Données projet'!$B$16,Paramètres!$A$1:$I$89,3,0)*VLOOKUP('Données projet'!$B$16,Paramètres!$A$1:$I$89,5,0)</f>
        <v>272.61554999999987</v>
      </c>
      <c r="FG79" s="13">
        <f t="shared" si="101"/>
        <v>65.404043177032932</v>
      </c>
      <c r="FH79" s="20">
        <f t="shared" si="76"/>
        <v>588.7174581166654</v>
      </c>
      <c r="FI79" s="59">
        <f t="shared" si="77"/>
        <v>882.05079144999877</v>
      </c>
      <c r="FJ79" s="59">
        <f ca="1">AVERAGE(OFFSET($FI$3,0,0,'Données projet'!$E$16+1,1))-AVERAGE(OFFSET($H$3,0,0,'Données projet'!$E$16+1,1))</f>
        <v>395.30533160963489</v>
      </c>
      <c r="FK79" s="59">
        <f t="shared" si="102"/>
        <v>196.02102977695085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3.7</v>
      </c>
      <c r="FZ79" s="12">
        <f>IF('Données projet'!$A$244&gt;35,FZ78+FY79-GH78,IF(A79&lt;'Données projet'!$A$244,$FW$205^A79,IF(A79='Données projet'!$A$244,'Données projet'!$B$244,FZ78+FY79-GH78)))</f>
        <v>226.1999999999999</v>
      </c>
      <c r="GA79" s="17">
        <f>FZ79*VLOOKUP('Données projet'!$B$17,Paramètres!$A$1:$I$89,3,0)*VLOOKUP('Données projet'!$B$17,Paramètres!$A$1:$I$89,5,0)</f>
        <v>236.42423999999991</v>
      </c>
      <c r="GB79" s="13">
        <f t="shared" si="103"/>
        <v>57.66951745772316</v>
      </c>
      <c r="GC79" s="20">
        <f t="shared" si="79"/>
        <v>512.21329423886766</v>
      </c>
      <c r="GD79" s="59">
        <f t="shared" si="80"/>
        <v>805.54662757220103</v>
      </c>
      <c r="GE79" s="59">
        <f ca="1">AVERAGE(OFFSET($GD$3,0,0,'Données projet'!$E$17+1,1))-AVERAGE(OFFSET($H$3,0,0,'Données projet'!$E$17+1,1))</f>
        <v>269.41185214595805</v>
      </c>
      <c r="GF79" s="59">
        <f t="shared" si="104"/>
        <v>299.70148160580993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2.5500052360037042</v>
      </c>
      <c r="GM79" s="21">
        <f>EXP(-LN(2)/25)*GM78+(1-EXP(-LN(2)/25))/(LN(2)/25)*Calculateur!GH79*Calculateur!GJ79*VLOOKUP('Données projet'!$B$17,Paramètres!$A$1:$I$89,3,0)*0.475*44/12</f>
        <v>4.5315658193414459</v>
      </c>
      <c r="GN79" s="21">
        <f>EXP(-LN(2)/2)*GN78+(1-EXP(-LN(2)/2))/(LN(2)/2)*GH79*GK79*VLOOKUP('Données projet'!$B$17,Paramètres!$A$1:$I$89,3,0)*0.475*44/12</f>
        <v>2.2779308036968107E-6</v>
      </c>
      <c r="GO79" s="21">
        <f t="shared" si="81"/>
        <v>7.0815733332759541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3.1</v>
      </c>
      <c r="GU79" s="12">
        <f>IF('Données projet'!$A$270&gt;35,GU78+GT79-HC78,IF(A79&lt;'Données projet'!$A$270,$GR$205^A79,IF(A79='Données projet'!$A$270,'Données projet'!$B$270,GU78+GT79-HC78)))</f>
        <v>271.59999999999997</v>
      </c>
      <c r="GV79" s="17">
        <f>GU79*VLOOKUP('Données projet'!$B$18,Paramètres!$A$1:$I$89,3,0)*VLOOKUP('Données projet'!$B$18,Paramètres!$A$1:$I$89,5,0)</f>
        <v>237.26976000000002</v>
      </c>
      <c r="GW79" s="13">
        <f t="shared" si="105"/>
        <v>57.851715465847946</v>
      </c>
      <c r="GX79" s="20">
        <f t="shared" si="82"/>
        <v>514.00323643635181</v>
      </c>
      <c r="GY79" s="59">
        <f t="shared" si="83"/>
        <v>807.33656976968518</v>
      </c>
      <c r="GZ79" s="59">
        <f ca="1">AVERAGE(OFFSET($GY$3,0,0,'Données projet'!$E$18+1,1))-AVERAGE(OFFSET($H$3,0,0,'Données projet'!$E$18+1,1))</f>
        <v>226.35975611953359</v>
      </c>
      <c r="HA79" s="59">
        <f t="shared" si="106"/>
        <v>271.65876694892461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3.1538533902985031</v>
      </c>
      <c r="HI79" s="21">
        <f>EXP(-LN(2)/2)*HI78+(1-EXP(-LN(2)/2))/(LN(2)/2)*HC79*HF79*VLOOKUP('Données projet'!$B$18,Paramètres!$A$1:$I$89,3,0)*0.475*44/12</f>
        <v>1.4086500570361092E-6</v>
      </c>
      <c r="HJ79" s="22">
        <f t="shared" si="84"/>
        <v>3.1538547989485601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8.1746794871794854</v>
      </c>
      <c r="N80" s="13">
        <f>IF('Données projet'!$A$36&gt;35,N79+M80-V79,IF(A80&lt;'Données projet'!$A$36,$K$205^A80,IF(A80='Données projet'!$A$36,'Données projet'!$B$36,N79+M80-V79)))</f>
        <v>261.44070512820502</v>
      </c>
      <c r="O80" s="13">
        <f>N80*VLOOKUP('Données projet'!$B$9,Paramètres!$A$1:$I$89,3,0)*VLOOKUP('Données projet'!$B$9,Paramètres!$A$1:$I$89,5,0)</f>
        <v>236.55154999999991</v>
      </c>
      <c r="P80" s="13">
        <f t="shared" si="87"/>
        <v>57.696955867207052</v>
      </c>
      <c r="Q80" s="20">
        <f t="shared" si="54"/>
        <v>512.4828143853855</v>
      </c>
      <c r="R80" s="59">
        <f t="shared" si="55"/>
        <v>805.81614771871887</v>
      </c>
      <c r="S80" s="59">
        <f ca="1">AVERAGE(OFFSET($R$3,0,0,'Données projet'!$E$9+1,1))-AVERAGE(OFFSET($H$3,0,0,'Données projet'!$E$9+1,1))</f>
        <v>309.07357540707869</v>
      </c>
      <c r="T80" s="59">
        <f t="shared" si="88"/>
        <v>155.9593924683299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3.7</v>
      </c>
      <c r="AI80" s="13">
        <f>IF('Données projet'!$A$62&gt;35,AI79+AH80-AQ79,IF(A80&lt;'Données projet'!$A$62,$AF$205^A80,IF(A80='Données projet'!$A$62,'Données projet'!$B$62,AI79+AH80-AQ79)))</f>
        <v>229.89999999999989</v>
      </c>
      <c r="AJ80" s="13">
        <f>AI80*VLOOKUP('Données projet'!$B$10,Paramètres!$A$1:$I$89,3,0)*VLOOKUP('Données projet'!$B$10,Paramètres!$A$1:$I$89,5,0)</f>
        <v>200.84063999999992</v>
      </c>
      <c r="AK80" s="13">
        <f t="shared" si="89"/>
        <v>49.928869830254925</v>
      </c>
      <c r="AL80" s="20">
        <f t="shared" si="58"/>
        <v>436.75689628769379</v>
      </c>
      <c r="AM80" s="59">
        <f t="shared" si="59"/>
        <v>730.09022962102711</v>
      </c>
      <c r="AN80" s="59">
        <f ca="1">AVERAGE(OFFSET($AM$3,0,0,'Données projet'!$E$10+1,1))-AVERAGE(OFFSET($H$3,0,0,'Données projet'!$E$10+1,1))</f>
        <v>210.07838338464626</v>
      </c>
      <c r="AO80" s="59">
        <f t="shared" si="90"/>
        <v>241.76003724236273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2.089553232325613</v>
      </c>
      <c r="AV80" s="21">
        <f>EXP(-LN(2)/25)*AV79+(1-EXP(-LN(2)/25))/(LN(2)/25)*Calculateur!AQ80*Calculateur!AS80*VLOOKUP('Données projet'!$B$10,Paramètres!$A$1:$I$89,3,0)*0.475*44/12</f>
        <v>3.6840058980236479</v>
      </c>
      <c r="AW80" s="21">
        <f>EXP(-LN(2)/2)*AW79+(1-EXP(-LN(2)/2))/(LN(2)/2)*AQ80*AT80*VLOOKUP('Données projet'!$B$10,Paramètres!$A$1:$I$89,3,0)*0.475*44/12</f>
        <v>1.3462904153521423E-6</v>
      </c>
      <c r="AX80" s="21">
        <f t="shared" si="60"/>
        <v>5.773560476639676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6.1</v>
      </c>
      <c r="BD80" s="12">
        <f>IF('Données projet'!$A$88&gt;35,BD79+BC80-BL79,IF(A80&lt;'Données projet'!$A$88,$BA$205^A80,IF(A80='Données projet'!$A$88,'Données projet'!$B$88,BD79+BC80-BL79)))</f>
        <v>354.70000000000016</v>
      </c>
      <c r="BE80" s="13">
        <f>BD80*VLOOKUP('Données projet'!$B$11,Paramètres!$A$1:$I$89,3,0)*VLOOKUP('Données projet'!$B$11,Paramètres!$A$1:$I$89,5,0)</f>
        <v>193.66620000000012</v>
      </c>
      <c r="BF80" s="13">
        <f t="shared" si="91"/>
        <v>48.349593834084288</v>
      </c>
      <c r="BG80" s="20">
        <f t="shared" si="61"/>
        <v>421.51084092769702</v>
      </c>
      <c r="BH80" s="59">
        <f t="shared" si="62"/>
        <v>714.84417426103028</v>
      </c>
      <c r="BI80" s="59">
        <f ca="1">AVERAGE(OFFSET($BH$3,0,0,'Données projet'!$E$11+1,1))-AVERAGE(OFFSET($H$3,0,0,'Données projet'!$E$11+1,1))</f>
        <v>168.72306536277267</v>
      </c>
      <c r="BJ80" s="59">
        <f t="shared" si="92"/>
        <v>203.35476578922339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1.1993060089302352</v>
      </c>
      <c r="BQ80" s="21">
        <f>EXP(-LN(2)/25)*BQ79+(1-EXP(-LN(2)/25))/(LN(2)/25)*Calculateur!BL80*Calculateur!BN80*VLOOKUP('Données projet'!$B$11,Paramètres!$A$1:$I$89,3,0)*0.475*44/12</f>
        <v>6.2446560575931098</v>
      </c>
      <c r="BR80" s="21">
        <f>EXP(-LN(2)/2)*BR79+(1-EXP(-LN(2)/2))/(LN(2)/2)*BL80*BO80*VLOOKUP('Données projet'!$B$11,Paramètres!$A$1:$I$89,3,0)*0.475*44/12</f>
        <v>1.687884060373147E-6</v>
      </c>
      <c r="BS80" s="22">
        <f t="shared" si="63"/>
        <v>7.4439637544074051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12.913461538461533</v>
      </c>
      <c r="BY80" s="12">
        <f>IF('Données projet'!$A$114&gt;35,BY79+BX80-CG79,IF(A80&lt;'Données projet'!$A$114,$BV$205^A80,IF(A80='Données projet'!$A$114,'Données projet'!$B$114,BY79+BX80-CG79)))</f>
        <v>411.03461538461551</v>
      </c>
      <c r="BZ80" s="13">
        <f>BY80*VLOOKUP('Données projet'!$B$12,Paramètres!$A$1:$I$89,3,0)*VLOOKUP('Données projet'!$B$12,Paramètres!$A$1:$I$89,5,0)</f>
        <v>192.36420000000004</v>
      </c>
      <c r="CA80" s="13">
        <f t="shared" si="93"/>
        <v>48.062267116572606</v>
      </c>
      <c r="CB80" s="20">
        <f t="shared" si="64"/>
        <v>418.74276356136397</v>
      </c>
      <c r="CC80" s="59">
        <f t="shared" si="65"/>
        <v>712.07609689469723</v>
      </c>
      <c r="CD80" s="59">
        <f ca="1">AVERAGE(OFFSET($CC$3,0,0,'Données projet'!$E$12+1,1))-AVERAGE(OFFSET($H$3,0,0,'Données projet'!$E$12+1,1))</f>
        <v>158.58786357608489</v>
      </c>
      <c r="CE80" s="59">
        <f t="shared" si="94"/>
        <v>163.20074068819849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3.1</v>
      </c>
      <c r="CT80" s="12">
        <f>IF('Données projet'!$A$140&gt;35,CT79+CS80-DB79,IF(A80&lt;'Données projet'!$A$140,$CQ$205^A80,IF(A80='Données projet'!$A$140,'Données projet'!$B$140,CT79+CS80-DB79)))</f>
        <v>274.7</v>
      </c>
      <c r="CU80" s="17">
        <f>CT80*VLOOKUP('Données projet'!$B$13,Paramètres!$A$1:$I$89,3,0)*VLOOKUP('Données projet'!$B$13,Paramètres!$A$1:$I$89,5,0)</f>
        <v>201.41003999999998</v>
      </c>
      <c r="CV80" s="13">
        <f t="shared" si="95"/>
        <v>50.053925019918871</v>
      </c>
      <c r="CW80" s="20">
        <f t="shared" si="67"/>
        <v>437.96640574302529</v>
      </c>
      <c r="CX80" s="59">
        <f t="shared" si="68"/>
        <v>731.29973907635861</v>
      </c>
      <c r="CY80" s="59">
        <f ca="1">AVERAGE(OFFSET($CX$3,0,0,'Données projet'!$E$13+1,1))-AVERAGE(OFFSET($H$3,0,0,'Données projet'!$E$13+1,1))</f>
        <v>178.12968684094687</v>
      </c>
      <c r="CZ80" s="59">
        <f t="shared" si="96"/>
        <v>219.36004077210373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2.0888281806424929</v>
      </c>
      <c r="DH80" s="21">
        <f>EXP(-LN(2)/2)*DH79+(1-EXP(-LN(2)/2))/(LN(2)/2)*DB80*DE80*VLOOKUP('Données projet'!$B$13,Paramètres!$A$1:$I$89,3,0)*0.475*44/12</f>
        <v>8.3598397070545266E-7</v>
      </c>
      <c r="DI80" s="22">
        <f t="shared" si="69"/>
        <v>2.0888290166264634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-8.5265128291212022E-14</v>
      </c>
      <c r="DP80" s="17">
        <f>DO80*VLOOKUP('Données projet'!$B$14,Paramètres!$A$1:$I$89,3,0)*VLOOKUP('Données projet'!$B$14,Paramètres!$A$1:$I$89,5,0)</f>
        <v>-7.7147888077888636E-14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225.28075317732998</v>
      </c>
      <c r="DU80" s="59">
        <f t="shared" si="98"/>
        <v>358.43407531256207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0.88448496788108921</v>
      </c>
      <c r="EB80" s="21">
        <f>EXP(-LN(2)/25)*EB79+(1-EXP(-LN(2)/25))/(LN(2)/25)*Calculateur!DW80*Calculateur!DY80*VLOOKUP('Données projet'!$B$14,Paramètres!$A$1:$I$89,3,0)*0.475*44/12</f>
        <v>2.2473830947535243</v>
      </c>
      <c r="EC80" s="21">
        <f>EXP(-LN(2)/2)*EC79+(1-EXP(-LN(2)/2))/(LN(2)/2)*DW80*DZ80*VLOOKUP('Données projet'!$B$14,Paramètres!$A$1:$I$89,3,0)*0.475*44/12</f>
        <v>3.7207415851301616E-7</v>
      </c>
      <c r="ED80" s="22">
        <f t="shared" si="72"/>
        <v>3.131868434708772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8.1746794871794854</v>
      </c>
      <c r="EJ80" s="12">
        <f>IF('Données projet'!$A$192&gt;35,EJ79+EI80-ER79,IF(A80&lt;'Données projet'!$A$192,$EG$205^A80,IF(A80='Données projet'!$A$192,'Données projet'!$B$192,EJ79+EI80-ER79)))</f>
        <v>261.44070512820502</v>
      </c>
      <c r="EK80" s="17">
        <f>EJ80*VLOOKUP('Données projet'!$B$15,Paramètres!$A$1:$I$89,3,0)*VLOOKUP('Données projet'!$B$15,Paramètres!$A$1:$I$89,5,0)</f>
        <v>265.10087499999992</v>
      </c>
      <c r="EL80" s="13">
        <f t="shared" si="99"/>
        <v>63.808445854207463</v>
      </c>
      <c r="EM80" s="20">
        <f t="shared" si="73"/>
        <v>572.85040048774454</v>
      </c>
      <c r="EN80" s="59">
        <f t="shared" si="74"/>
        <v>866.18373382107779</v>
      </c>
      <c r="EO80" s="59">
        <f ca="1">AVERAGE(OFFSET($EN$3,0,0,'Données projet'!$E$15+1,1))-AVERAGE(OFFSET($H$3,0,0,'Données projet'!$E$15+1,1))</f>
        <v>363.98308691765931</v>
      </c>
      <c r="EP80" s="59">
        <f t="shared" si="100"/>
        <v>181.47089407988187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8.1746794871794854</v>
      </c>
      <c r="FE80" s="12">
        <f>IF('Données projet'!$A$218&gt;35,FE79+FD80-FM79,IF(A80&lt;'Données projet'!$A$218,$FB$205^A80,IF(A80='Données projet'!$A$218,'Données projet'!$B$218,FE79+FD80-FM79)))</f>
        <v>261.44070512820502</v>
      </c>
      <c r="FF80" s="17">
        <f>FE80*VLOOKUP('Données projet'!$B$16,Paramètres!$A$1:$I$89,3,0)*VLOOKUP('Données projet'!$B$16,Paramètres!$A$1:$I$89,5,0)</f>
        <v>281.41477499999991</v>
      </c>
      <c r="FG80" s="13">
        <f t="shared" si="101"/>
        <v>67.265903751308457</v>
      </c>
      <c r="FH80" s="20">
        <f t="shared" si="76"/>
        <v>607.28551549186204</v>
      </c>
      <c r="FI80" s="59">
        <f t="shared" si="77"/>
        <v>900.6188488251953</v>
      </c>
      <c r="FJ80" s="59">
        <f ca="1">AVERAGE(OFFSET($FI$3,0,0,'Données projet'!$E$16+1,1))-AVERAGE(OFFSET($H$3,0,0,'Données projet'!$E$16+1,1))</f>
        <v>395.30533160963489</v>
      </c>
      <c r="FK80" s="59">
        <f t="shared" si="102"/>
        <v>196.02102977695085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3.7</v>
      </c>
      <c r="FZ80" s="12">
        <f>IF('Données projet'!$A$244&gt;35,FZ79+FY80-GH79,IF(A80&lt;'Données projet'!$A$244,$FW$205^A80,IF(A80='Données projet'!$A$244,'Données projet'!$B$244,FZ79+FY80-GH79)))</f>
        <v>229.89999999999989</v>
      </c>
      <c r="GA80" s="17">
        <f>FZ80*VLOOKUP('Données projet'!$B$17,Paramètres!$A$1:$I$89,3,0)*VLOOKUP('Données projet'!$B$17,Paramètres!$A$1:$I$89,5,0)</f>
        <v>240.29147999999989</v>
      </c>
      <c r="GB80" s="13">
        <f t="shared" si="103"/>
        <v>58.502239393306418</v>
      </c>
      <c r="GC80" s="20">
        <f t="shared" si="79"/>
        <v>520.39906127667518</v>
      </c>
      <c r="GD80" s="59">
        <f t="shared" si="80"/>
        <v>813.73239461000844</v>
      </c>
      <c r="GE80" s="59">
        <f ca="1">AVERAGE(OFFSET($GD$3,0,0,'Données projet'!$E$17+1,1))-AVERAGE(OFFSET($H$3,0,0,'Données projet'!$E$17+1,1))</f>
        <v>269.41185214595805</v>
      </c>
      <c r="GF80" s="59">
        <f t="shared" si="104"/>
        <v>299.70148160580993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2.5000011886752875</v>
      </c>
      <c r="GM80" s="21">
        <f>EXP(-LN(2)/25)*GM79+(1-EXP(-LN(2)/25))/(LN(2)/25)*Calculateur!GH80*Calculateur!GJ80*VLOOKUP('Données projet'!$B$17,Paramètres!$A$1:$I$89,3,0)*0.475*44/12</f>
        <v>4.407649913706865</v>
      </c>
      <c r="GN80" s="21">
        <f>EXP(-LN(2)/2)*GN79+(1-EXP(-LN(2)/2))/(LN(2)/2)*GH80*GK80*VLOOKUP('Données projet'!$B$17,Paramètres!$A$1:$I$89,3,0)*0.475*44/12</f>
        <v>1.610740318367737E-6</v>
      </c>
      <c r="GO80" s="21">
        <f t="shared" si="81"/>
        <v>6.9076527131224701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3.1</v>
      </c>
      <c r="GU80" s="12">
        <f>IF('Données projet'!$A$270&gt;35,GU79+GT80-HC79,IF(A80&lt;'Données projet'!$A$270,$GR$205^A80,IF(A80='Données projet'!$A$270,'Données projet'!$B$270,GU79+GT80-HC79)))</f>
        <v>274.7</v>
      </c>
      <c r="GV80" s="17">
        <f>GU80*VLOOKUP('Données projet'!$B$18,Paramètres!$A$1:$I$89,3,0)*VLOOKUP('Données projet'!$B$18,Paramètres!$A$1:$I$89,5,0)</f>
        <v>239.97792000000004</v>
      </c>
      <c r="GW80" s="13">
        <f t="shared" si="105"/>
        <v>58.434779837216588</v>
      </c>
      <c r="GX80" s="20">
        <f t="shared" si="82"/>
        <v>519.73545221648567</v>
      </c>
      <c r="GY80" s="59">
        <f t="shared" si="83"/>
        <v>813.06878554981904</v>
      </c>
      <c r="GZ80" s="59">
        <f ca="1">AVERAGE(OFFSET($GY$3,0,0,'Données projet'!$E$18+1,1))-AVERAGE(OFFSET($H$3,0,0,'Données projet'!$E$18+1,1))</f>
        <v>226.35975611953359</v>
      </c>
      <c r="HA80" s="59">
        <f t="shared" si="106"/>
        <v>271.65876694892461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3.0676111034868492</v>
      </c>
      <c r="HI80" s="21">
        <f>EXP(-LN(2)/2)*HI79+(1-EXP(-LN(2)/2))/(LN(2)/2)*HC80*HF80*VLOOKUP('Données projet'!$B$18,Paramètres!$A$1:$I$89,3,0)*0.475*44/12</f>
        <v>9.9606600764904971E-7</v>
      </c>
      <c r="HJ80" s="22">
        <f t="shared" si="84"/>
        <v>3.0676120995528566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8.1746794871794854</v>
      </c>
      <c r="N81" s="13">
        <f>IF('Données projet'!$A$36&gt;35,N80+M81-V80,IF(A81&lt;'Données projet'!$A$36,$K$205^A81,IF(A81='Données projet'!$A$36,'Données projet'!$B$36,N80+M81-V80)))</f>
        <v>269.61538461538453</v>
      </c>
      <c r="O81" s="13">
        <f>N81*VLOOKUP('Données projet'!$B$9,Paramètres!$A$1:$I$89,3,0)*VLOOKUP('Données projet'!$B$9,Paramètres!$A$1:$I$89,5,0)</f>
        <v>243.94799999999992</v>
      </c>
      <c r="P81" s="13">
        <f t="shared" si="87"/>
        <v>59.288153612728067</v>
      </c>
      <c r="Q81" s="20">
        <f t="shared" si="54"/>
        <v>528.13630087550121</v>
      </c>
      <c r="R81" s="59">
        <f t="shared" si="55"/>
        <v>821.46963420883458</v>
      </c>
      <c r="S81" s="59">
        <f ca="1">AVERAGE(OFFSET($R$3,0,0,'Données projet'!$E$9+1,1))-AVERAGE(OFFSET($H$3,0,0,'Données projet'!$E$9+1,1))</f>
        <v>309.07357540707869</v>
      </c>
      <c r="T81" s="59">
        <f t="shared" si="88"/>
        <v>155.9593924683299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3.7</v>
      </c>
      <c r="AI81" s="13">
        <f>IF('Données projet'!$A$62&gt;35,AI80+AH81-AQ80,IF(A81&lt;'Données projet'!$A$62,$AF$205^A81,IF(A81='Données projet'!$A$62,'Données projet'!$B$62,AI80+AH81-AQ80)))</f>
        <v>233.59999999999988</v>
      </c>
      <c r="AJ81" s="13">
        <f>AI81*VLOOKUP('Données projet'!$B$10,Paramètres!$A$1:$I$89,3,0)*VLOOKUP('Données projet'!$B$10,Paramètres!$A$1:$I$89,5,0)</f>
        <v>204.07295999999991</v>
      </c>
      <c r="AK81" s="13">
        <f t="shared" si="89"/>
        <v>50.638228095278592</v>
      </c>
      <c r="AL81" s="20">
        <f t="shared" si="58"/>
        <v>443.62198593261002</v>
      </c>
      <c r="AM81" s="59">
        <f t="shared" si="59"/>
        <v>736.95531926594333</v>
      </c>
      <c r="AN81" s="59">
        <f ca="1">AVERAGE(OFFSET($AM$3,0,0,'Données projet'!$E$10+1,1))-AVERAGE(OFFSET($H$3,0,0,'Données projet'!$E$10+1,1))</f>
        <v>210.07838338464626</v>
      </c>
      <c r="AO81" s="59">
        <f t="shared" si="90"/>
        <v>241.76003724236273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2.048578367941333</v>
      </c>
      <c r="AV81" s="21">
        <f>EXP(-LN(2)/25)*AV80+(1-EXP(-LN(2)/25))/(LN(2)/25)*Calculateur!AQ81*Calculateur!AS81*VLOOKUP('Données projet'!$B$10,Paramètres!$A$1:$I$89,3,0)*0.475*44/12</f>
        <v>3.583266563008741</v>
      </c>
      <c r="AW81" s="21">
        <f>EXP(-LN(2)/2)*AW80+(1-EXP(-LN(2)/2))/(LN(2)/2)*AQ81*AT81*VLOOKUP('Données projet'!$B$10,Paramètres!$A$1:$I$89,3,0)*0.475*44/12</f>
        <v>9.5197108214195349E-7</v>
      </c>
      <c r="AX81" s="21">
        <f t="shared" si="60"/>
        <v>5.631845882921156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6.1</v>
      </c>
      <c r="BD81" s="12">
        <f>IF('Données projet'!$A$88&gt;35,BD80+BC81-BL80,IF(A81&lt;'Données projet'!$A$88,$BA$205^A81,IF(A81='Données projet'!$A$88,'Données projet'!$B$88,BD80+BC81-BL80)))</f>
        <v>360.80000000000018</v>
      </c>
      <c r="BE81" s="13">
        <f>BD81*VLOOKUP('Données projet'!$B$11,Paramètres!$A$1:$I$89,3,0)*VLOOKUP('Données projet'!$B$11,Paramètres!$A$1:$I$89,5,0)</f>
        <v>196.99680000000009</v>
      </c>
      <c r="BF81" s="13">
        <f t="shared" si="91"/>
        <v>49.083575208709597</v>
      </c>
      <c r="BG81" s="20">
        <f t="shared" si="61"/>
        <v>428.58998682183602</v>
      </c>
      <c r="BH81" s="59">
        <f t="shared" si="62"/>
        <v>721.92332015516934</v>
      </c>
      <c r="BI81" s="59">
        <f ca="1">AVERAGE(OFFSET($BH$3,0,0,'Données projet'!$E$11+1,1))-AVERAGE(OFFSET($H$3,0,0,'Données projet'!$E$11+1,1))</f>
        <v>168.72306536277267</v>
      </c>
      <c r="BJ81" s="59">
        <f t="shared" si="92"/>
        <v>203.35476578922339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1.1757883495995487</v>
      </c>
      <c r="BQ81" s="21">
        <f>EXP(-LN(2)/25)*BQ80+(1-EXP(-LN(2)/25))/(LN(2)/25)*Calculateur!BL81*Calculateur!BN81*VLOOKUP('Données projet'!$B$11,Paramètres!$A$1:$I$89,3,0)*0.475*44/12</f>
        <v>6.0738956093060361</v>
      </c>
      <c r="BR81" s="21">
        <f>EXP(-LN(2)/2)*BR80+(1-EXP(-LN(2)/2))/(LN(2)/2)*BL81*BO81*VLOOKUP('Données projet'!$B$11,Paramètres!$A$1:$I$89,3,0)*0.475*44/12</f>
        <v>1.1935142649465362E-6</v>
      </c>
      <c r="BS81" s="22">
        <f t="shared" si="63"/>
        <v>7.2496851524198505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12.913461538461533</v>
      </c>
      <c r="BY81" s="12">
        <f>IF('Données projet'!$A$114&gt;35,BY80+BX81-CG80,IF(A81&lt;'Données projet'!$A$114,$BV$205^A81,IF(A81='Données projet'!$A$114,'Données projet'!$B$114,BY80+BX81-CG80)))</f>
        <v>423.94807692307705</v>
      </c>
      <c r="BZ81" s="13">
        <f>BY81*VLOOKUP('Données projet'!$B$12,Paramètres!$A$1:$I$89,3,0)*VLOOKUP('Données projet'!$B$12,Paramètres!$A$1:$I$89,5,0)</f>
        <v>198.40770000000006</v>
      </c>
      <c r="CA81" s="13">
        <f t="shared" si="93"/>
        <v>49.394065749424826</v>
      </c>
      <c r="CB81" s="20">
        <f t="shared" si="64"/>
        <v>431.58807534691499</v>
      </c>
      <c r="CC81" s="59">
        <f t="shared" si="65"/>
        <v>724.92140868024831</v>
      </c>
      <c r="CD81" s="59">
        <f ca="1">AVERAGE(OFFSET($CC$3,0,0,'Données projet'!$E$12+1,1))-AVERAGE(OFFSET($H$3,0,0,'Données projet'!$E$12+1,1))</f>
        <v>158.58786357608489</v>
      </c>
      <c r="CE81" s="59">
        <f t="shared" si="94"/>
        <v>163.20074068819849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3.1</v>
      </c>
      <c r="CT81" s="12">
        <f>IF('Données projet'!$A$140&gt;35,CT80+CS81-DB80,IF(A81&lt;'Données projet'!$A$140,$CQ$205^A81,IF(A81='Données projet'!$A$140,'Données projet'!$B$140,CT80+CS81-DB80)))</f>
        <v>277.8</v>
      </c>
      <c r="CU81" s="17">
        <f>CT81*VLOOKUP('Données projet'!$B$13,Paramètres!$A$1:$I$89,3,0)*VLOOKUP('Données projet'!$B$13,Paramètres!$A$1:$I$89,5,0)</f>
        <v>203.68296000000001</v>
      </c>
      <c r="CV81" s="13">
        <f t="shared" si="95"/>
        <v>50.552709277761799</v>
      </c>
      <c r="CW81" s="20">
        <f t="shared" si="67"/>
        <v>442.7937906587685</v>
      </c>
      <c r="CX81" s="59">
        <f t="shared" si="68"/>
        <v>736.12712399210182</v>
      </c>
      <c r="CY81" s="59">
        <f ca="1">AVERAGE(OFFSET($CX$3,0,0,'Données projet'!$E$13+1,1))-AVERAGE(OFFSET($H$3,0,0,'Données projet'!$E$13+1,1))</f>
        <v>178.12968684094687</v>
      </c>
      <c r="CZ81" s="59">
        <f t="shared" si="96"/>
        <v>219.36004077210373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2.0317090641961242</v>
      </c>
      <c r="DH81" s="21">
        <f>EXP(-LN(2)/2)*DH80+(1-EXP(-LN(2)/2))/(LN(2)/2)*DB81*DE81*VLOOKUP('Données projet'!$B$13,Paramètres!$A$1:$I$89,3,0)*0.475*44/12</f>
        <v>5.9112993464908166E-7</v>
      </c>
      <c r="DI81" s="22">
        <f t="shared" si="69"/>
        <v>2.031709655326059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-8.5265128291212022E-14</v>
      </c>
      <c r="DP81" s="17">
        <f>DO81*VLOOKUP('Données projet'!$B$14,Paramètres!$A$1:$I$89,3,0)*VLOOKUP('Données projet'!$B$14,Paramètres!$A$1:$I$89,5,0)</f>
        <v>-7.7147888077888636E-14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225.28075317732998</v>
      </c>
      <c r="DU81" s="59">
        <f t="shared" si="98"/>
        <v>358.43407531256207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0.86714075714350203</v>
      </c>
      <c r="EB81" s="21">
        <f>EXP(-LN(2)/25)*EB80+(1-EXP(-LN(2)/25))/(LN(2)/25)*Calculateur!DW81*Calculateur!DY81*VLOOKUP('Données projet'!$B$14,Paramètres!$A$1:$I$89,3,0)*0.475*44/12</f>
        <v>2.1859282858427487</v>
      </c>
      <c r="EC81" s="21">
        <f>EXP(-LN(2)/2)*EC80+(1-EXP(-LN(2)/2))/(LN(2)/2)*DW81*DZ81*VLOOKUP('Données projet'!$B$14,Paramètres!$A$1:$I$89,3,0)*0.475*44/12</f>
        <v>2.6309616058883212E-7</v>
      </c>
      <c r="ED81" s="22">
        <f t="shared" si="72"/>
        <v>3.0530693060824112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8.1746794871794854</v>
      </c>
      <c r="EJ81" s="12">
        <f>IF('Données projet'!$A$192&gt;35,EJ80+EI81-ER80,IF(A81&lt;'Données projet'!$A$192,$EG$205^A81,IF(A81='Données projet'!$A$192,'Données projet'!$B$192,EJ80+EI81-ER80)))</f>
        <v>269.61538461538453</v>
      </c>
      <c r="EK81" s="17">
        <f>EJ81*VLOOKUP('Données projet'!$B$15,Paramètres!$A$1:$I$89,3,0)*VLOOKUP('Données projet'!$B$15,Paramètres!$A$1:$I$89,5,0)</f>
        <v>273.38999999999993</v>
      </c>
      <c r="EL81" s="13">
        <f t="shared" si="99"/>
        <v>65.568189564466451</v>
      </c>
      <c r="EM81" s="20">
        <f t="shared" si="73"/>
        <v>590.35218015811222</v>
      </c>
      <c r="EN81" s="59">
        <f t="shared" si="74"/>
        <v>883.68551349144559</v>
      </c>
      <c r="EO81" s="59">
        <f ca="1">AVERAGE(OFFSET($EN$3,0,0,'Données projet'!$E$15+1,1))-AVERAGE(OFFSET($H$3,0,0,'Données projet'!$E$15+1,1))</f>
        <v>363.98308691765931</v>
      </c>
      <c r="EP81" s="59">
        <f t="shared" si="100"/>
        <v>181.47089407988187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8.1746794871794854</v>
      </c>
      <c r="FE81" s="12">
        <f>IF('Données projet'!$A$218&gt;35,FE80+FD81-FM80,IF(A81&lt;'Données projet'!$A$218,$FB$205^A81,IF(A81='Données projet'!$A$218,'Données projet'!$B$218,FE80+FD81-FM80)))</f>
        <v>269.61538461538453</v>
      </c>
      <c r="FF81" s="17">
        <f>FE81*VLOOKUP('Données projet'!$B$16,Paramètres!$A$1:$I$89,3,0)*VLOOKUP('Données projet'!$B$16,Paramètres!$A$1:$I$89,5,0)</f>
        <v>290.21399999999988</v>
      </c>
      <c r="FG81" s="13">
        <f t="shared" si="101"/>
        <v>69.120999098901137</v>
      </c>
      <c r="FH81" s="20">
        <f t="shared" si="76"/>
        <v>625.84179009725256</v>
      </c>
      <c r="FI81" s="59">
        <f t="shared" si="77"/>
        <v>919.17512343058593</v>
      </c>
      <c r="FJ81" s="59">
        <f ca="1">AVERAGE(OFFSET($FI$3,0,0,'Données projet'!$E$16+1,1))-AVERAGE(OFFSET($H$3,0,0,'Données projet'!$E$16+1,1))</f>
        <v>395.30533160963489</v>
      </c>
      <c r="FK81" s="59">
        <f t="shared" si="102"/>
        <v>196.02102977695085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3.7</v>
      </c>
      <c r="FZ81" s="12">
        <f>IF('Données projet'!$A$244&gt;35,FZ80+FY81-GH80,IF(A81&lt;'Données projet'!$A$244,$FW$205^A81,IF(A81='Données projet'!$A$244,'Données projet'!$B$244,FZ80+FY81-GH80)))</f>
        <v>233.59999999999988</v>
      </c>
      <c r="GA81" s="17">
        <f>FZ81*VLOOKUP('Données projet'!$B$17,Paramètres!$A$1:$I$89,3,0)*VLOOKUP('Données projet'!$B$17,Paramètres!$A$1:$I$89,5,0)</f>
        <v>244.15871999999987</v>
      </c>
      <c r="GB81" s="13">
        <f t="shared" si="103"/>
        <v>59.333402749839792</v>
      </c>
      <c r="GC81" s="20">
        <f t="shared" si="79"/>
        <v>528.58211378930412</v>
      </c>
      <c r="GD81" s="59">
        <f t="shared" si="80"/>
        <v>821.91544712263749</v>
      </c>
      <c r="GE81" s="59">
        <f ca="1">AVERAGE(OFFSET($GD$3,0,0,'Données projet'!$E$17+1,1))-AVERAGE(OFFSET($H$3,0,0,'Données projet'!$E$17+1,1))</f>
        <v>269.41185214595805</v>
      </c>
      <c r="GF81" s="59">
        <f t="shared" si="104"/>
        <v>299.70148160580993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2.4509776902155238</v>
      </c>
      <c r="GM81" s="21">
        <f>EXP(-LN(2)/25)*GM80+(1-EXP(-LN(2)/25))/(LN(2)/25)*Calculateur!GH81*Calculateur!GJ81*VLOOKUP('Données projet'!$B$17,Paramètres!$A$1:$I$89,3,0)*0.475*44/12</f>
        <v>4.2871224950283153</v>
      </c>
      <c r="GN81" s="21">
        <f>EXP(-LN(2)/2)*GN80+(1-EXP(-LN(2)/2))/(LN(2)/2)*GH81*GK81*VLOOKUP('Données projet'!$B$17,Paramètres!$A$1:$I$89,3,0)*0.475*44/12</f>
        <v>1.1389654018484053E-6</v>
      </c>
      <c r="GO81" s="21">
        <f t="shared" si="81"/>
        <v>6.7381013242092411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3.1</v>
      </c>
      <c r="GU81" s="12">
        <f>IF('Données projet'!$A$270&gt;35,GU80+GT81-HC80,IF(A81&lt;'Données projet'!$A$270,$GR$205^A81,IF(A81='Données projet'!$A$270,'Données projet'!$B$270,GU80+GT81-HC80)))</f>
        <v>277.8</v>
      </c>
      <c r="GV81" s="17">
        <f>GU81*VLOOKUP('Données projet'!$B$18,Paramètres!$A$1:$I$89,3,0)*VLOOKUP('Données projet'!$B$18,Paramètres!$A$1:$I$89,5,0)</f>
        <v>242.68608000000003</v>
      </c>
      <c r="GW81" s="13">
        <f t="shared" si="105"/>
        <v>59.017078793426712</v>
      </c>
      <c r="GX81" s="20">
        <f t="shared" si="82"/>
        <v>525.46633489855151</v>
      </c>
      <c r="GY81" s="59">
        <f t="shared" si="83"/>
        <v>818.79966823188488</v>
      </c>
      <c r="GZ81" s="59">
        <f ca="1">AVERAGE(OFFSET($GY$3,0,0,'Données projet'!$E$18+1,1))-AVERAGE(OFFSET($H$3,0,0,'Données projet'!$E$18+1,1))</f>
        <v>226.35975611953359</v>
      </c>
      <c r="HA81" s="59">
        <f t="shared" si="106"/>
        <v>271.65876694892461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2.9837271165433443</v>
      </c>
      <c r="HI81" s="21">
        <f>EXP(-LN(2)/2)*HI80+(1-EXP(-LN(2)/2))/(LN(2)/2)*HC81*HF81*VLOOKUP('Données projet'!$B$18,Paramètres!$A$1:$I$89,3,0)*0.475*44/12</f>
        <v>7.0432502851805459E-7</v>
      </c>
      <c r="HJ81" s="22">
        <f t="shared" si="84"/>
        <v>2.9837278208683728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8.1746794871794854</v>
      </c>
      <c r="N82" s="13">
        <f>IF('Données projet'!$A$36&gt;35,N81+M82-V81,IF(A82&lt;'Données projet'!$A$36,$K$205^A82,IF(A82='Données projet'!$A$36,'Données projet'!$B$36,N81+M82-V81)))</f>
        <v>277.79006410256403</v>
      </c>
      <c r="O82" s="13">
        <f>N82*VLOOKUP('Données projet'!$B$9,Paramètres!$A$1:$I$89,3,0)*VLOOKUP('Données projet'!$B$9,Paramètres!$A$1:$I$89,5,0)</f>
        <v>251.34444999999991</v>
      </c>
      <c r="P82" s="13">
        <f t="shared" si="87"/>
        <v>60.873744657540833</v>
      </c>
      <c r="Q82" s="20">
        <f t="shared" si="54"/>
        <v>543.78002236188331</v>
      </c>
      <c r="R82" s="59">
        <f t="shared" si="55"/>
        <v>837.11335569521657</v>
      </c>
      <c r="S82" s="59">
        <f ca="1">AVERAGE(OFFSET($R$3,0,0,'Données projet'!$E$9+1,1))-AVERAGE(OFFSET($H$3,0,0,'Données projet'!$E$9+1,1))</f>
        <v>309.07357540707869</v>
      </c>
      <c r="T82" s="59">
        <f t="shared" si="88"/>
        <v>155.9593924683299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3.7</v>
      </c>
      <c r="AI82" s="13">
        <f>IF('Données projet'!$A$62&gt;35,AI81+AH82-AQ81,IF(A82&lt;'Données projet'!$A$62,$AF$205^A82,IF(A82='Données projet'!$A$62,'Données projet'!$B$62,AI81+AH82-AQ81)))</f>
        <v>237.29999999999987</v>
      </c>
      <c r="AJ82" s="13">
        <f>AI82*VLOOKUP('Données projet'!$B$10,Paramètres!$A$1:$I$89,3,0)*VLOOKUP('Données projet'!$B$10,Paramètres!$A$1:$I$89,5,0)</f>
        <v>207.30527999999993</v>
      </c>
      <c r="AK82" s="13">
        <f t="shared" si="89"/>
        <v>51.346279688817212</v>
      </c>
      <c r="AL82" s="20">
        <f t="shared" si="58"/>
        <v>450.48479979135647</v>
      </c>
      <c r="AM82" s="59">
        <f t="shared" si="59"/>
        <v>743.81813312468978</v>
      </c>
      <c r="AN82" s="59">
        <f ca="1">AVERAGE(OFFSET($AM$3,0,0,'Données projet'!$E$10+1,1))-AVERAGE(OFFSET($H$3,0,0,'Données projet'!$E$10+1,1))</f>
        <v>210.07838338464626</v>
      </c>
      <c r="AO82" s="59">
        <f t="shared" si="90"/>
        <v>241.76003724236273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2.0084069956554291</v>
      </c>
      <c r="AV82" s="21">
        <f>EXP(-LN(2)/25)*AV81+(1-EXP(-LN(2)/25))/(LN(2)/25)*Calculateur!AQ82*Calculateur!AS82*VLOOKUP('Données projet'!$B$10,Paramètres!$A$1:$I$89,3,0)*0.475*44/12</f>
        <v>3.4852819504074679</v>
      </c>
      <c r="AW82" s="21">
        <f>EXP(-LN(2)/2)*AW81+(1-EXP(-LN(2)/2))/(LN(2)/2)*AQ82*AT82*VLOOKUP('Données projet'!$B$10,Paramètres!$A$1:$I$89,3,0)*0.475*44/12</f>
        <v>6.7314520767607125E-7</v>
      </c>
      <c r="AX82" s="21">
        <f t="shared" si="60"/>
        <v>5.4936896192081051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6.1</v>
      </c>
      <c r="BD82" s="12">
        <f>IF('Données projet'!$A$88&gt;35,BD81+BC82-BL81,IF(A82&lt;'Données projet'!$A$88,$BA$205^A82,IF(A82='Données projet'!$A$88,'Données projet'!$B$88,BD81+BC82-BL81)))</f>
        <v>366.9000000000002</v>
      </c>
      <c r="BE82" s="13">
        <f>BD82*VLOOKUP('Données projet'!$B$11,Paramètres!$A$1:$I$89,3,0)*VLOOKUP('Données projet'!$B$11,Paramètres!$A$1:$I$89,5,0)</f>
        <v>200.3274000000001</v>
      </c>
      <c r="BF82" s="13">
        <f t="shared" si="91"/>
        <v>49.816113484973513</v>
      </c>
      <c r="BG82" s="20">
        <f t="shared" si="61"/>
        <v>435.66661931966229</v>
      </c>
      <c r="BH82" s="59">
        <f t="shared" si="62"/>
        <v>728.9999526529956</v>
      </c>
      <c r="BI82" s="59">
        <f ca="1">AVERAGE(OFFSET($BH$3,0,0,'Données projet'!$E$11+1,1))-AVERAGE(OFFSET($H$3,0,0,'Données projet'!$E$11+1,1))</f>
        <v>168.72306536277267</v>
      </c>
      <c r="BJ82" s="59">
        <f t="shared" si="92"/>
        <v>203.35476578922339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1.1527318572239811</v>
      </c>
      <c r="BQ82" s="21">
        <f>EXP(-LN(2)/25)*BQ81+(1-EXP(-LN(2)/25))/(LN(2)/25)*Calculateur!BL82*Calculateur!BN82*VLOOKUP('Données projet'!$B$11,Paramètres!$A$1:$I$89,3,0)*0.475*44/12</f>
        <v>5.9078046144572749</v>
      </c>
      <c r="BR82" s="21">
        <f>EXP(-LN(2)/2)*BR81+(1-EXP(-LN(2)/2))/(LN(2)/2)*BL82*BO82*VLOOKUP('Données projet'!$B$11,Paramètres!$A$1:$I$89,3,0)*0.475*44/12</f>
        <v>8.4394203018657349E-7</v>
      </c>
      <c r="BS82" s="22">
        <f t="shared" si="63"/>
        <v>7.0605373156232858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>
        <f>VLOOKUP(A82,'Données projet'!$A$113:$I$133,2,0)</f>
        <v>436.86153846153843</v>
      </c>
      <c r="BW82" s="12">
        <f>VLOOKUP(A82,'Données projet'!$A$113:$I$133,9,0)</f>
        <v>12.913461538461533</v>
      </c>
      <c r="BX82" s="12">
        <f t="array" ref="BX82">INDEX(BW:BW,MIN(IF(ISNUMBER(BW82:BW278),ROW(BW82:BW278),"")))</f>
        <v>12.913461538461533</v>
      </c>
      <c r="BY82" s="12">
        <f>IF('Données projet'!$A$114&gt;35,BY81+BX82-CG81,IF(A82&lt;'Données projet'!$A$114,$BV$205^A82,IF(A82='Données projet'!$A$114,'Données projet'!$B$114,BY81+BX82-CG81)))</f>
        <v>436.8615384615386</v>
      </c>
      <c r="BZ82" s="13">
        <f>BY82*VLOOKUP('Données projet'!$B$12,Paramètres!$A$1:$I$89,3,0)*VLOOKUP('Données projet'!$B$12,Paramètres!$A$1:$I$89,5,0)</f>
        <v>204.45120000000009</v>
      </c>
      <c r="CA82" s="13">
        <f t="shared" si="93"/>
        <v>50.721150021305952</v>
      </c>
      <c r="CB82" s="20">
        <f t="shared" si="64"/>
        <v>444.42517628710794</v>
      </c>
      <c r="CC82" s="59">
        <f t="shared" si="65"/>
        <v>737.75850962044126</v>
      </c>
      <c r="CD82" s="59">
        <f ca="1">AVERAGE(OFFSET($CC$3,0,0,'Données projet'!$E$12+1,1))-AVERAGE(OFFSET($H$3,0,0,'Données projet'!$E$12+1,1))</f>
        <v>158.58786357608489</v>
      </c>
      <c r="CE82" s="59">
        <f t="shared" si="94"/>
        <v>163.20074068819849</v>
      </c>
      <c r="CF82" s="15">
        <f>IF(ISNA(VLOOKUP(A82,'Données projet'!$A$113:$I$133,3,0)),0,VLOOKUP(A82,'Données projet'!$A$113:$I$133,3,0))</f>
        <v>6</v>
      </c>
      <c r="CG82" s="15">
        <f>IF(ISNA(VLOOKUP(A82,'Données projet'!$A$113:$I$133,4,0)),0,VLOOKUP(A82,'Données projet'!$A$113:$I$133,4,0))</f>
        <v>77.338461538461544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3.1</v>
      </c>
      <c r="CT82" s="12">
        <f>IF('Données projet'!$A$140&gt;35,CT81+CS82-DB81,IF(A82&lt;'Données projet'!$A$140,$CQ$205^A82,IF(A82='Données projet'!$A$140,'Données projet'!$B$140,CT81+CS82-DB81)))</f>
        <v>280.90000000000003</v>
      </c>
      <c r="CU82" s="17">
        <f>CT82*VLOOKUP('Données projet'!$B$13,Paramètres!$A$1:$I$89,3,0)*VLOOKUP('Données projet'!$B$13,Paramètres!$A$1:$I$89,5,0)</f>
        <v>205.95588000000001</v>
      </c>
      <c r="CV82" s="13">
        <f t="shared" si="95"/>
        <v>51.050846061092926</v>
      </c>
      <c r="CW82" s="20">
        <f t="shared" si="67"/>
        <v>447.62004788973678</v>
      </c>
      <c r="CX82" s="59">
        <f t="shared" si="68"/>
        <v>740.9533812230701</v>
      </c>
      <c r="CY82" s="59">
        <f ca="1">AVERAGE(OFFSET($CX$3,0,0,'Données projet'!$E$13+1,1))-AVERAGE(OFFSET($H$3,0,0,'Données projet'!$E$13+1,1))</f>
        <v>178.12968684094687</v>
      </c>
      <c r="CZ82" s="59">
        <f t="shared" si="96"/>
        <v>219.36004077210373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1.976151872992745</v>
      </c>
      <c r="DH82" s="21">
        <f>EXP(-LN(2)/2)*DH81+(1-EXP(-LN(2)/2))/(LN(2)/2)*DB82*DE82*VLOOKUP('Données projet'!$B$13,Paramètres!$A$1:$I$89,3,0)*0.475*44/12</f>
        <v>4.1799198535272633E-7</v>
      </c>
      <c r="DI82" s="22">
        <f t="shared" si="69"/>
        <v>1.9761522909847302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-8.5265128291212022E-14</v>
      </c>
      <c r="DP82" s="17">
        <f>DO82*VLOOKUP('Données projet'!$B$14,Paramètres!$A$1:$I$89,3,0)*VLOOKUP('Données projet'!$B$14,Paramètres!$A$1:$I$89,5,0)</f>
        <v>-7.7147888077888636E-14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225.28075317732998</v>
      </c>
      <c r="DU82" s="59">
        <f t="shared" si="98"/>
        <v>358.43407531256207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0.85013665579955489</v>
      </c>
      <c r="EB82" s="21">
        <f>EXP(-LN(2)/25)*EB81+(1-EXP(-LN(2)/25))/(LN(2)/25)*Calculateur!DW82*Calculateur!DY82*VLOOKUP('Données projet'!$B$14,Paramètres!$A$1:$I$89,3,0)*0.475*44/12</f>
        <v>2.1261539619134062</v>
      </c>
      <c r="EC82" s="21">
        <f>EXP(-LN(2)/2)*EC81+(1-EXP(-LN(2)/2))/(LN(2)/2)*DW82*DZ82*VLOOKUP('Données projet'!$B$14,Paramètres!$A$1:$I$89,3,0)*0.475*44/12</f>
        <v>1.8603707925650808E-7</v>
      </c>
      <c r="ED82" s="22">
        <f t="shared" si="72"/>
        <v>2.9762908037500404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8.1746794871794854</v>
      </c>
      <c r="EJ82" s="12">
        <f>IF('Données projet'!$A$192&gt;35,EJ81+EI82-ER81,IF(A82&lt;'Données projet'!$A$192,$EG$205^A82,IF(A82='Données projet'!$A$192,'Données projet'!$B$192,EJ81+EI82-ER81)))</f>
        <v>277.79006410256403</v>
      </c>
      <c r="EK82" s="17">
        <f>EJ82*VLOOKUP('Données projet'!$B$15,Paramètres!$A$1:$I$89,3,0)*VLOOKUP('Données projet'!$B$15,Paramètres!$A$1:$I$89,5,0)</f>
        <v>281.67912499999994</v>
      </c>
      <c r="EL82" s="13">
        <f t="shared" si="99"/>
        <v>67.321732690081475</v>
      </c>
      <c r="EM82" s="20">
        <f t="shared" si="73"/>
        <v>607.84316047689174</v>
      </c>
      <c r="EN82" s="59">
        <f t="shared" si="74"/>
        <v>901.17649381022511</v>
      </c>
      <c r="EO82" s="59">
        <f ca="1">AVERAGE(OFFSET($EN$3,0,0,'Données projet'!$E$15+1,1))-AVERAGE(OFFSET($H$3,0,0,'Données projet'!$E$15+1,1))</f>
        <v>363.98308691765931</v>
      </c>
      <c r="EP82" s="59">
        <f t="shared" si="100"/>
        <v>181.47089407988187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8.1746794871794854</v>
      </c>
      <c r="FE82" s="12">
        <f>IF('Données projet'!$A$218&gt;35,FE81+FD82-FM81,IF(A82&lt;'Données projet'!$A$218,$FB$205^A82,IF(A82='Données projet'!$A$218,'Données projet'!$B$218,FE81+FD82-FM81)))</f>
        <v>277.79006410256403</v>
      </c>
      <c r="FF82" s="17">
        <f>FE82*VLOOKUP('Données projet'!$B$16,Paramètres!$A$1:$I$89,3,0)*VLOOKUP('Données projet'!$B$16,Paramètres!$A$1:$I$89,5,0)</f>
        <v>299.01322499999992</v>
      </c>
      <c r="FG82" s="13">
        <f t="shared" si="101"/>
        <v>70.969557883437147</v>
      </c>
      <c r="FH82" s="20">
        <f t="shared" si="76"/>
        <v>644.3866801886528</v>
      </c>
      <c r="FI82" s="59">
        <f t="shared" si="77"/>
        <v>937.72001352198617</v>
      </c>
      <c r="FJ82" s="59">
        <f ca="1">AVERAGE(OFFSET($FI$3,0,0,'Données projet'!$E$16+1,1))-AVERAGE(OFFSET($H$3,0,0,'Données projet'!$E$16+1,1))</f>
        <v>395.30533160963489</v>
      </c>
      <c r="FK82" s="59">
        <f t="shared" si="102"/>
        <v>196.02102977695085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3.7</v>
      </c>
      <c r="FZ82" s="12">
        <f>IF('Données projet'!$A$244&gt;35,FZ81+FY82-GH81,IF(A82&lt;'Données projet'!$A$244,$FW$205^A82,IF(A82='Données projet'!$A$244,'Données projet'!$B$244,FZ81+FY82-GH81)))</f>
        <v>237.29999999999987</v>
      </c>
      <c r="GA82" s="17">
        <f>FZ82*VLOOKUP('Données projet'!$B$17,Paramètres!$A$1:$I$89,3,0)*VLOOKUP('Données projet'!$B$17,Paramètres!$A$1:$I$89,5,0)</f>
        <v>248.02595999999988</v>
      </c>
      <c r="GB82" s="13">
        <f t="shared" si="103"/>
        <v>60.163035064146861</v>
      </c>
      <c r="GC82" s="20">
        <f t="shared" si="79"/>
        <v>536.76249973672225</v>
      </c>
      <c r="GD82" s="59">
        <f t="shared" si="80"/>
        <v>830.09583307005551</v>
      </c>
      <c r="GE82" s="59">
        <f ca="1">AVERAGE(OFFSET($GD$3,0,0,'Données projet'!$E$17+1,1))-AVERAGE(OFFSET($H$3,0,0,'Données projet'!$E$17+1,1))</f>
        <v>269.41185214595805</v>
      </c>
      <c r="GF82" s="59">
        <f t="shared" si="104"/>
        <v>299.70148160580993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2.4029155126591744</v>
      </c>
      <c r="GM82" s="21">
        <f>EXP(-LN(2)/25)*GM81+(1-EXP(-LN(2)/25))/(LN(2)/25)*Calculateur!GH82*Calculateur!GJ82*VLOOKUP('Données projet'!$B$17,Paramètres!$A$1:$I$89,3,0)*0.475*44/12</f>
        <v>4.1698909049517923</v>
      </c>
      <c r="GN82" s="21">
        <f>EXP(-LN(2)/2)*GN81+(1-EXP(-LN(2)/2))/(LN(2)/2)*GH82*GK82*VLOOKUP('Données projet'!$B$17,Paramètres!$A$1:$I$89,3,0)*0.475*44/12</f>
        <v>8.0537015918386852E-7</v>
      </c>
      <c r="GO82" s="21">
        <f t="shared" si="81"/>
        <v>6.5728072229811252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3.1</v>
      </c>
      <c r="GU82" s="12">
        <f>IF('Données projet'!$A$270&gt;35,GU81+GT82-HC81,IF(A82&lt;'Données projet'!$A$270,$GR$205^A82,IF(A82='Données projet'!$A$270,'Données projet'!$B$270,GU81+GT82-HC81)))</f>
        <v>280.90000000000003</v>
      </c>
      <c r="GV82" s="17">
        <f>GU82*VLOOKUP('Données projet'!$B$18,Paramètres!$A$1:$I$89,3,0)*VLOOKUP('Données projet'!$B$18,Paramètres!$A$1:$I$89,5,0)</f>
        <v>245.39424000000005</v>
      </c>
      <c r="GW82" s="13">
        <f t="shared" si="105"/>
        <v>59.598621864248685</v>
      </c>
      <c r="GX82" s="20">
        <f t="shared" si="82"/>
        <v>531.19590108023328</v>
      </c>
      <c r="GY82" s="59">
        <f t="shared" si="83"/>
        <v>824.52923441356666</v>
      </c>
      <c r="GZ82" s="59">
        <f ca="1">AVERAGE(OFFSET($GY$3,0,0,'Données projet'!$E$18+1,1))-AVERAGE(OFFSET($H$3,0,0,'Données projet'!$E$18+1,1))</f>
        <v>226.35975611953359</v>
      </c>
      <c r="HA82" s="59">
        <f t="shared" si="106"/>
        <v>271.65876694892461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2.902136941634077</v>
      </c>
      <c r="HI82" s="21">
        <f>EXP(-LN(2)/2)*HI81+(1-EXP(-LN(2)/2))/(LN(2)/2)*HC82*HF82*VLOOKUP('Données projet'!$B$18,Paramètres!$A$1:$I$89,3,0)*0.475*44/12</f>
        <v>4.9803300382452485E-7</v>
      </c>
      <c r="HJ82" s="22">
        <f t="shared" si="84"/>
        <v>2.9021374396670807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8.1746794871794854</v>
      </c>
      <c r="N83" s="13">
        <f>IF('Données projet'!$A$36&gt;35,N82+M83-V82,IF(A83&lt;'Données projet'!$A$36,$K$205^A83,IF(A83='Données projet'!$A$36,'Données projet'!$B$36,N82+M83-V82)))</f>
        <v>285.96474358974353</v>
      </c>
      <c r="O83" s="13">
        <f>N83*VLOOKUP('Données projet'!$B$9,Paramètres!$A$1:$I$89,3,0)*VLOOKUP('Données projet'!$B$9,Paramètres!$A$1:$I$89,5,0)</f>
        <v>258.7408999999999</v>
      </c>
      <c r="P83" s="13">
        <f t="shared" si="87"/>
        <v>62.453912936792911</v>
      </c>
      <c r="Q83" s="20">
        <f t="shared" si="54"/>
        <v>559.41429919824748</v>
      </c>
      <c r="R83" s="59">
        <f t="shared" si="55"/>
        <v>852.74763253158085</v>
      </c>
      <c r="S83" s="59">
        <f ca="1">AVERAGE(OFFSET($R$3,0,0,'Données projet'!$E$9+1,1))-AVERAGE(OFFSET($H$3,0,0,'Données projet'!$E$9+1,1))</f>
        <v>309.07357540707869</v>
      </c>
      <c r="T83" s="59">
        <f t="shared" si="88"/>
        <v>155.9593924683299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241</v>
      </c>
      <c r="AG83" s="12">
        <f>VLOOKUP(A83,'Données projet'!$A$61:$I$81,9,0)</f>
        <v>3.7</v>
      </c>
      <c r="AH83" s="12">
        <f t="array" ref="AH83">INDEX(AG:AG,MIN(IF(ISNUMBER(AG83:AG279),ROW(AG83:AG279),"")))</f>
        <v>3.7</v>
      </c>
      <c r="AI83" s="13">
        <f>IF('Données projet'!$A$62&gt;35,AI82+AH83-AQ82,IF(A83&lt;'Données projet'!$A$62,$AF$205^A83,IF(A83='Données projet'!$A$62,'Données projet'!$B$62,AI82+AH83-AQ82)))</f>
        <v>240.99999999999986</v>
      </c>
      <c r="AJ83" s="13">
        <f>AI83*VLOOKUP('Données projet'!$B$10,Paramètres!$A$1:$I$89,3,0)*VLOOKUP('Données projet'!$B$10,Paramètres!$A$1:$I$89,5,0)</f>
        <v>210.53759999999988</v>
      </c>
      <c r="AK83" s="13">
        <f t="shared" si="89"/>
        <v>52.053047337322234</v>
      </c>
      <c r="AL83" s="20">
        <f t="shared" si="58"/>
        <v>457.34537744583599</v>
      </c>
      <c r="AM83" s="59">
        <f t="shared" si="59"/>
        <v>750.67871077916925</v>
      </c>
      <c r="AN83" s="59">
        <f ca="1">AVERAGE(OFFSET($AM$3,0,0,'Données projet'!$E$10+1,1))-AVERAGE(OFFSET($H$3,0,0,'Données projet'!$E$10+1,1))</f>
        <v>210.07838338464626</v>
      </c>
      <c r="AO83" s="59">
        <f t="shared" si="90"/>
        <v>241.76003724236273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1.9690233594779341</v>
      </c>
      <c r="AV83" s="21">
        <f>EXP(-LN(2)/25)*AV82+(1-EXP(-LN(2)/25))/(LN(2)/25)*Calculateur!AQ83*Calculateur!AS83*VLOOKUP('Données projet'!$B$10,Paramètres!$A$1:$I$89,3,0)*0.475*44/12</f>
        <v>3.3899767321905636</v>
      </c>
      <c r="AW83" s="21">
        <f>EXP(-LN(2)/2)*AW82+(1-EXP(-LN(2)/2))/(LN(2)/2)*AQ83*AT83*VLOOKUP('Données projet'!$B$10,Paramètres!$A$1:$I$89,3,0)*0.475*44/12</f>
        <v>4.7598554107097685E-7</v>
      </c>
      <c r="AX83" s="21">
        <f t="shared" si="60"/>
        <v>5.3590005676540384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373</v>
      </c>
      <c r="BB83" s="12">
        <f>VLOOKUP(A83,'Données projet'!$A$87:$I$107,9,0)</f>
        <v>6.1</v>
      </c>
      <c r="BC83" s="12">
        <f t="array" ref="BC83">INDEX(BB:BB,MIN(IF(ISNUMBER(BB83:BB279),ROW(BB83:BB279),"")))</f>
        <v>6.1</v>
      </c>
      <c r="BD83" s="12">
        <f>IF('Données projet'!$A$88&gt;35,BD82+BC83-BL82,IF(A83&lt;'Données projet'!$A$88,$BA$205^A83,IF(A83='Données projet'!$A$88,'Données projet'!$B$88,BD82+BC83-BL82)))</f>
        <v>373.00000000000023</v>
      </c>
      <c r="BE83" s="13">
        <f>BD83*VLOOKUP('Données projet'!$B$11,Paramètres!$A$1:$I$89,3,0)*VLOOKUP('Données projet'!$B$11,Paramètres!$A$1:$I$89,5,0)</f>
        <v>203.6580000000001</v>
      </c>
      <c r="BF83" s="13">
        <f t="shared" si="91"/>
        <v>50.547235424843521</v>
      </c>
      <c r="BG83" s="20">
        <f t="shared" si="61"/>
        <v>442.74078503160263</v>
      </c>
      <c r="BH83" s="59">
        <f t="shared" si="62"/>
        <v>736.07411836493588</v>
      </c>
      <c r="BI83" s="59">
        <f ca="1">AVERAGE(OFFSET($BH$3,0,0,'Données projet'!$E$11+1,1))-AVERAGE(OFFSET($H$3,0,0,'Données projet'!$E$11+1,1))</f>
        <v>168.72306536277267</v>
      </c>
      <c r="BJ83" s="59">
        <f t="shared" si="92"/>
        <v>203.35476578922339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373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1.1301274886008266</v>
      </c>
      <c r="BQ83" s="21">
        <f>EXP(-LN(2)/25)*BQ82+(1-EXP(-LN(2)/25))/(LN(2)/25)*Calculateur!BL83*Calculateur!BN83*VLOOKUP('Données projet'!$B$11,Paramètres!$A$1:$I$89,3,0)*0.475*44/12</f>
        <v>5.7462553865969985</v>
      </c>
      <c r="BR83" s="21">
        <f>EXP(-LN(2)/2)*BR82+(1-EXP(-LN(2)/2))/(LN(2)/2)*BL83*BO83*VLOOKUP('Données projet'!$B$11,Paramètres!$A$1:$I$89,3,0)*0.475*44/12</f>
        <v>5.967571324732681E-7</v>
      </c>
      <c r="BS83" s="22">
        <f t="shared" si="63"/>
        <v>6.8763834719549575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12.124038461538468</v>
      </c>
      <c r="BY83" s="12">
        <f>IF('Données projet'!$A$114&gt;35,BY82+BX83-CG82,IF(A83&lt;'Données projet'!$A$114,$BV$205^A83,IF(A83='Données projet'!$A$114,'Données projet'!$B$114,BY82+BX83-CG82)))</f>
        <v>371.64711538461552</v>
      </c>
      <c r="BZ83" s="13">
        <f>BY83*VLOOKUP('Données projet'!$B$12,Paramètres!$A$1:$I$89,3,0)*VLOOKUP('Données projet'!$B$12,Paramètres!$A$1:$I$89,5,0)</f>
        <v>173.93085000000008</v>
      </c>
      <c r="CA83" s="13">
        <f t="shared" si="93"/>
        <v>43.969228534222836</v>
      </c>
      <c r="CB83" s="20">
        <f t="shared" si="64"/>
        <v>379.50930344710491</v>
      </c>
      <c r="CC83" s="59">
        <f t="shared" si="65"/>
        <v>672.84263678043817</v>
      </c>
      <c r="CD83" s="59">
        <f ca="1">AVERAGE(OFFSET($CC$3,0,0,'Données projet'!$E$12+1,1))-AVERAGE(OFFSET($H$3,0,0,'Données projet'!$E$12+1,1))</f>
        <v>158.58786357608489</v>
      </c>
      <c r="CE83" s="59">
        <f t="shared" si="94"/>
        <v>163.20074068819849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284</v>
      </c>
      <c r="CR83" s="12">
        <f>VLOOKUP(A83,'Données projet'!$A$139:$I$159,9,0)</f>
        <v>3.1</v>
      </c>
      <c r="CS83" s="12">
        <f t="array" ref="CS83">INDEX(CR:CR,MIN(IF(ISNUMBER(CR83:CR279),ROW(CR83:CR279),"")))</f>
        <v>3.1</v>
      </c>
      <c r="CT83" s="12">
        <f>IF('Données projet'!$A$140&gt;35,CT82+CS83-DB82,IF(A83&lt;'Données projet'!$A$140,$CQ$205^A83,IF(A83='Données projet'!$A$140,'Données projet'!$B$140,CT82+CS83-DB82)))</f>
        <v>284.00000000000006</v>
      </c>
      <c r="CU83" s="17">
        <f>CT83*VLOOKUP('Données projet'!$B$13,Paramètres!$A$1:$I$89,3,0)*VLOOKUP('Données projet'!$B$13,Paramètres!$A$1:$I$89,5,0)</f>
        <v>208.22880000000004</v>
      </c>
      <c r="CV83" s="13">
        <f t="shared" si="95"/>
        <v>51.548343342352297</v>
      </c>
      <c r="CW83" s="20">
        <f t="shared" si="67"/>
        <v>452.44519132126362</v>
      </c>
      <c r="CX83" s="59">
        <f t="shared" si="68"/>
        <v>745.77852465459694</v>
      </c>
      <c r="CY83" s="59">
        <f ca="1">AVERAGE(OFFSET($CX$3,0,0,'Données projet'!$E$13+1,1))-AVERAGE(OFFSET($H$3,0,0,'Données projet'!$E$13+1,1))</f>
        <v>178.12968684094687</v>
      </c>
      <c r="CZ83" s="59">
        <f t="shared" si="96"/>
        <v>219.36004077210373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284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1.9221138961044479</v>
      </c>
      <c r="DH83" s="21">
        <f>EXP(-LN(2)/2)*DH82+(1-EXP(-LN(2)/2))/(LN(2)/2)*DB83*DE83*VLOOKUP('Données projet'!$B$13,Paramètres!$A$1:$I$89,3,0)*0.475*44/12</f>
        <v>2.9556496732454083E-7</v>
      </c>
      <c r="DI83" s="22">
        <f t="shared" si="69"/>
        <v>1.9221141916694153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-8.5265128291212022E-14</v>
      </c>
      <c r="DP83" s="17">
        <f>DO83*VLOOKUP('Données projet'!$B$14,Paramètres!$A$1:$I$89,3,0)*VLOOKUP('Données projet'!$B$14,Paramètres!$A$1:$I$89,5,0)</f>
        <v>-7.7147888077888636E-14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225.28075317732998</v>
      </c>
      <c r="DU83" s="59">
        <f t="shared" si="98"/>
        <v>358.43407531256207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0.83346599451148484</v>
      </c>
      <c r="EB83" s="21">
        <f>EXP(-LN(2)/25)*EB82+(1-EXP(-LN(2)/25))/(LN(2)/25)*Calculateur!DW83*Calculateur!DY83*VLOOKUP('Données projet'!$B$14,Paramètres!$A$1:$I$89,3,0)*0.475*44/12</f>
        <v>2.0680141700153065</v>
      </c>
      <c r="EC83" s="21">
        <f>EXP(-LN(2)/2)*EC82+(1-EXP(-LN(2)/2))/(LN(2)/2)*DW83*DZ83*VLOOKUP('Données projet'!$B$14,Paramètres!$A$1:$I$89,3,0)*0.475*44/12</f>
        <v>1.3154808029441606E-7</v>
      </c>
      <c r="ED83" s="22">
        <f t="shared" si="72"/>
        <v>2.901480296074872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8.1746794871794854</v>
      </c>
      <c r="EJ83" s="12">
        <f>IF('Données projet'!$A$192&gt;35,EJ82+EI83-ER82,IF(A83&lt;'Données projet'!$A$192,$EG$205^A83,IF(A83='Données projet'!$A$192,'Données projet'!$B$192,EJ82+EI83-ER82)))</f>
        <v>285.96474358974353</v>
      </c>
      <c r="EK83" s="17">
        <f>EJ83*VLOOKUP('Données projet'!$B$15,Paramètres!$A$1:$I$89,3,0)*VLOOKUP('Données projet'!$B$15,Paramètres!$A$1:$I$89,5,0)</f>
        <v>289.96824999999995</v>
      </c>
      <c r="EL83" s="13">
        <f t="shared" si="99"/>
        <v>69.069278649338855</v>
      </c>
      <c r="EM83" s="20">
        <f t="shared" si="73"/>
        <v>625.32369573093172</v>
      </c>
      <c r="EN83" s="59">
        <f t="shared" si="74"/>
        <v>918.65702906426509</v>
      </c>
      <c r="EO83" s="59">
        <f ca="1">AVERAGE(OFFSET($EN$3,0,0,'Données projet'!$E$15+1,1))-AVERAGE(OFFSET($H$3,0,0,'Données projet'!$E$15+1,1))</f>
        <v>363.98308691765931</v>
      </c>
      <c r="EP83" s="59">
        <f t="shared" si="100"/>
        <v>181.47089407988187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8.1746794871794854</v>
      </c>
      <c r="FE83" s="12">
        <f>IF('Données projet'!$A$218&gt;35,FE82+FD83-FM82,IF(A83&lt;'Données projet'!$A$218,$FB$205^A83,IF(A83='Données projet'!$A$218,'Données projet'!$B$218,FE82+FD83-FM82)))</f>
        <v>285.96474358974353</v>
      </c>
      <c r="FF83" s="17">
        <f>FE83*VLOOKUP('Données projet'!$B$16,Paramètres!$A$1:$I$89,3,0)*VLOOKUP('Données projet'!$B$16,Paramètres!$A$1:$I$89,5,0)</f>
        <v>307.8124499999999</v>
      </c>
      <c r="FG83" s="13">
        <f t="shared" si="101"/>
        <v>72.811794545414131</v>
      </c>
      <c r="FH83" s="20">
        <f t="shared" si="76"/>
        <v>662.9205592499294</v>
      </c>
      <c r="FI83" s="59">
        <f t="shared" si="77"/>
        <v>956.25389258326277</v>
      </c>
      <c r="FJ83" s="59">
        <f ca="1">AVERAGE(OFFSET($FI$3,0,0,'Données projet'!$E$16+1,1))-AVERAGE(OFFSET($H$3,0,0,'Données projet'!$E$16+1,1))</f>
        <v>395.30533160963489</v>
      </c>
      <c r="FK83" s="59">
        <f t="shared" si="102"/>
        <v>196.02102977695085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241</v>
      </c>
      <c r="FX83" s="12">
        <f>VLOOKUP(A83,'Données projet'!$A$243:$I$263,9,0)</f>
        <v>3.7</v>
      </c>
      <c r="FY83" s="12">
        <f t="array" ref="FY83">INDEX(FX:FX,MIN(IF(ISNUMBER(FX83:FX279),ROW(FX83:FX279),"")))</f>
        <v>3.7</v>
      </c>
      <c r="FZ83" s="12">
        <f>IF('Données projet'!$A$244&gt;35,FZ82+FY83-GH82,IF(A83&lt;'Données projet'!$A$244,$FW$205^A83,IF(A83='Données projet'!$A$244,'Données projet'!$B$244,FZ82+FY83-GH82)))</f>
        <v>240.99999999999986</v>
      </c>
      <c r="GA83" s="17">
        <f>FZ83*VLOOKUP('Données projet'!$B$17,Paramètres!$A$1:$I$89,3,0)*VLOOKUP('Données projet'!$B$17,Paramètres!$A$1:$I$89,5,0)</f>
        <v>251.89319999999987</v>
      </c>
      <c r="GB83" s="13">
        <f t="shared" si="103"/>
        <v>60.991162965075837</v>
      </c>
      <c r="GC83" s="20">
        <f t="shared" si="79"/>
        <v>544.94026549750686</v>
      </c>
      <c r="GD83" s="59">
        <f t="shared" si="80"/>
        <v>838.27359883084023</v>
      </c>
      <c r="GE83" s="59">
        <f ca="1">AVERAGE(OFFSET($GD$3,0,0,'Données projet'!$E$17+1,1))-AVERAGE(OFFSET($H$3,0,0,'Données projet'!$E$17+1,1))</f>
        <v>269.41185214595805</v>
      </c>
      <c r="GF83" s="59">
        <f t="shared" si="104"/>
        <v>299.70148160580993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27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2.3557958050896715</v>
      </c>
      <c r="GM83" s="21">
        <f>EXP(-LN(2)/25)*GM82+(1-EXP(-LN(2)/25))/(LN(2)/25)*Calculateur!GH83*Calculateur!GJ83*VLOOKUP('Données projet'!$B$17,Paramètres!$A$1:$I$89,3,0)*0.475*44/12</f>
        <v>4.0558650188708532</v>
      </c>
      <c r="GN83" s="21">
        <f>EXP(-LN(2)/2)*GN82+(1-EXP(-LN(2)/2))/(LN(2)/2)*GH83*GK83*VLOOKUP('Données projet'!$B$17,Paramètres!$A$1:$I$89,3,0)*0.475*44/12</f>
        <v>5.6948270092420267E-7</v>
      </c>
      <c r="GO83" s="21">
        <f t="shared" si="81"/>
        <v>6.4116613934432252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284</v>
      </c>
      <c r="GS83" s="12">
        <f>VLOOKUP(A83,'Données projet'!$A$269:$I$289,9,0)</f>
        <v>3.1</v>
      </c>
      <c r="GT83" s="12">
        <f t="array" ref="GT83">INDEX(GS:GS,MIN(IF(ISNUMBER(GS83:GS279),ROW(GS83:GS279),"")))</f>
        <v>3.1</v>
      </c>
      <c r="GU83" s="12">
        <f>IF('Données projet'!$A$270&gt;35,GU82+GT83-HC82,IF(A83&lt;'Données projet'!$A$270,$GR$205^A83,IF(A83='Données projet'!$A$270,'Données projet'!$B$270,GU82+GT83-HC82)))</f>
        <v>284.00000000000006</v>
      </c>
      <c r="GV83" s="17">
        <f>GU83*VLOOKUP('Données projet'!$B$18,Paramètres!$A$1:$I$89,3,0)*VLOOKUP('Données projet'!$B$18,Paramètres!$A$1:$I$89,5,0)</f>
        <v>248.10240000000007</v>
      </c>
      <c r="GW83" s="13">
        <f t="shared" si="105"/>
        <v>60.179418356999982</v>
      </c>
      <c r="GX83" s="20">
        <f t="shared" si="82"/>
        <v>536.92416697177521</v>
      </c>
      <c r="GY83" s="59">
        <f t="shared" si="83"/>
        <v>830.25750030510858</v>
      </c>
      <c r="GZ83" s="59">
        <f ca="1">AVERAGE(OFFSET($GY$3,0,0,'Données projet'!$E$18+1,1))-AVERAGE(OFFSET($H$3,0,0,'Données projet'!$E$18+1,1))</f>
        <v>226.35975611953359</v>
      </c>
      <c r="HA83" s="59">
        <f t="shared" si="106"/>
        <v>271.65876694892461</v>
      </c>
      <c r="HB83" s="15">
        <f>IF(ISNA(VLOOKUP(A83,'Données projet'!$A$269:$I$289,3,0)),0,VLOOKUP(A83,'Données projet'!$A$269:$I$289,3,0))</f>
        <v>7</v>
      </c>
      <c r="HC83" s="15">
        <f>IF(ISNA(VLOOKUP(A83,'Données projet'!$A$269:$I$289,4,0)),0,VLOOKUP(A83,'Données projet'!$A$269:$I$289,4,0))</f>
        <v>284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2.8227778543483444</v>
      </c>
      <c r="HI83" s="21">
        <f>EXP(-LN(2)/2)*HI82+(1-EXP(-LN(2)/2))/(LN(2)/2)*HC83*HF83*VLOOKUP('Données projet'!$B$18,Paramètres!$A$1:$I$89,3,0)*0.475*44/12</f>
        <v>3.5216251425902729E-7</v>
      </c>
      <c r="HJ83" s="22">
        <f t="shared" si="84"/>
        <v>2.8227782065108586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8.1746794871794854</v>
      </c>
      <c r="N84" s="13">
        <f>IF('Données projet'!$A$36&gt;35,N83+M84-V83,IF(A84&lt;'Données projet'!$A$36,$K$205^A84,IF(A84='Données projet'!$A$36,'Données projet'!$B$36,N83+M84-V83)))</f>
        <v>294.13942307692304</v>
      </c>
      <c r="O84" s="13">
        <f>N84*VLOOKUP('Données projet'!$B$9,Paramètres!$A$1:$I$89,3,0)*VLOOKUP('Données projet'!$B$9,Paramètres!$A$1:$I$89,5,0)</f>
        <v>266.13734999999997</v>
      </c>
      <c r="P84" s="13">
        <f t="shared" si="87"/>
        <v>64.02883127145283</v>
      </c>
      <c r="Q84" s="20">
        <f t="shared" si="54"/>
        <v>575.03943238111356</v>
      </c>
      <c r="R84" s="59">
        <f t="shared" si="55"/>
        <v>868.37276571444681</v>
      </c>
      <c r="S84" s="59">
        <f ca="1">AVERAGE(OFFSET($R$3,0,0,'Données projet'!$E$9+1,1))-AVERAGE(OFFSET($H$3,0,0,'Données projet'!$E$9+1,1))</f>
        <v>309.07357540707869</v>
      </c>
      <c r="T84" s="59">
        <f t="shared" si="88"/>
        <v>155.9593924683299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3.1</v>
      </c>
      <c r="AI84" s="13">
        <f>IF('Données projet'!$A$62&gt;35,AI83+AH84-AQ83,IF(A84&lt;'Données projet'!$A$62,$AF$205^A84,IF(A84='Données projet'!$A$62,'Données projet'!$B$62,AI83+AH84-AQ83)))</f>
        <v>217.09999999999985</v>
      </c>
      <c r="AJ84" s="13">
        <f>AI84*VLOOKUP('Données projet'!$B$10,Paramètres!$A$1:$I$89,3,0)*VLOOKUP('Données projet'!$B$10,Paramètres!$A$1:$I$89,5,0)</f>
        <v>189.65855999999988</v>
      </c>
      <c r="AK84" s="13">
        <f t="shared" si="89"/>
        <v>47.464457414655961</v>
      </c>
      <c r="AL84" s="20">
        <f t="shared" si="58"/>
        <v>412.98925533052557</v>
      </c>
      <c r="AM84" s="59">
        <f t="shared" si="59"/>
        <v>706.32258866385882</v>
      </c>
      <c r="AN84" s="59">
        <f ca="1">AVERAGE(OFFSET($AM$3,0,0,'Données projet'!$E$10+1,1))-AVERAGE(OFFSET($H$3,0,0,'Données projet'!$E$10+1,1))</f>
        <v>210.07838338464626</v>
      </c>
      <c r="AO84" s="59">
        <f t="shared" si="90"/>
        <v>241.76003724236273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1.9304120123842337</v>
      </c>
      <c r="AV84" s="21">
        <f>EXP(-LN(2)/25)*AV83+(1-EXP(-LN(2)/25))/(LN(2)/25)*Calculateur!AQ84*Calculateur!AS84*VLOOKUP('Données projet'!$B$10,Paramètres!$A$1:$I$89,3,0)*0.475*44/12</f>
        <v>3.297277640177684</v>
      </c>
      <c r="AW84" s="21">
        <f>EXP(-LN(2)/2)*AW83+(1-EXP(-LN(2)/2))/(LN(2)/2)*AQ84*AT84*VLOOKUP('Données projet'!$B$10,Paramètres!$A$1:$I$89,3,0)*0.475*44/12</f>
        <v>3.3657260383803568E-7</v>
      </c>
      <c r="AX84" s="21">
        <f t="shared" si="60"/>
        <v>5.2276899891345208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2.2737367544323206E-13</v>
      </c>
      <c r="BE84" s="13">
        <f>BD84*VLOOKUP('Données projet'!$B$11,Paramètres!$A$1:$I$89,3,0)*VLOOKUP('Données projet'!$B$11,Paramètres!$A$1:$I$89,5,0)</f>
        <v>1.2414602679200471E-13</v>
      </c>
      <c r="BF84" s="13">
        <f t="shared" si="91"/>
        <v>1.8186582995804361E-12</v>
      </c>
      <c r="BG84" s="20">
        <f t="shared" si="61"/>
        <v>3.3837175350986671E-12</v>
      </c>
      <c r="BH84" s="59">
        <f t="shared" si="62"/>
        <v>293.33333333333672</v>
      </c>
      <c r="BI84" s="59">
        <f ca="1">AVERAGE(OFFSET($BH$3,0,0,'Données projet'!$E$11+1,1))-AVERAGE(OFFSET($H$3,0,0,'Données projet'!$E$11+1,1))</f>
        <v>168.72306536277267</v>
      </c>
      <c r="BJ84" s="59">
        <f t="shared" si="92"/>
        <v>203.35476578922339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1.1079663778590687</v>
      </c>
      <c r="BQ84" s="21">
        <f>EXP(-LN(2)/25)*BQ83+(1-EXP(-LN(2)/25))/(LN(2)/25)*Calculateur!BL84*Calculateur!BN84*VLOOKUP('Données projet'!$B$11,Paramètres!$A$1:$I$89,3,0)*0.475*44/12</f>
        <v>5.5891237308680664</v>
      </c>
      <c r="BR84" s="21">
        <f>EXP(-LN(2)/2)*BR83+(1-EXP(-LN(2)/2))/(LN(2)/2)*BL84*BO84*VLOOKUP('Données projet'!$B$11,Paramètres!$A$1:$I$89,3,0)*0.475*44/12</f>
        <v>4.2197101509328674E-7</v>
      </c>
      <c r="BS84" s="22">
        <f t="shared" si="63"/>
        <v>6.6970905306981505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12.124038461538468</v>
      </c>
      <c r="BY84" s="12">
        <f>IF('Données projet'!$A$114&gt;35,BY83+BX84-CG83,IF(A84&lt;'Données projet'!$A$114,$BV$205^A84,IF(A84='Données projet'!$A$114,'Données projet'!$B$114,BY83+BX84-CG83)))</f>
        <v>383.77115384615399</v>
      </c>
      <c r="BZ84" s="13">
        <f>BY84*VLOOKUP('Données projet'!$B$12,Paramètres!$A$1:$I$89,3,0)*VLOOKUP('Données projet'!$B$12,Paramètres!$A$1:$I$89,5,0)</f>
        <v>179.60490000000007</v>
      </c>
      <c r="CA84" s="13">
        <f t="shared" si="93"/>
        <v>45.234272457213635</v>
      </c>
      <c r="CB84" s="20">
        <f t="shared" si="64"/>
        <v>391.59489202964716</v>
      </c>
      <c r="CC84" s="59">
        <f t="shared" si="65"/>
        <v>684.92822536298047</v>
      </c>
      <c r="CD84" s="59">
        <f ca="1">AVERAGE(OFFSET($CC$3,0,0,'Données projet'!$E$12+1,1))-AVERAGE(OFFSET($H$3,0,0,'Données projet'!$E$12+1,1))</f>
        <v>158.58786357608489</v>
      </c>
      <c r="CE84" s="59">
        <f t="shared" si="94"/>
        <v>163.20074068819849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4.1677594708744434E-14</v>
      </c>
      <c r="CV84" s="13">
        <f t="shared" si="95"/>
        <v>6.9326303456159188E-13</v>
      </c>
      <c r="CW84" s="20">
        <f t="shared" si="67"/>
        <v>1.2800215959791691E-12</v>
      </c>
      <c r="CX84" s="59">
        <f t="shared" si="68"/>
        <v>293.33333333333462</v>
      </c>
      <c r="CY84" s="59">
        <f ca="1">AVERAGE(OFFSET($CX$3,0,0,'Données projet'!$E$13+1,1))-AVERAGE(OFFSET($H$3,0,0,'Données projet'!$E$13+1,1))</f>
        <v>178.12968684094687</v>
      </c>
      <c r="CZ84" s="59">
        <f t="shared" si="96"/>
        <v>219.36004077210373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1.8695535905358951</v>
      </c>
      <c r="DH84" s="21">
        <f>EXP(-LN(2)/2)*DH83+(1-EXP(-LN(2)/2))/(LN(2)/2)*DB84*DE84*VLOOKUP('Données projet'!$B$13,Paramètres!$A$1:$I$89,3,0)*0.475*44/12</f>
        <v>2.0899599267636317E-7</v>
      </c>
      <c r="DI84" s="22">
        <f t="shared" si="69"/>
        <v>1.8695537995318878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-8.5265128291212022E-14</v>
      </c>
      <c r="DP84" s="17">
        <f>DO84*VLOOKUP('Données projet'!$B$14,Paramètres!$A$1:$I$89,3,0)*VLOOKUP('Données projet'!$B$14,Paramètres!$A$1:$I$89,5,0)</f>
        <v>-7.7147888077888636E-14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225.28075317732998</v>
      </c>
      <c r="DU84" s="59">
        <f t="shared" si="98"/>
        <v>358.43407531256207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0.81712223472317447</v>
      </c>
      <c r="EB84" s="21">
        <f>EXP(-LN(2)/25)*EB83+(1-EXP(-LN(2)/25))/(LN(2)/25)*Calculateur!DW84*Calculateur!DY84*VLOOKUP('Données projet'!$B$14,Paramètres!$A$1:$I$89,3,0)*0.475*44/12</f>
        <v>2.0114642137840995</v>
      </c>
      <c r="EC84" s="21">
        <f>EXP(-LN(2)/2)*EC83+(1-EXP(-LN(2)/2))/(LN(2)/2)*DW84*DZ84*VLOOKUP('Données projet'!$B$14,Paramètres!$A$1:$I$89,3,0)*0.475*44/12</f>
        <v>9.3018539628254041E-8</v>
      </c>
      <c r="ED84" s="22">
        <f t="shared" si="72"/>
        <v>2.8285865415258136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8.1746794871794854</v>
      </c>
      <c r="EJ84" s="12">
        <f>IF('Données projet'!$A$192&gt;35,EJ83+EI84-ER83,IF(A84&lt;'Données projet'!$A$192,$EG$205^A84,IF(A84='Données projet'!$A$192,'Données projet'!$B$192,EJ83+EI84-ER83)))</f>
        <v>294.13942307692304</v>
      </c>
      <c r="EK84" s="17">
        <f>EJ84*VLOOKUP('Données projet'!$B$15,Paramètres!$A$1:$I$89,3,0)*VLOOKUP('Données projet'!$B$15,Paramètres!$A$1:$I$89,5,0)</f>
        <v>298.25737499999997</v>
      </c>
      <c r="EL84" s="13">
        <f t="shared" si="99"/>
        <v>70.811018569088475</v>
      </c>
      <c r="EM84" s="20">
        <f t="shared" si="73"/>
        <v>642.79411879949566</v>
      </c>
      <c r="EN84" s="59">
        <f t="shared" si="74"/>
        <v>936.12745213282892</v>
      </c>
      <c r="EO84" s="59">
        <f ca="1">AVERAGE(OFFSET($EN$3,0,0,'Données projet'!$E$15+1,1))-AVERAGE(OFFSET($H$3,0,0,'Données projet'!$E$15+1,1))</f>
        <v>363.98308691765931</v>
      </c>
      <c r="EP84" s="59">
        <f t="shared" si="100"/>
        <v>181.47089407988187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8.1746794871794854</v>
      </c>
      <c r="FE84" s="12">
        <f>IF('Données projet'!$A$218&gt;35,FE83+FD84-FM83,IF(A84&lt;'Données projet'!$A$218,$FB$205^A84,IF(A84='Données projet'!$A$218,'Données projet'!$B$218,FE83+FD84-FM83)))</f>
        <v>294.13942307692304</v>
      </c>
      <c r="FF84" s="17">
        <f>FE84*VLOOKUP('Données projet'!$B$16,Paramètres!$A$1:$I$89,3,0)*VLOOKUP('Données projet'!$B$16,Paramètres!$A$1:$I$89,5,0)</f>
        <v>316.61167499999993</v>
      </c>
      <c r="FG84" s="13">
        <f t="shared" si="101"/>
        <v>74.647910567882164</v>
      </c>
      <c r="FH84" s="20">
        <f t="shared" si="76"/>
        <v>681.44377819739464</v>
      </c>
      <c r="FI84" s="59">
        <f t="shared" si="77"/>
        <v>974.77711153072801</v>
      </c>
      <c r="FJ84" s="59">
        <f ca="1">AVERAGE(OFFSET($FI$3,0,0,'Données projet'!$E$16+1,1))-AVERAGE(OFFSET($H$3,0,0,'Données projet'!$E$16+1,1))</f>
        <v>395.30533160963489</v>
      </c>
      <c r="FK84" s="59">
        <f t="shared" si="102"/>
        <v>196.02102977695085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3.1</v>
      </c>
      <c r="FZ84" s="12">
        <f>IF('Données projet'!$A$244&gt;35,FZ83+FY84-GH83,IF(A84&lt;'Données projet'!$A$244,$FW$205^A84,IF(A84='Données projet'!$A$244,'Données projet'!$B$244,FZ83+FY84-GH83)))</f>
        <v>217.09999999999985</v>
      </c>
      <c r="GA84" s="17">
        <f>FZ84*VLOOKUP('Données projet'!$B$17,Paramètres!$A$1:$I$89,3,0)*VLOOKUP('Données projet'!$B$17,Paramètres!$A$1:$I$89,5,0)</f>
        <v>226.91291999999987</v>
      </c>
      <c r="GB84" s="13">
        <f t="shared" si="103"/>
        <v>55.614658609055496</v>
      </c>
      <c r="GC84" s="20">
        <f t="shared" si="79"/>
        <v>492.06886607743803</v>
      </c>
      <c r="GD84" s="59">
        <f t="shared" si="80"/>
        <v>785.40219941077135</v>
      </c>
      <c r="GE84" s="59">
        <f ca="1">AVERAGE(OFFSET($GD$3,0,0,'Données projet'!$E$17+1,1))-AVERAGE(OFFSET($H$3,0,0,'Données projet'!$E$17+1,1))</f>
        <v>269.41185214595805</v>
      </c>
      <c r="GF84" s="59">
        <f t="shared" si="104"/>
        <v>299.70148160580993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2.3096000862454225</v>
      </c>
      <c r="GM84" s="21">
        <f>EXP(-LN(2)/25)*GM83+(1-EXP(-LN(2)/25))/(LN(2)/25)*Calculateur!GH84*Calculateur!GJ84*VLOOKUP('Données projet'!$B$17,Paramètres!$A$1:$I$89,3,0)*0.475*44/12</f>
        <v>3.9449571766411582</v>
      </c>
      <c r="GN84" s="21">
        <f>EXP(-LN(2)/2)*GN83+(1-EXP(-LN(2)/2))/(LN(2)/2)*GH84*GK84*VLOOKUP('Données projet'!$B$17,Paramètres!$A$1:$I$89,3,0)*0.475*44/12</f>
        <v>4.0268507959193426E-7</v>
      </c>
      <c r="GO84" s="21">
        <f t="shared" si="81"/>
        <v>6.2545576655716602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5.6843418860808015E-14</v>
      </c>
      <c r="GV84" s="17">
        <f>GU84*VLOOKUP('Données projet'!$B$18,Paramètres!$A$1:$I$89,3,0)*VLOOKUP('Données projet'!$B$18,Paramètres!$A$1:$I$89,5,0)</f>
        <v>4.9658410716801891E-14</v>
      </c>
      <c r="GW84" s="13">
        <f t="shared" si="105"/>
        <v>8.0934058173791862E-13</v>
      </c>
      <c r="GX84" s="20">
        <f t="shared" si="82"/>
        <v>1.4960899118586383E-12</v>
      </c>
      <c r="GY84" s="59">
        <f t="shared" si="83"/>
        <v>293.33333333333479</v>
      </c>
      <c r="GZ84" s="59">
        <f ca="1">AVERAGE(OFFSET($GY$3,0,0,'Données projet'!$E$18+1,1))-AVERAGE(OFFSET($H$3,0,0,'Données projet'!$E$18+1,1))</f>
        <v>226.35975611953359</v>
      </c>
      <c r="HA84" s="59">
        <f t="shared" si="106"/>
        <v>271.65876694892461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2.7455888454777533</v>
      </c>
      <c r="HI84" s="21">
        <f>EXP(-LN(2)/2)*HI83+(1-EXP(-LN(2)/2))/(LN(2)/2)*HC84*HF84*VLOOKUP('Données projet'!$B$18,Paramètres!$A$1:$I$89,3,0)*0.475*44/12</f>
        <v>2.4901650191226243E-7</v>
      </c>
      <c r="HJ84" s="22">
        <f t="shared" si="84"/>
        <v>2.7455890944942554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302.31410256410254</v>
      </c>
      <c r="L85" s="12">
        <f>VLOOKUP(A85,'Données projet'!$A$35:$I$55,9,0)</f>
        <v>8.1746794871794854</v>
      </c>
      <c r="M85" s="12">
        <f t="array" ref="M85">INDEX(L:L,MIN(IF(ISNUMBER(L85:L281),ROW(L85:L281),"")))</f>
        <v>8.1746794871794854</v>
      </c>
      <c r="N85" s="13">
        <f>IF('Données projet'!$A$36&gt;35,N84+M85-V84,IF(A85&lt;'Données projet'!$A$36,$K$205^A85,IF(A85='Données projet'!$A$36,'Données projet'!$B$36,N84+M85-V84)))</f>
        <v>302.31410256410254</v>
      </c>
      <c r="O85" s="13">
        <f>N85*VLOOKUP('Données projet'!$B$9,Paramètres!$A$1:$I$89,3,0)*VLOOKUP('Données projet'!$B$9,Paramètres!$A$1:$I$89,5,0)</f>
        <v>273.53379999999999</v>
      </c>
      <c r="P85" s="13">
        <f t="shared" si="87"/>
        <v>65.598662329861284</v>
      </c>
      <c r="Q85" s="20">
        <f t="shared" si="54"/>
        <v>590.65570522450832</v>
      </c>
      <c r="R85" s="59">
        <f t="shared" si="55"/>
        <v>883.9890385578417</v>
      </c>
      <c r="S85" s="59">
        <f ca="1">AVERAGE(OFFSET($R$3,0,0,'Données projet'!$E$9+1,1))-AVERAGE(OFFSET($H$3,0,0,'Données projet'!$E$9+1,1))</f>
        <v>309.07357540707869</v>
      </c>
      <c r="T85" s="59">
        <f t="shared" si="88"/>
        <v>155.9593924683299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40.371794871794869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3.1</v>
      </c>
      <c r="AI85" s="13">
        <f>IF('Données projet'!$A$62&gt;35,AI84+AH85-AQ84,IF(A85&lt;'Données projet'!$A$62,$AF$205^A85,IF(A85='Données projet'!$A$62,'Données projet'!$B$62,AI84+AH85-AQ84)))</f>
        <v>220.19999999999985</v>
      </c>
      <c r="AJ85" s="13">
        <f>AI85*VLOOKUP('Données projet'!$B$10,Paramètres!$A$1:$I$89,3,0)*VLOOKUP('Données projet'!$B$10,Paramètres!$A$1:$I$89,5,0)</f>
        <v>192.3667199999999</v>
      </c>
      <c r="AK85" s="13">
        <f t="shared" si="89"/>
        <v>48.062823450978094</v>
      </c>
      <c r="AL85" s="20">
        <f t="shared" si="58"/>
        <v>418.7481215104533</v>
      </c>
      <c r="AM85" s="59">
        <f t="shared" si="59"/>
        <v>712.08145484378656</v>
      </c>
      <c r="AN85" s="59">
        <f ca="1">AVERAGE(OFFSET($AM$3,0,0,'Données projet'!$E$10+1,1))-AVERAGE(OFFSET($H$3,0,0,'Données projet'!$E$10+1,1))</f>
        <v>210.07838338464626</v>
      </c>
      <c r="AO85" s="59">
        <f t="shared" si="90"/>
        <v>241.76003724236273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1.8925578102564444</v>
      </c>
      <c r="AV85" s="21">
        <f>EXP(-LN(2)/25)*AV84+(1-EXP(-LN(2)/25))/(LN(2)/25)*Calculateur!AQ85*Calculateur!AS85*VLOOKUP('Données projet'!$B$10,Paramètres!$A$1:$I$89,3,0)*0.475*44/12</f>
        <v>3.2071134097107303</v>
      </c>
      <c r="AW85" s="21">
        <f>EXP(-LN(2)/2)*AW84+(1-EXP(-LN(2)/2))/(LN(2)/2)*AQ85*AT85*VLOOKUP('Données projet'!$B$10,Paramètres!$A$1:$I$89,3,0)*0.475*44/12</f>
        <v>2.3799277053548845E-7</v>
      </c>
      <c r="AX85" s="21">
        <f t="shared" si="60"/>
        <v>5.0996714579599454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2.2737367544323206E-13</v>
      </c>
      <c r="BE85" s="13">
        <f>BD85*VLOOKUP('Données projet'!$B$11,Paramètres!$A$1:$I$89,3,0)*VLOOKUP('Données projet'!$B$11,Paramètres!$A$1:$I$89,5,0)</f>
        <v>1.2414602679200471E-13</v>
      </c>
      <c r="BF85" s="13">
        <f t="shared" si="91"/>
        <v>1.8186582995804361E-12</v>
      </c>
      <c r="BG85" s="20">
        <f t="shared" si="61"/>
        <v>3.3837175350986671E-12</v>
      </c>
      <c r="BH85" s="59">
        <f t="shared" si="62"/>
        <v>293.33333333333672</v>
      </c>
      <c r="BI85" s="59">
        <f ca="1">AVERAGE(OFFSET($BH$3,0,0,'Données projet'!$E$11+1,1))-AVERAGE(OFFSET($H$3,0,0,'Données projet'!$E$11+1,1))</f>
        <v>168.72306536277267</v>
      </c>
      <c r="BJ85" s="59">
        <f t="shared" si="92"/>
        <v>203.35476578922339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1.0862398329820138</v>
      </c>
      <c r="BQ85" s="21">
        <f>EXP(-LN(2)/25)*BQ84+(1-EXP(-LN(2)/25))/(LN(2)/25)*Calculateur!BL85*Calculateur!BN85*VLOOKUP('Données projet'!$B$11,Paramètres!$A$1:$I$89,3,0)*0.475*44/12</f>
        <v>5.4362888485282364</v>
      </c>
      <c r="BR85" s="21">
        <f>EXP(-LN(2)/2)*BR84+(1-EXP(-LN(2)/2))/(LN(2)/2)*BL85*BO85*VLOOKUP('Données projet'!$B$11,Paramètres!$A$1:$I$89,3,0)*0.475*44/12</f>
        <v>2.9837856623663405E-7</v>
      </c>
      <c r="BS85" s="22">
        <f t="shared" si="63"/>
        <v>6.5225289798888166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12.124038461538468</v>
      </c>
      <c r="BY85" s="12">
        <f>IF('Données projet'!$A$114&gt;35,BY84+BX85-CG84,IF(A85&lt;'Données projet'!$A$114,$BV$205^A85,IF(A85='Données projet'!$A$114,'Données projet'!$B$114,BY84+BX85-CG84)))</f>
        <v>395.89519230769247</v>
      </c>
      <c r="BZ85" s="13">
        <f>BY85*VLOOKUP('Données projet'!$B$12,Paramètres!$A$1:$I$89,3,0)*VLOOKUP('Données projet'!$B$12,Paramètres!$A$1:$I$89,5,0)</f>
        <v>185.27895000000009</v>
      </c>
      <c r="CA85" s="13">
        <f t="shared" si="93"/>
        <v>46.494672172616063</v>
      </c>
      <c r="CB85" s="20">
        <f t="shared" si="64"/>
        <v>403.67239195063979</v>
      </c>
      <c r="CC85" s="59">
        <f t="shared" si="65"/>
        <v>697.00572528397311</v>
      </c>
      <c r="CD85" s="59">
        <f ca="1">AVERAGE(OFFSET($CC$3,0,0,'Données projet'!$E$12+1,1))-AVERAGE(OFFSET($H$3,0,0,'Données projet'!$E$12+1,1))</f>
        <v>158.58786357608489</v>
      </c>
      <c r="CE85" s="59">
        <f t="shared" si="94"/>
        <v>163.20074068819849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4.1677594708744434E-14</v>
      </c>
      <c r="CV85" s="13">
        <f t="shared" si="95"/>
        <v>6.9326303456159188E-13</v>
      </c>
      <c r="CW85" s="20">
        <f t="shared" si="67"/>
        <v>1.2800215959791691E-12</v>
      </c>
      <c r="CX85" s="59">
        <f t="shared" si="68"/>
        <v>293.33333333333462</v>
      </c>
      <c r="CY85" s="59">
        <f ca="1">AVERAGE(OFFSET($CX$3,0,0,'Données projet'!$E$13+1,1))-AVERAGE(OFFSET($H$3,0,0,'Données projet'!$E$13+1,1))</f>
        <v>178.12968684094687</v>
      </c>
      <c r="CZ85" s="59">
        <f t="shared" si="96"/>
        <v>219.36004077210373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1.8184305492871407</v>
      </c>
      <c r="DH85" s="21">
        <f>EXP(-LN(2)/2)*DH84+(1-EXP(-LN(2)/2))/(LN(2)/2)*DB85*DE85*VLOOKUP('Données projet'!$B$13,Paramètres!$A$1:$I$89,3,0)*0.475*44/12</f>
        <v>1.4778248366227042E-7</v>
      </c>
      <c r="DI85" s="22">
        <f t="shared" si="69"/>
        <v>1.8184306970696242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-8.5265128291212022E-14</v>
      </c>
      <c r="DP85" s="17">
        <f>DO85*VLOOKUP('Données projet'!$B$14,Paramètres!$A$1:$I$89,3,0)*VLOOKUP('Données projet'!$B$14,Paramètres!$A$1:$I$89,5,0)</f>
        <v>-7.7147888077888636E-14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225.28075317732998</v>
      </c>
      <c r="DU85" s="59">
        <f t="shared" si="98"/>
        <v>358.43407531256207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0.80109896609560372</v>
      </c>
      <c r="EB85" s="21">
        <f>EXP(-LN(2)/25)*EB84+(1-EXP(-LN(2)/25))/(LN(2)/25)*Calculateur!DW85*Calculateur!DY85*VLOOKUP('Données projet'!$B$14,Paramètres!$A$1:$I$89,3,0)*0.475*44/12</f>
        <v>1.9564606190798675</v>
      </c>
      <c r="EC85" s="21">
        <f>EXP(-LN(2)/2)*EC84+(1-EXP(-LN(2)/2))/(LN(2)/2)*DW85*DZ85*VLOOKUP('Données projet'!$B$14,Paramètres!$A$1:$I$89,3,0)*0.475*44/12</f>
        <v>6.577404014720803E-8</v>
      </c>
      <c r="ED85" s="22">
        <f t="shared" si="72"/>
        <v>2.7575596509495113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>
        <f>VLOOKUP(A85,'Données projet'!$A$191:$I$211,2,0)</f>
        <v>302.31410256410254</v>
      </c>
      <c r="EH85" s="12">
        <f>VLOOKUP(A85,'Données projet'!$A$191:$I$211,9,0)</f>
        <v>8.1746794871794854</v>
      </c>
      <c r="EI85" s="12">
        <f t="array" ref="EI85">INDEX(EH:EH,MIN(IF(ISNUMBER(EH85:EH281),ROW(EH85:EH281),"")))</f>
        <v>8.1746794871794854</v>
      </c>
      <c r="EJ85" s="12">
        <f>IF('Données projet'!$A$192&gt;35,EJ84+EI85-ER84,IF(A85&lt;'Données projet'!$A$192,$EG$205^A85,IF(A85='Données projet'!$A$192,'Données projet'!$B$192,EJ84+EI85-ER84)))</f>
        <v>302.31410256410254</v>
      </c>
      <c r="EK85" s="17">
        <f>EJ85*VLOOKUP('Données projet'!$B$15,Paramètres!$A$1:$I$89,3,0)*VLOOKUP('Données projet'!$B$15,Paramètres!$A$1:$I$89,5,0)</f>
        <v>306.54649999999998</v>
      </c>
      <c r="EL85" s="13">
        <f t="shared" si="99"/>
        <v>72.547132348145581</v>
      </c>
      <c r="EM85" s="20">
        <f t="shared" si="73"/>
        <v>660.25474300635346</v>
      </c>
      <c r="EN85" s="59">
        <f t="shared" si="74"/>
        <v>953.58807633968672</v>
      </c>
      <c r="EO85" s="59">
        <f ca="1">AVERAGE(OFFSET($EN$3,0,0,'Données projet'!$E$15+1,1))-AVERAGE(OFFSET($H$3,0,0,'Données projet'!$E$15+1,1))</f>
        <v>363.98308691765931</v>
      </c>
      <c r="EP85" s="59">
        <f t="shared" si="100"/>
        <v>181.47089407988187</v>
      </c>
      <c r="EQ85" s="15">
        <f>IF(ISNA(VLOOKUP(A85,'Données projet'!$A$191:$I$211,3,0)),0,VLOOKUP(A85,'Données projet'!$A$191:$I$211,3,0))</f>
        <v>7</v>
      </c>
      <c r="ER85" s="15">
        <f>IF(ISNA(VLOOKUP(A85,'Données projet'!$A$191:$I$211,4,0)),0,VLOOKUP(A85,'Données projet'!$A$191:$I$211,4,0))</f>
        <v>40.371794871794869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>
        <f>VLOOKUP(A85,'Données projet'!$A$217:$I$237,2,0)</f>
        <v>302.31410256410254</v>
      </c>
      <c r="FC85" s="12">
        <f>VLOOKUP(A85,'Données projet'!$A$217:$I$237,9,0)</f>
        <v>8.1746794871794854</v>
      </c>
      <c r="FD85" s="12">
        <f t="array" ref="FD85">INDEX(FC:FC,MIN(IF(ISNUMBER(FC85:FC281),ROW(FC85:FC281),"")))</f>
        <v>8.1746794871794854</v>
      </c>
      <c r="FE85" s="12">
        <f>IF('Données projet'!$A$218&gt;35,FE84+FD85-FM84,IF(A85&lt;'Données projet'!$A$218,$FB$205^A85,IF(A85='Données projet'!$A$218,'Données projet'!$B$218,FE84+FD85-FM84)))</f>
        <v>302.31410256410254</v>
      </c>
      <c r="FF85" s="17">
        <f>FE85*VLOOKUP('Données projet'!$B$16,Paramètres!$A$1:$I$89,3,0)*VLOOKUP('Données projet'!$B$16,Paramètres!$A$1:$I$89,5,0)</f>
        <v>325.41089999999997</v>
      </c>
      <c r="FG85" s="13">
        <f t="shared" si="101"/>
        <v>76.478095597465838</v>
      </c>
      <c r="FH85" s="20">
        <f t="shared" si="76"/>
        <v>699.95666733225289</v>
      </c>
      <c r="FI85" s="59">
        <f t="shared" si="77"/>
        <v>993.29000066558615</v>
      </c>
      <c r="FJ85" s="59">
        <f ca="1">AVERAGE(OFFSET($FI$3,0,0,'Données projet'!$E$16+1,1))-AVERAGE(OFFSET($H$3,0,0,'Données projet'!$E$16+1,1))</f>
        <v>395.30533160963489</v>
      </c>
      <c r="FK85" s="59">
        <f t="shared" si="102"/>
        <v>196.02102977695085</v>
      </c>
      <c r="FL85" s="15">
        <f>IF(ISNA(VLOOKUP(A85,'Données projet'!$A$217:$I$237,3,0)),0,VLOOKUP(A85,'Données projet'!$A$217:$I$237,3,0))</f>
        <v>7</v>
      </c>
      <c r="FM85" s="15">
        <f>IF(ISNA(VLOOKUP(A85,'Données projet'!$A$217:$I$237,4,0)),0,VLOOKUP(A85,'Données projet'!$A$217:$I$237,4,0))</f>
        <v>40.371794871794869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3.1</v>
      </c>
      <c r="FZ85" s="12">
        <f>IF('Données projet'!$A$244&gt;35,FZ84+FY85-GH84,IF(A85&lt;'Données projet'!$A$244,$FW$205^A85,IF(A85='Données projet'!$A$244,'Données projet'!$B$244,FZ84+FY85-GH84)))</f>
        <v>220.19999999999985</v>
      </c>
      <c r="GA85" s="17">
        <f>FZ85*VLOOKUP('Données projet'!$B$17,Paramètres!$A$1:$I$89,3,0)*VLOOKUP('Données projet'!$B$17,Paramètres!$A$1:$I$89,5,0)</f>
        <v>230.15303999999986</v>
      </c>
      <c r="GB85" s="13">
        <f t="shared" si="103"/>
        <v>56.315771076066149</v>
      </c>
      <c r="GC85" s="20">
        <f t="shared" si="79"/>
        <v>498.93317929081491</v>
      </c>
      <c r="GD85" s="59">
        <f t="shared" si="80"/>
        <v>792.26651262414816</v>
      </c>
      <c r="GE85" s="59">
        <f ca="1">AVERAGE(OFFSET($GD$3,0,0,'Données projet'!$E$17+1,1))-AVERAGE(OFFSET($H$3,0,0,'Données projet'!$E$17+1,1))</f>
        <v>269.41185214595805</v>
      </c>
      <c r="GF85" s="59">
        <f t="shared" si="104"/>
        <v>299.70148160580993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2.2643102372711033</v>
      </c>
      <c r="GM85" s="21">
        <f>EXP(-LN(2)/25)*GM84+(1-EXP(-LN(2)/25))/(LN(2)/25)*Calculateur!GH85*Calculateur!GJ85*VLOOKUP('Données projet'!$B$17,Paramètres!$A$1:$I$89,3,0)*0.475*44/12</f>
        <v>3.8370821151896242</v>
      </c>
      <c r="GN85" s="21">
        <f>EXP(-LN(2)/2)*GN84+(1-EXP(-LN(2)/2))/(LN(2)/2)*GH85*GK85*VLOOKUP('Données projet'!$B$17,Paramètres!$A$1:$I$89,3,0)*0.475*44/12</f>
        <v>2.8474135046210133E-7</v>
      </c>
      <c r="GO85" s="21">
        <f t="shared" si="81"/>
        <v>6.1013926372020784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5.6843418860808015E-14</v>
      </c>
      <c r="GV85" s="17">
        <f>GU85*VLOOKUP('Données projet'!$B$18,Paramètres!$A$1:$I$89,3,0)*VLOOKUP('Données projet'!$B$18,Paramètres!$A$1:$I$89,5,0)</f>
        <v>4.9658410716801891E-14</v>
      </c>
      <c r="GW85" s="13">
        <f t="shared" si="105"/>
        <v>8.0934058173791862E-13</v>
      </c>
      <c r="GX85" s="20">
        <f t="shared" si="82"/>
        <v>1.4960899118586383E-12</v>
      </c>
      <c r="GY85" s="59">
        <f t="shared" si="83"/>
        <v>293.33333333333479</v>
      </c>
      <c r="GZ85" s="59">
        <f ca="1">AVERAGE(OFFSET($GY$3,0,0,'Données projet'!$E$18+1,1))-AVERAGE(OFFSET($H$3,0,0,'Données projet'!$E$18+1,1))</f>
        <v>226.35975611953359</v>
      </c>
      <c r="HA85" s="59">
        <f t="shared" si="106"/>
        <v>271.65876694892461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2.6705105741139219</v>
      </c>
      <c r="HI85" s="21">
        <f>EXP(-LN(2)/2)*HI84+(1-EXP(-LN(2)/2))/(LN(2)/2)*HC85*HF85*VLOOKUP('Données projet'!$B$18,Paramètres!$A$1:$I$89,3,0)*0.475*44/12</f>
        <v>1.7608125712951365E-7</v>
      </c>
      <c r="HJ85" s="22">
        <f t="shared" si="84"/>
        <v>2.670510750195179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7.8677884615384599</v>
      </c>
      <c r="N86" s="13">
        <f>IF('Données projet'!$A$36&gt;35,N85+M86-V85,IF(A86&lt;'Données projet'!$A$36,$K$205^A86,IF(A86='Données projet'!$A$36,'Données projet'!$B$36,N85+M86-V85)))</f>
        <v>269.81009615384613</v>
      </c>
      <c r="O86" s="13">
        <f>N86*VLOOKUP('Données projet'!$B$9,Paramètres!$A$1:$I$89,3,0)*VLOOKUP('Données projet'!$B$9,Paramètres!$A$1:$I$89,5,0)</f>
        <v>244.12417499999998</v>
      </c>
      <c r="P86" s="13">
        <f t="shared" si="87"/>
        <v>59.325985011718309</v>
      </c>
      <c r="Q86" s="20">
        <f t="shared" si="54"/>
        <v>528.50902868707601</v>
      </c>
      <c r="R86" s="59">
        <f t="shared" si="55"/>
        <v>821.84236202040938</v>
      </c>
      <c r="S86" s="59">
        <f ca="1">AVERAGE(OFFSET($R$3,0,0,'Données projet'!$E$9+1,1))-AVERAGE(OFFSET($H$3,0,0,'Données projet'!$E$9+1,1))</f>
        <v>309.07357540707869</v>
      </c>
      <c r="T86" s="59">
        <f t="shared" si="88"/>
        <v>155.9593924683299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3.1</v>
      </c>
      <c r="AI86" s="13">
        <f>IF('Données projet'!$A$62&gt;35,AI85+AH86-AQ85,IF(A86&lt;'Données projet'!$A$62,$AF$205^A86,IF(A86='Données projet'!$A$62,'Données projet'!$B$62,AI85+AH86-AQ85)))</f>
        <v>223.29999999999984</v>
      </c>
      <c r="AJ86" s="13">
        <f>AI86*VLOOKUP('Données projet'!$B$10,Paramètres!$A$1:$I$89,3,0)*VLOOKUP('Données projet'!$B$10,Paramètres!$A$1:$I$89,5,0)</f>
        <v>195.07487999999987</v>
      </c>
      <c r="AK86" s="13">
        <f t="shared" si="89"/>
        <v>48.66020971834471</v>
      </c>
      <c r="AL86" s="20">
        <f t="shared" si="58"/>
        <v>424.5052812594501</v>
      </c>
      <c r="AM86" s="59">
        <f t="shared" si="59"/>
        <v>717.83861459278341</v>
      </c>
      <c r="AN86" s="59">
        <f ca="1">AVERAGE(OFFSET($AM$3,0,0,'Données projet'!$E$10+1,1))-AVERAGE(OFFSET($H$3,0,0,'Données projet'!$E$10+1,1))</f>
        <v>210.07838338464626</v>
      </c>
      <c r="AO86" s="59">
        <f t="shared" si="90"/>
        <v>241.76003724236273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1.8554459059435975</v>
      </c>
      <c r="AV86" s="21">
        <f>EXP(-LN(2)/25)*AV85+(1-EXP(-LN(2)/25))/(LN(2)/25)*Calculateur!AQ86*Calculateur!AS86*VLOOKUP('Données projet'!$B$10,Paramètres!$A$1:$I$89,3,0)*0.475*44/12</f>
        <v>3.119414724867426</v>
      </c>
      <c r="AW86" s="21">
        <f>EXP(-LN(2)/2)*AW85+(1-EXP(-LN(2)/2))/(LN(2)/2)*AQ86*AT86*VLOOKUP('Données projet'!$B$10,Paramètres!$A$1:$I$89,3,0)*0.475*44/12</f>
        <v>1.6828630191901787E-7</v>
      </c>
      <c r="AX86" s="21">
        <f t="shared" si="60"/>
        <v>4.9748607990973257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2.2737367544323206E-13</v>
      </c>
      <c r="BE86" s="13">
        <f>BD86*VLOOKUP('Données projet'!$B$11,Paramètres!$A$1:$I$89,3,0)*VLOOKUP('Données projet'!$B$11,Paramètres!$A$1:$I$89,5,0)</f>
        <v>1.2414602679200471E-13</v>
      </c>
      <c r="BF86" s="13">
        <f t="shared" si="91"/>
        <v>1.8186582995804361E-12</v>
      </c>
      <c r="BG86" s="20">
        <f t="shared" si="61"/>
        <v>3.3837175350986671E-12</v>
      </c>
      <c r="BH86" s="59">
        <f t="shared" si="62"/>
        <v>293.33333333333672</v>
      </c>
      <c r="BI86" s="59">
        <f ca="1">AVERAGE(OFFSET($BH$3,0,0,'Données projet'!$E$11+1,1))-AVERAGE(OFFSET($H$3,0,0,'Données projet'!$E$11+1,1))</f>
        <v>168.72306536277267</v>
      </c>
      <c r="BJ86" s="59">
        <f t="shared" si="92"/>
        <v>203.35476578922339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1.0649393323981142</v>
      </c>
      <c r="BQ86" s="21">
        <f>EXP(-LN(2)/25)*BQ85+(1-EXP(-LN(2)/25))/(LN(2)/25)*Calculateur!BL86*Calculateur!BN86*VLOOKUP('Données projet'!$B$11,Paramètres!$A$1:$I$89,3,0)*0.475*44/12</f>
        <v>5.2876332440832261</v>
      </c>
      <c r="BR86" s="21">
        <f>EXP(-LN(2)/2)*BR85+(1-EXP(-LN(2)/2))/(LN(2)/2)*BL86*BO86*VLOOKUP('Données projet'!$B$11,Paramètres!$A$1:$I$89,3,0)*0.475*44/12</f>
        <v>2.1098550754664337E-7</v>
      </c>
      <c r="BS86" s="22">
        <f t="shared" si="63"/>
        <v>6.3525727874668476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12.124038461538468</v>
      </c>
      <c r="BY86" s="12">
        <f>IF('Données projet'!$A$114&gt;35,BY85+BX86-CG85,IF(A86&lt;'Données projet'!$A$114,$BV$205^A86,IF(A86='Données projet'!$A$114,'Données projet'!$B$114,BY85+BX86-CG85)))</f>
        <v>408.01923076923094</v>
      </c>
      <c r="BZ86" s="13">
        <f>BY86*VLOOKUP('Données projet'!$B$12,Paramètres!$A$1:$I$89,3,0)*VLOOKUP('Données projet'!$B$12,Paramètres!$A$1:$I$89,5,0)</f>
        <v>190.95300000000006</v>
      </c>
      <c r="CA86" s="13">
        <f t="shared" si="93"/>
        <v>47.750586229034354</v>
      </c>
      <c r="CB86" s="20">
        <f t="shared" si="64"/>
        <v>415.7420793489016</v>
      </c>
      <c r="CC86" s="59">
        <f t="shared" si="65"/>
        <v>709.07541268223486</v>
      </c>
      <c r="CD86" s="59">
        <f ca="1">AVERAGE(OFFSET($CC$3,0,0,'Données projet'!$E$12+1,1))-AVERAGE(OFFSET($H$3,0,0,'Données projet'!$E$12+1,1))</f>
        <v>158.58786357608489</v>
      </c>
      <c r="CE86" s="59">
        <f t="shared" si="94"/>
        <v>163.20074068819849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4.1677594708744434E-14</v>
      </c>
      <c r="CV86" s="13">
        <f t="shared" si="95"/>
        <v>6.9326303456159188E-13</v>
      </c>
      <c r="CW86" s="20">
        <f t="shared" si="67"/>
        <v>1.2800215959791691E-12</v>
      </c>
      <c r="CX86" s="59">
        <f t="shared" si="68"/>
        <v>293.33333333333462</v>
      </c>
      <c r="CY86" s="59">
        <f ca="1">AVERAGE(OFFSET($CX$3,0,0,'Données projet'!$E$13+1,1))-AVERAGE(OFFSET($H$3,0,0,'Données projet'!$E$13+1,1))</f>
        <v>178.12968684094687</v>
      </c>
      <c r="CZ86" s="59">
        <f t="shared" si="96"/>
        <v>219.36004077210373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1.7687054702897773</v>
      </c>
      <c r="DH86" s="21">
        <f>EXP(-LN(2)/2)*DH85+(1-EXP(-LN(2)/2))/(LN(2)/2)*DB86*DE86*VLOOKUP('Données projet'!$B$13,Paramètres!$A$1:$I$89,3,0)*0.475*44/12</f>
        <v>1.0449799633818158E-7</v>
      </c>
      <c r="DI86" s="22">
        <f t="shared" si="69"/>
        <v>1.7687055747877736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-8.5265128291212022E-14</v>
      </c>
      <c r="DP86" s="17">
        <f>DO86*VLOOKUP('Données projet'!$B$14,Paramètres!$A$1:$I$89,3,0)*VLOOKUP('Données projet'!$B$14,Paramètres!$A$1:$I$89,5,0)</f>
        <v>-7.7147888077888636E-14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225.28075317732998</v>
      </c>
      <c r="DU86" s="59">
        <f t="shared" si="98"/>
        <v>358.43407531256207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0.78538990399259079</v>
      </c>
      <c r="EB86" s="21">
        <f>EXP(-LN(2)/25)*EB85+(1-EXP(-LN(2)/25))/(LN(2)/25)*Calculateur!DW86*Calculateur!DY86*VLOOKUP('Données projet'!$B$14,Paramètres!$A$1:$I$89,3,0)*0.475*44/12</f>
        <v>1.9029611005653362</v>
      </c>
      <c r="EC86" s="21">
        <f>EXP(-LN(2)/2)*EC85+(1-EXP(-LN(2)/2))/(LN(2)/2)*DW86*DZ86*VLOOKUP('Données projet'!$B$14,Paramètres!$A$1:$I$89,3,0)*0.475*44/12</f>
        <v>4.650926981412702E-8</v>
      </c>
      <c r="ED86" s="22">
        <f t="shared" si="72"/>
        <v>2.6883510510671966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7.8677884615384599</v>
      </c>
      <c r="EJ86" s="12">
        <f>IF('Données projet'!$A$192&gt;35,EJ85+EI86-ER85,IF(A86&lt;'Données projet'!$A$192,$EG$205^A86,IF(A86='Données projet'!$A$192,'Données projet'!$B$192,EJ85+EI86-ER85)))</f>
        <v>269.81009615384613</v>
      </c>
      <c r="EK86" s="17">
        <f>EJ86*VLOOKUP('Données projet'!$B$15,Paramètres!$A$1:$I$89,3,0)*VLOOKUP('Données projet'!$B$15,Paramètres!$A$1:$I$89,5,0)</f>
        <v>273.58743750000002</v>
      </c>
      <c r="EL86" s="13">
        <f t="shared" si="99"/>
        <v>65.610028215011894</v>
      </c>
      <c r="EM86" s="20">
        <f t="shared" si="73"/>
        <v>590.76891945364571</v>
      </c>
      <c r="EN86" s="59">
        <f t="shared" si="74"/>
        <v>884.10225278697908</v>
      </c>
      <c r="EO86" s="59">
        <f ca="1">AVERAGE(OFFSET($EN$3,0,0,'Données projet'!$E$15+1,1))-AVERAGE(OFFSET($H$3,0,0,'Données projet'!$E$15+1,1))</f>
        <v>363.98308691765931</v>
      </c>
      <c r="EP86" s="59">
        <f t="shared" si="100"/>
        <v>181.47089407988187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7.8677884615384599</v>
      </c>
      <c r="FE86" s="12">
        <f>IF('Données projet'!$A$218&gt;35,FE85+FD86-FM85,IF(A86&lt;'Données projet'!$A$218,$FB$205^A86,IF(A86='Données projet'!$A$218,'Données projet'!$B$218,FE85+FD86-FM85)))</f>
        <v>269.81009615384613</v>
      </c>
      <c r="FF86" s="17">
        <f>FE86*VLOOKUP('Données projet'!$B$16,Paramètres!$A$1:$I$89,3,0)*VLOOKUP('Données projet'!$B$16,Paramètres!$A$1:$I$89,5,0)</f>
        <v>290.42358749999994</v>
      </c>
      <c r="FG86" s="13">
        <f t="shared" si="101"/>
        <v>69.165104774928679</v>
      </c>
      <c r="FH86" s="20">
        <f t="shared" si="76"/>
        <v>626.28363904550076</v>
      </c>
      <c r="FI86" s="59">
        <f t="shared" si="77"/>
        <v>919.61697237883413</v>
      </c>
      <c r="FJ86" s="59">
        <f ca="1">AVERAGE(OFFSET($FI$3,0,0,'Données projet'!$E$16+1,1))-AVERAGE(OFFSET($H$3,0,0,'Données projet'!$E$16+1,1))</f>
        <v>395.30533160963489</v>
      </c>
      <c r="FK86" s="59">
        <f t="shared" si="102"/>
        <v>196.02102977695085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3.1</v>
      </c>
      <c r="FZ86" s="12">
        <f>IF('Données projet'!$A$244&gt;35,FZ85+FY86-GH85,IF(A86&lt;'Données projet'!$A$244,$FW$205^A86,IF(A86='Données projet'!$A$244,'Données projet'!$B$244,FZ85+FY86-GH85)))</f>
        <v>223.29999999999984</v>
      </c>
      <c r="GA86" s="17">
        <f>FZ86*VLOOKUP('Données projet'!$B$17,Paramètres!$A$1:$I$89,3,0)*VLOOKUP('Données projet'!$B$17,Paramètres!$A$1:$I$89,5,0)</f>
        <v>233.39315999999985</v>
      </c>
      <c r="GB86" s="13">
        <f t="shared" si="103"/>
        <v>57.015735536358733</v>
      </c>
      <c r="GC86" s="20">
        <f t="shared" si="79"/>
        <v>505.79549305915788</v>
      </c>
      <c r="GD86" s="59">
        <f t="shared" si="80"/>
        <v>799.12882639249119</v>
      </c>
      <c r="GE86" s="59">
        <f ca="1">AVERAGE(OFFSET($GD$3,0,0,'Données projet'!$E$17+1,1))-AVERAGE(OFFSET($H$3,0,0,'Données projet'!$E$17+1,1))</f>
        <v>269.41185214595805</v>
      </c>
      <c r="GF86" s="59">
        <f t="shared" si="104"/>
        <v>299.70148160580993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2.2199084946110901</v>
      </c>
      <c r="GM86" s="21">
        <f>EXP(-LN(2)/25)*GM85+(1-EXP(-LN(2)/25))/(LN(2)/25)*Calculateur!GH86*Calculateur!GJ86*VLOOKUP('Données projet'!$B$17,Paramètres!$A$1:$I$89,3,0)*0.475*44/12</f>
        <v>3.732156902966385</v>
      </c>
      <c r="GN86" s="21">
        <f>EXP(-LN(2)/2)*GN85+(1-EXP(-LN(2)/2))/(LN(2)/2)*GH86*GK86*VLOOKUP('Données projet'!$B$17,Paramètres!$A$1:$I$89,3,0)*0.475*44/12</f>
        <v>2.0134253979596713E-7</v>
      </c>
      <c r="GO86" s="21">
        <f t="shared" si="81"/>
        <v>5.9520655989200151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5.6843418860808015E-14</v>
      </c>
      <c r="GV86" s="17">
        <f>GU86*VLOOKUP('Données projet'!$B$18,Paramètres!$A$1:$I$89,3,0)*VLOOKUP('Données projet'!$B$18,Paramètres!$A$1:$I$89,5,0)</f>
        <v>4.9658410716801891E-14</v>
      </c>
      <c r="GW86" s="13">
        <f t="shared" si="105"/>
        <v>8.0934058173791862E-13</v>
      </c>
      <c r="GX86" s="20">
        <f t="shared" si="82"/>
        <v>1.4960899118586383E-12</v>
      </c>
      <c r="GY86" s="59">
        <f t="shared" si="83"/>
        <v>293.33333333333479</v>
      </c>
      <c r="GZ86" s="59">
        <f ca="1">AVERAGE(OFFSET($GY$3,0,0,'Données projet'!$E$18+1,1))-AVERAGE(OFFSET($H$3,0,0,'Données projet'!$E$18+1,1))</f>
        <v>226.35975611953359</v>
      </c>
      <c r="HA86" s="59">
        <f t="shared" si="106"/>
        <v>271.65876694892461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2.5974853220287293</v>
      </c>
      <c r="HI86" s="21">
        <f>EXP(-LN(2)/2)*HI85+(1-EXP(-LN(2)/2))/(LN(2)/2)*HC86*HF86*VLOOKUP('Données projet'!$B$18,Paramètres!$A$1:$I$89,3,0)*0.475*44/12</f>
        <v>1.2450825095613121E-7</v>
      </c>
      <c r="HJ86" s="22">
        <f t="shared" si="84"/>
        <v>2.5974854465369801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7.8677884615384599</v>
      </c>
      <c r="N87" s="13">
        <f>IF('Données projet'!$A$36&gt;35,N86+M87-V86,IF(A87&lt;'Données projet'!$A$36,$K$205^A87,IF(A87='Données projet'!$A$36,'Données projet'!$B$36,N86+M87-V86)))</f>
        <v>277.67788461538458</v>
      </c>
      <c r="O87" s="13">
        <f>N87*VLOOKUP('Données projet'!$B$9,Paramètres!$A$1:$I$89,3,0)*VLOOKUP('Données projet'!$B$9,Paramètres!$A$1:$I$89,5,0)</f>
        <v>251.24294999999998</v>
      </c>
      <c r="P87" s="13">
        <f t="shared" si="87"/>
        <v>60.852023014307242</v>
      </c>
      <c r="Q87" s="20">
        <f t="shared" si="54"/>
        <v>543.56541133325175</v>
      </c>
      <c r="R87" s="59">
        <f t="shared" si="55"/>
        <v>836.89874466658512</v>
      </c>
      <c r="S87" s="59">
        <f ca="1">AVERAGE(OFFSET($R$3,0,0,'Données projet'!$E$9+1,1))-AVERAGE(OFFSET($H$3,0,0,'Données projet'!$E$9+1,1))</f>
        <v>309.07357540707869</v>
      </c>
      <c r="T87" s="59">
        <f t="shared" si="88"/>
        <v>155.9593924683299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3.1</v>
      </c>
      <c r="AI87" s="13">
        <f>IF('Données projet'!$A$62&gt;35,AI86+AH87-AQ86,IF(A87&lt;'Données projet'!$A$62,$AF$205^A87,IF(A87='Données projet'!$A$62,'Données projet'!$B$62,AI86+AH87-AQ86)))</f>
        <v>226.39999999999984</v>
      </c>
      <c r="AJ87" s="13">
        <f>AI87*VLOOKUP('Données projet'!$B$10,Paramètres!$A$1:$I$89,3,0)*VLOOKUP('Données projet'!$B$10,Paramètres!$A$1:$I$89,5,0)</f>
        <v>197.78303999999989</v>
      </c>
      <c r="AK87" s="13">
        <f t="shared" si="89"/>
        <v>49.256631390532817</v>
      </c>
      <c r="AL87" s="20">
        <f t="shared" si="58"/>
        <v>430.26076100517776</v>
      </c>
      <c r="AM87" s="59">
        <f t="shared" si="59"/>
        <v>723.59409433851101</v>
      </c>
      <c r="AN87" s="59">
        <f ca="1">AVERAGE(OFFSET($AM$3,0,0,'Données projet'!$E$10+1,1))-AVERAGE(OFFSET($H$3,0,0,'Données projet'!$E$10+1,1))</f>
        <v>210.07838338464626</v>
      </c>
      <c r="AO87" s="59">
        <f t="shared" si="90"/>
        <v>241.76003724236273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1.819061743438299</v>
      </c>
      <c r="AV87" s="21">
        <f>EXP(-LN(2)/25)*AV86+(1-EXP(-LN(2)/25))/(LN(2)/25)*Calculateur!AQ87*Calculateur!AS87*VLOOKUP('Données projet'!$B$10,Paramètres!$A$1:$I$89,3,0)*0.475*44/12</f>
        <v>3.0341141651730354</v>
      </c>
      <c r="AW87" s="21">
        <f>EXP(-LN(2)/2)*AW86+(1-EXP(-LN(2)/2))/(LN(2)/2)*AQ87*AT87*VLOOKUP('Données projet'!$B$10,Paramètres!$A$1:$I$89,3,0)*0.475*44/12</f>
        <v>1.1899638526774425E-7</v>
      </c>
      <c r="AX87" s="21">
        <f t="shared" si="60"/>
        <v>4.8531760276077192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2.2737367544323206E-13</v>
      </c>
      <c r="BE87" s="13">
        <f>BD87*VLOOKUP('Données projet'!$B$11,Paramètres!$A$1:$I$89,3,0)*VLOOKUP('Données projet'!$B$11,Paramètres!$A$1:$I$89,5,0)</f>
        <v>1.2414602679200471E-13</v>
      </c>
      <c r="BF87" s="13">
        <f t="shared" si="91"/>
        <v>1.8186582995804361E-12</v>
      </c>
      <c r="BG87" s="20">
        <f t="shared" si="61"/>
        <v>3.3837175350986671E-12</v>
      </c>
      <c r="BH87" s="59">
        <f t="shared" si="62"/>
        <v>293.33333333333672</v>
      </c>
      <c r="BI87" s="59">
        <f ca="1">AVERAGE(OFFSET($BH$3,0,0,'Données projet'!$E$11+1,1))-AVERAGE(OFFSET($H$3,0,0,'Données projet'!$E$11+1,1))</f>
        <v>168.72306536277267</v>
      </c>
      <c r="BJ87" s="59">
        <f t="shared" si="92"/>
        <v>203.35476578922339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1.0440565216386424</v>
      </c>
      <c r="BQ87" s="21">
        <f>EXP(-LN(2)/25)*BQ86+(1-EXP(-LN(2)/25))/(LN(2)/25)*Calculateur!BL87*Calculateur!BN87*VLOOKUP('Données projet'!$B$11,Paramètres!$A$1:$I$89,3,0)*0.475*44/12</f>
        <v>5.1430426349592233</v>
      </c>
      <c r="BR87" s="21">
        <f>EXP(-LN(2)/2)*BR86+(1-EXP(-LN(2)/2))/(LN(2)/2)*BL87*BO87*VLOOKUP('Données projet'!$B$11,Paramètres!$A$1:$I$89,3,0)*0.475*44/12</f>
        <v>1.4918928311831702E-7</v>
      </c>
      <c r="BS87" s="22">
        <f t="shared" si="63"/>
        <v>6.1870993057871484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12.124038461538468</v>
      </c>
      <c r="BY87" s="12">
        <f>IF('Données projet'!$A$114&gt;35,BY86+BX87-CG86,IF(A87&lt;'Données projet'!$A$114,$BV$205^A87,IF(A87='Données projet'!$A$114,'Données projet'!$B$114,BY86+BX87-CG86)))</f>
        <v>420.14326923076942</v>
      </c>
      <c r="BZ87" s="13">
        <f>BY87*VLOOKUP('Données projet'!$B$12,Paramètres!$A$1:$I$89,3,0)*VLOOKUP('Données projet'!$B$12,Paramètres!$A$1:$I$89,5,0)</f>
        <v>196.62705000000008</v>
      </c>
      <c r="CA87" s="13">
        <f t="shared" si="93"/>
        <v>49.002163217129386</v>
      </c>
      <c r="CB87" s="20">
        <f t="shared" si="64"/>
        <v>427.80421301983375</v>
      </c>
      <c r="CC87" s="59">
        <f t="shared" si="65"/>
        <v>721.13754635316707</v>
      </c>
      <c r="CD87" s="59">
        <f ca="1">AVERAGE(OFFSET($CC$3,0,0,'Données projet'!$E$12+1,1))-AVERAGE(OFFSET($H$3,0,0,'Données projet'!$E$12+1,1))</f>
        <v>158.58786357608489</v>
      </c>
      <c r="CE87" s="59">
        <f t="shared" si="94"/>
        <v>163.20074068819849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4.1677594708744434E-14</v>
      </c>
      <c r="CV87" s="13">
        <f t="shared" si="95"/>
        <v>6.9326303456159188E-13</v>
      </c>
      <c r="CW87" s="20">
        <f t="shared" si="67"/>
        <v>1.2800215959791691E-12</v>
      </c>
      <c r="CX87" s="59">
        <f t="shared" si="68"/>
        <v>293.33333333333462</v>
      </c>
      <c r="CY87" s="59">
        <f ca="1">AVERAGE(OFFSET($CX$3,0,0,'Données projet'!$E$13+1,1))-AVERAGE(OFFSET($H$3,0,0,'Données projet'!$E$13+1,1))</f>
        <v>178.12968684094687</v>
      </c>
      <c r="CZ87" s="59">
        <f t="shared" si="96"/>
        <v>219.36004077210373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1.7203401261925251</v>
      </c>
      <c r="DH87" s="21">
        <f>EXP(-LN(2)/2)*DH86+(1-EXP(-LN(2)/2))/(LN(2)/2)*DB87*DE87*VLOOKUP('Données projet'!$B$13,Paramètres!$A$1:$I$89,3,0)*0.475*44/12</f>
        <v>7.3891241831135208E-8</v>
      </c>
      <c r="DI87" s="22">
        <f t="shared" si="69"/>
        <v>1.7203402000837669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-8.5265128291212022E-14</v>
      </c>
      <c r="DP87" s="17">
        <f>DO87*VLOOKUP('Données projet'!$B$14,Paramètres!$A$1:$I$89,3,0)*VLOOKUP('Données projet'!$B$14,Paramètres!$A$1:$I$89,5,0)</f>
        <v>-7.7147888077888636E-14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225.28075317732998</v>
      </c>
      <c r="DU87" s="59">
        <f t="shared" si="98"/>
        <v>358.43407531256207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0.76998888701583623</v>
      </c>
      <c r="EB87" s="21">
        <f>EXP(-LN(2)/25)*EB86+(1-EXP(-LN(2)/25))/(LN(2)/25)*Calculateur!DW87*Calculateur!DY87*VLOOKUP('Données projet'!$B$14,Paramètres!$A$1:$I$89,3,0)*0.475*44/12</f>
        <v>1.8509245291980021</v>
      </c>
      <c r="EC87" s="21">
        <f>EXP(-LN(2)/2)*EC86+(1-EXP(-LN(2)/2))/(LN(2)/2)*DW87*DZ87*VLOOKUP('Données projet'!$B$14,Paramètres!$A$1:$I$89,3,0)*0.475*44/12</f>
        <v>3.2887020073604015E-8</v>
      </c>
      <c r="ED87" s="22">
        <f t="shared" si="72"/>
        <v>2.6209134491008585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7.8677884615384599</v>
      </c>
      <c r="EJ87" s="12">
        <f>IF('Données projet'!$A$192&gt;35,EJ86+EI87-ER86,IF(A87&lt;'Données projet'!$A$192,$EG$205^A87,IF(A87='Données projet'!$A$192,'Données projet'!$B$192,EJ86+EI87-ER86)))</f>
        <v>277.67788461538458</v>
      </c>
      <c r="EK87" s="17">
        <f>EJ87*VLOOKUP('Données projet'!$B$15,Paramètres!$A$1:$I$89,3,0)*VLOOKUP('Données projet'!$B$15,Paramètres!$A$1:$I$89,5,0)</f>
        <v>281.56537500000002</v>
      </c>
      <c r="EL87" s="13">
        <f t="shared" si="99"/>
        <v>67.297710204400929</v>
      </c>
      <c r="EM87" s="20">
        <f t="shared" si="73"/>
        <v>607.60320673099829</v>
      </c>
      <c r="EN87" s="59">
        <f t="shared" si="74"/>
        <v>900.93654006433167</v>
      </c>
      <c r="EO87" s="59">
        <f ca="1">AVERAGE(OFFSET($EN$3,0,0,'Données projet'!$E$15+1,1))-AVERAGE(OFFSET($H$3,0,0,'Données projet'!$E$15+1,1))</f>
        <v>363.98308691765931</v>
      </c>
      <c r="EP87" s="59">
        <f t="shared" si="100"/>
        <v>181.47089407988187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7.8677884615384599</v>
      </c>
      <c r="FE87" s="12">
        <f>IF('Données projet'!$A$218&gt;35,FE86+FD87-FM86,IF(A87&lt;'Données projet'!$A$218,$FB$205^A87,IF(A87='Données projet'!$A$218,'Données projet'!$B$218,FE86+FD87-FM86)))</f>
        <v>277.67788461538458</v>
      </c>
      <c r="FF87" s="17">
        <f>FE87*VLOOKUP('Données projet'!$B$16,Paramètres!$A$1:$I$89,3,0)*VLOOKUP('Données projet'!$B$16,Paramètres!$A$1:$I$89,5,0)</f>
        <v>298.89247499999993</v>
      </c>
      <c r="FG87" s="13">
        <f t="shared" si="101"/>
        <v>70.944233740402041</v>
      </c>
      <c r="FH87" s="20">
        <f t="shared" si="76"/>
        <v>644.13226772286669</v>
      </c>
      <c r="FI87" s="59">
        <f t="shared" si="77"/>
        <v>937.46560105620006</v>
      </c>
      <c r="FJ87" s="59">
        <f ca="1">AVERAGE(OFFSET($FI$3,0,0,'Données projet'!$E$16+1,1))-AVERAGE(OFFSET($H$3,0,0,'Données projet'!$E$16+1,1))</f>
        <v>395.30533160963489</v>
      </c>
      <c r="FK87" s="59">
        <f t="shared" si="102"/>
        <v>196.02102977695085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3.1</v>
      </c>
      <c r="FZ87" s="12">
        <f>IF('Données projet'!$A$244&gt;35,FZ86+FY87-GH86,IF(A87&lt;'Données projet'!$A$244,$FW$205^A87,IF(A87='Données projet'!$A$244,'Données projet'!$B$244,FZ86+FY87-GH86)))</f>
        <v>226.39999999999984</v>
      </c>
      <c r="GA87" s="17">
        <f>FZ87*VLOOKUP('Données projet'!$B$17,Paramètres!$A$1:$I$89,3,0)*VLOOKUP('Données projet'!$B$17,Paramètres!$A$1:$I$89,5,0)</f>
        <v>236.63327999999984</v>
      </c>
      <c r="GB87" s="13">
        <f t="shared" si="103"/>
        <v>57.71456976922493</v>
      </c>
      <c r="GC87" s="20">
        <f t="shared" si="79"/>
        <v>512.65583834806637</v>
      </c>
      <c r="GD87" s="59">
        <f t="shared" si="80"/>
        <v>805.98917168139974</v>
      </c>
      <c r="GE87" s="59">
        <f ca="1">AVERAGE(OFFSET($GD$3,0,0,'Données projet'!$E$17+1,1))-AVERAGE(OFFSET($H$3,0,0,'Données projet'!$E$17+1,1))</f>
        <v>269.41185214595805</v>
      </c>
      <c r="GF87" s="59">
        <f t="shared" si="104"/>
        <v>299.70148160580993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2.1763774430422509</v>
      </c>
      <c r="GM87" s="21">
        <f>EXP(-LN(2)/25)*GM86+(1-EXP(-LN(2)/25))/(LN(2)/25)*Calculateur!GH87*Calculateur!GJ87*VLOOKUP('Données projet'!$B$17,Paramètres!$A$1:$I$89,3,0)*0.475*44/12</f>
        <v>3.6301008761891675</v>
      </c>
      <c r="GN87" s="21">
        <f>EXP(-LN(2)/2)*GN86+(1-EXP(-LN(2)/2))/(LN(2)/2)*GH87*GK87*VLOOKUP('Données projet'!$B$17,Paramètres!$A$1:$I$89,3,0)*0.475*44/12</f>
        <v>1.4237067523105067E-7</v>
      </c>
      <c r="GO87" s="21">
        <f t="shared" si="81"/>
        <v>5.8064784616020937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5.6843418860808015E-14</v>
      </c>
      <c r="GV87" s="17">
        <f>GU87*VLOOKUP('Données projet'!$B$18,Paramètres!$A$1:$I$89,3,0)*VLOOKUP('Données projet'!$B$18,Paramètres!$A$1:$I$89,5,0)</f>
        <v>4.9658410716801891E-14</v>
      </c>
      <c r="GW87" s="13">
        <f t="shared" si="105"/>
        <v>8.0934058173791862E-13</v>
      </c>
      <c r="GX87" s="20">
        <f t="shared" si="82"/>
        <v>1.4960899118586383E-12</v>
      </c>
      <c r="GY87" s="59">
        <f t="shared" si="83"/>
        <v>293.33333333333479</v>
      </c>
      <c r="GZ87" s="59">
        <f ca="1">AVERAGE(OFFSET($GY$3,0,0,'Données projet'!$E$18+1,1))-AVERAGE(OFFSET($H$3,0,0,'Données projet'!$E$18+1,1))</f>
        <v>226.35975611953359</v>
      </c>
      <c r="HA87" s="59">
        <f t="shared" si="106"/>
        <v>271.65876694892461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2.526456949302037</v>
      </c>
      <c r="HI87" s="21">
        <f>EXP(-LN(2)/2)*HI86+(1-EXP(-LN(2)/2))/(LN(2)/2)*HC87*HF87*VLOOKUP('Données projet'!$B$18,Paramètres!$A$1:$I$89,3,0)*0.475*44/12</f>
        <v>8.8040628564756823E-8</v>
      </c>
      <c r="HJ87" s="22">
        <f t="shared" si="84"/>
        <v>2.5264570373426656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7.8677884615384599</v>
      </c>
      <c r="N88" s="13">
        <f>IF('Données projet'!$A$36&gt;35,N87+M88-V87,IF(A88&lt;'Données projet'!$A$36,$K$205^A88,IF(A88='Données projet'!$A$36,'Données projet'!$B$36,N87+M88-V87)))</f>
        <v>285.54567307692304</v>
      </c>
      <c r="O88" s="13">
        <f>N88*VLOOKUP('Données projet'!$B$9,Paramètres!$A$1:$I$89,3,0)*VLOOKUP('Données projet'!$B$9,Paramètres!$A$1:$I$89,5,0)</f>
        <v>258.36172499999998</v>
      </c>
      <c r="P88" s="13">
        <f t="shared" si="87"/>
        <v>62.373035564748605</v>
      </c>
      <c r="Q88" s="20">
        <f t="shared" si="54"/>
        <v>558.61304131693703</v>
      </c>
      <c r="R88" s="59">
        <f t="shared" si="55"/>
        <v>851.9463746502704</v>
      </c>
      <c r="S88" s="59">
        <f ca="1">AVERAGE(OFFSET($R$3,0,0,'Données projet'!$E$9+1,1))-AVERAGE(OFFSET($H$3,0,0,'Données projet'!$E$9+1,1))</f>
        <v>309.07357540707869</v>
      </c>
      <c r="T88" s="59">
        <f t="shared" si="88"/>
        <v>155.9593924683299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3.1</v>
      </c>
      <c r="AI88" s="13">
        <f>IF('Données projet'!$A$62&gt;35,AI87+AH88-AQ87,IF(A88&lt;'Données projet'!$A$62,$AF$205^A88,IF(A88='Données projet'!$A$62,'Données projet'!$B$62,AI87+AH88-AQ87)))</f>
        <v>229.49999999999983</v>
      </c>
      <c r="AJ88" s="13">
        <f>AI88*VLOOKUP('Données projet'!$B$10,Paramètres!$A$1:$I$89,3,0)*VLOOKUP('Données projet'!$B$10,Paramètres!$A$1:$I$89,5,0)</f>
        <v>200.49119999999988</v>
      </c>
      <c r="AK88" s="13">
        <f t="shared" si="89"/>
        <v>49.85210320190825</v>
      </c>
      <c r="AL88" s="20">
        <f t="shared" si="58"/>
        <v>436.01458640998993</v>
      </c>
      <c r="AM88" s="59">
        <f t="shared" si="59"/>
        <v>729.34791974332325</v>
      </c>
      <c r="AN88" s="59">
        <f ca="1">AVERAGE(OFFSET($AM$3,0,0,'Données projet'!$E$10+1,1))-AVERAGE(OFFSET($H$3,0,0,'Données projet'!$E$10+1,1))</f>
        <v>210.07838338464626</v>
      </c>
      <c r="AO88" s="59">
        <f t="shared" si="90"/>
        <v>241.76003724236273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1.7833910521675815</v>
      </c>
      <c r="AV88" s="21">
        <f>EXP(-LN(2)/25)*AV87+(1-EXP(-LN(2)/25))/(LN(2)/25)*Calculateur!AQ88*Calculateur!AS88*VLOOKUP('Données projet'!$B$10,Paramètres!$A$1:$I$89,3,0)*0.475*44/12</f>
        <v>2.9511461537692494</v>
      </c>
      <c r="AW88" s="21">
        <f>EXP(-LN(2)/2)*AW87+(1-EXP(-LN(2)/2))/(LN(2)/2)*AQ88*AT88*VLOOKUP('Données projet'!$B$10,Paramètres!$A$1:$I$89,3,0)*0.475*44/12</f>
        <v>8.4143150959508946E-8</v>
      </c>
      <c r="AX88" s="21">
        <f t="shared" si="60"/>
        <v>4.7345372900799818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2.2737367544323206E-13</v>
      </c>
      <c r="BE88" s="13">
        <f>BD88*VLOOKUP('Données projet'!$B$11,Paramètres!$A$1:$I$89,3,0)*VLOOKUP('Données projet'!$B$11,Paramètres!$A$1:$I$89,5,0)</f>
        <v>1.2414602679200471E-13</v>
      </c>
      <c r="BF88" s="13">
        <f t="shared" si="91"/>
        <v>1.8186582995804361E-12</v>
      </c>
      <c r="BG88" s="20">
        <f t="shared" si="61"/>
        <v>3.3837175350986671E-12</v>
      </c>
      <c r="BH88" s="59">
        <f t="shared" si="62"/>
        <v>293.33333333333672</v>
      </c>
      <c r="BI88" s="59">
        <f ca="1">AVERAGE(OFFSET($BH$3,0,0,'Données projet'!$E$11+1,1))-AVERAGE(OFFSET($H$3,0,0,'Données projet'!$E$11+1,1))</f>
        <v>168.72306536277267</v>
      </c>
      <c r="BJ88" s="59">
        <f t="shared" si="92"/>
        <v>203.35476578922339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1.0235832100609068</v>
      </c>
      <c r="BQ88" s="21">
        <f>EXP(-LN(2)/25)*BQ87+(1-EXP(-LN(2)/25))/(LN(2)/25)*Calculateur!BL88*Calculateur!BN88*VLOOKUP('Données projet'!$B$11,Paramètres!$A$1:$I$89,3,0)*0.475*44/12</f>
        <v>5.0024058636454054</v>
      </c>
      <c r="BR88" s="21">
        <f>EXP(-LN(2)/2)*BR87+(1-EXP(-LN(2)/2))/(LN(2)/2)*BL88*BO88*VLOOKUP('Données projet'!$B$11,Paramètres!$A$1:$I$89,3,0)*0.475*44/12</f>
        <v>1.0549275377332169E-7</v>
      </c>
      <c r="BS88" s="22">
        <f t="shared" si="63"/>
        <v>6.0259891791990663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12.124038461538468</v>
      </c>
      <c r="BY88" s="12">
        <f>IF('Données projet'!$A$114&gt;35,BY87+BX88-CG87,IF(A88&lt;'Données projet'!$A$114,$BV$205^A88,IF(A88='Données projet'!$A$114,'Données projet'!$B$114,BY87+BX88-CG87)))</f>
        <v>432.2673076923079</v>
      </c>
      <c r="BZ88" s="13">
        <f>BY88*VLOOKUP('Données projet'!$B$12,Paramètres!$A$1:$I$89,3,0)*VLOOKUP('Données projet'!$B$12,Paramètres!$A$1:$I$89,5,0)</f>
        <v>202.3011000000001</v>
      </c>
      <c r="CA88" s="13">
        <f t="shared" si="93"/>
        <v>50.249542664134772</v>
      </c>
      <c r="CB88" s="20">
        <f t="shared" si="64"/>
        <v>439.85903597336824</v>
      </c>
      <c r="CC88" s="59">
        <f t="shared" si="65"/>
        <v>733.19236930670149</v>
      </c>
      <c r="CD88" s="59">
        <f ca="1">AVERAGE(OFFSET($CC$3,0,0,'Données projet'!$E$12+1,1))-AVERAGE(OFFSET($H$3,0,0,'Données projet'!$E$12+1,1))</f>
        <v>158.58786357608489</v>
      </c>
      <c r="CE88" s="59">
        <f t="shared" si="94"/>
        <v>163.20074068819849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4.1677594708744434E-14</v>
      </c>
      <c r="CV88" s="13">
        <f t="shared" si="95"/>
        <v>6.9326303456159188E-13</v>
      </c>
      <c r="CW88" s="20">
        <f t="shared" si="67"/>
        <v>1.2800215959791691E-12</v>
      </c>
      <c r="CX88" s="59">
        <f t="shared" si="68"/>
        <v>293.33333333333462</v>
      </c>
      <c r="CY88" s="59">
        <f ca="1">AVERAGE(OFFSET($CX$3,0,0,'Données projet'!$E$13+1,1))-AVERAGE(OFFSET($H$3,0,0,'Données projet'!$E$13+1,1))</f>
        <v>178.12968684094687</v>
      </c>
      <c r="CZ88" s="59">
        <f t="shared" si="96"/>
        <v>219.36004077210373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1.6732973349730351</v>
      </c>
      <c r="DH88" s="21">
        <f>EXP(-LN(2)/2)*DH87+(1-EXP(-LN(2)/2))/(LN(2)/2)*DB88*DE88*VLOOKUP('Données projet'!$B$13,Paramètres!$A$1:$I$89,3,0)*0.475*44/12</f>
        <v>5.2248998169090791E-8</v>
      </c>
      <c r="DI88" s="22">
        <f t="shared" si="69"/>
        <v>1.6732973872220334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-8.5265128291212022E-14</v>
      </c>
      <c r="DP88" s="17">
        <f>DO88*VLOOKUP('Données projet'!$B$14,Paramètres!$A$1:$I$89,3,0)*VLOOKUP('Données projet'!$B$14,Paramètres!$A$1:$I$89,5,0)</f>
        <v>-7.7147888077888636E-14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225.28075317732998</v>
      </c>
      <c r="DU88" s="59">
        <f t="shared" si="98"/>
        <v>358.43407531256207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0.75488987458830303</v>
      </c>
      <c r="EB88" s="21">
        <f>EXP(-LN(2)/25)*EB87+(1-EXP(-LN(2)/25))/(LN(2)/25)*Calculateur!DW88*Calculateur!DY88*VLOOKUP('Données projet'!$B$14,Paramètres!$A$1:$I$89,3,0)*0.475*44/12</f>
        <v>1.8003109006111921</v>
      </c>
      <c r="EC88" s="21">
        <f>EXP(-LN(2)/2)*EC87+(1-EXP(-LN(2)/2))/(LN(2)/2)*DW88*DZ88*VLOOKUP('Données projet'!$B$14,Paramètres!$A$1:$I$89,3,0)*0.475*44/12</f>
        <v>2.325463490706351E-8</v>
      </c>
      <c r="ED88" s="22">
        <f t="shared" si="72"/>
        <v>2.5552007984541301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7.8677884615384599</v>
      </c>
      <c r="EJ88" s="12">
        <f>IF('Données projet'!$A$192&gt;35,EJ87+EI88-ER87,IF(A88&lt;'Données projet'!$A$192,$EG$205^A88,IF(A88='Données projet'!$A$192,'Données projet'!$B$192,EJ87+EI88-ER87)))</f>
        <v>285.54567307692304</v>
      </c>
      <c r="EK88" s="17">
        <f>EJ88*VLOOKUP('Données projet'!$B$15,Paramètres!$A$1:$I$89,3,0)*VLOOKUP('Données projet'!$B$15,Paramètres!$A$1:$I$89,5,0)</f>
        <v>289.54331249999996</v>
      </c>
      <c r="EL88" s="13">
        <f t="shared" si="99"/>
        <v>68.979834425855088</v>
      </c>
      <c r="EM88" s="20">
        <f t="shared" si="73"/>
        <v>624.42781422919745</v>
      </c>
      <c r="EN88" s="59">
        <f t="shared" si="74"/>
        <v>917.76114756253082</v>
      </c>
      <c r="EO88" s="59">
        <f ca="1">AVERAGE(OFFSET($EN$3,0,0,'Données projet'!$E$15+1,1))-AVERAGE(OFFSET($H$3,0,0,'Données projet'!$E$15+1,1))</f>
        <v>363.98308691765931</v>
      </c>
      <c r="EP88" s="59">
        <f t="shared" si="100"/>
        <v>181.47089407988187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7.8677884615384599</v>
      </c>
      <c r="FE88" s="12">
        <f>IF('Données projet'!$A$218&gt;35,FE87+FD88-FM87,IF(A88&lt;'Données projet'!$A$218,$FB$205^A88,IF(A88='Données projet'!$A$218,'Données projet'!$B$218,FE87+FD88-FM87)))</f>
        <v>285.54567307692304</v>
      </c>
      <c r="FF88" s="17">
        <f>FE88*VLOOKUP('Données projet'!$B$16,Paramètres!$A$1:$I$89,3,0)*VLOOKUP('Données projet'!$B$16,Paramètres!$A$1:$I$89,5,0)</f>
        <v>307.36136249999998</v>
      </c>
      <c r="FG88" s="13">
        <f t="shared" si="101"/>
        <v>72.717503790523836</v>
      </c>
      <c r="FH88" s="20">
        <f t="shared" si="76"/>
        <v>661.97069212266229</v>
      </c>
      <c r="FI88" s="59">
        <f t="shared" si="77"/>
        <v>955.30402545599554</v>
      </c>
      <c r="FJ88" s="59">
        <f ca="1">AVERAGE(OFFSET($FI$3,0,0,'Données projet'!$E$16+1,1))-AVERAGE(OFFSET($H$3,0,0,'Données projet'!$E$16+1,1))</f>
        <v>395.30533160963489</v>
      </c>
      <c r="FK88" s="59">
        <f t="shared" si="102"/>
        <v>196.02102977695085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3.1</v>
      </c>
      <c r="FZ88" s="12">
        <f>IF('Données projet'!$A$244&gt;35,FZ87+FY88-GH87,IF(A88&lt;'Données projet'!$A$244,$FW$205^A88,IF(A88='Données projet'!$A$244,'Données projet'!$B$244,FZ87+FY88-GH87)))</f>
        <v>229.49999999999983</v>
      </c>
      <c r="GA88" s="17">
        <f>FZ88*VLOOKUP('Données projet'!$B$17,Paramètres!$A$1:$I$89,3,0)*VLOOKUP('Données projet'!$B$17,Paramètres!$A$1:$I$89,5,0)</f>
        <v>239.87339999999986</v>
      </c>
      <c r="GB88" s="13">
        <f t="shared" si="103"/>
        <v>58.412291039093219</v>
      </c>
      <c r="GC88" s="20">
        <f t="shared" si="79"/>
        <v>519.51424522642048</v>
      </c>
      <c r="GD88" s="59">
        <f t="shared" si="80"/>
        <v>812.84757855975386</v>
      </c>
      <c r="GE88" s="59">
        <f ca="1">AVERAGE(OFFSET($GD$3,0,0,'Données projet'!$E$17+1,1))-AVERAGE(OFFSET($H$3,0,0,'Données projet'!$E$17+1,1))</f>
        <v>269.41185214595805</v>
      </c>
      <c r="GF88" s="59">
        <f t="shared" si="104"/>
        <v>299.70148160580993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2.1337000088433569</v>
      </c>
      <c r="GM88" s="21">
        <f>EXP(-LN(2)/25)*GM87+(1-EXP(-LN(2)/25))/(LN(2)/25)*Calculateur!GH88*Calculateur!GJ88*VLOOKUP('Données projet'!$B$17,Paramètres!$A$1:$I$89,3,0)*0.475*44/12</f>
        <v>3.5308355768310662</v>
      </c>
      <c r="GN88" s="21">
        <f>EXP(-LN(2)/2)*GN87+(1-EXP(-LN(2)/2))/(LN(2)/2)*GH88*GK88*VLOOKUP('Données projet'!$B$17,Paramètres!$A$1:$I$89,3,0)*0.475*44/12</f>
        <v>1.0067126989798357E-7</v>
      </c>
      <c r="GO88" s="21">
        <f t="shared" si="81"/>
        <v>5.664535686345693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5.6843418860808015E-14</v>
      </c>
      <c r="GV88" s="17">
        <f>GU88*VLOOKUP('Données projet'!$B$18,Paramètres!$A$1:$I$89,3,0)*VLOOKUP('Données projet'!$B$18,Paramètres!$A$1:$I$89,5,0)</f>
        <v>4.9658410716801891E-14</v>
      </c>
      <c r="GW88" s="13">
        <f t="shared" si="105"/>
        <v>8.0934058173791862E-13</v>
      </c>
      <c r="GX88" s="20">
        <f t="shared" si="82"/>
        <v>1.4960899118586383E-12</v>
      </c>
      <c r="GY88" s="59">
        <f t="shared" si="83"/>
        <v>293.33333333333479</v>
      </c>
      <c r="GZ88" s="59">
        <f ca="1">AVERAGE(OFFSET($GY$3,0,0,'Données projet'!$E$18+1,1))-AVERAGE(OFFSET($H$3,0,0,'Données projet'!$E$18+1,1))</f>
        <v>226.35975611953359</v>
      </c>
      <c r="HA88" s="59">
        <f t="shared" si="106"/>
        <v>271.65876694892461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2.4573708511627763</v>
      </c>
      <c r="HI88" s="21">
        <f>EXP(-LN(2)/2)*HI87+(1-EXP(-LN(2)/2))/(LN(2)/2)*HC88*HF88*VLOOKUP('Données projet'!$B$18,Paramètres!$A$1:$I$89,3,0)*0.475*44/12</f>
        <v>6.2254125478065607E-8</v>
      </c>
      <c r="HJ88" s="22">
        <f t="shared" si="84"/>
        <v>2.4573709134169017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7.8677884615384599</v>
      </c>
      <c r="N89" s="13">
        <f>IF('Données projet'!$A$36&gt;35,N88+M89-V88,IF(A89&lt;'Données projet'!$A$36,$K$205^A89,IF(A89='Données projet'!$A$36,'Données projet'!$B$36,N88+M89-V88)))</f>
        <v>293.41346153846149</v>
      </c>
      <c r="O89" s="13">
        <f>N89*VLOOKUP('Données projet'!$B$9,Paramètres!$A$1:$I$89,3,0)*VLOOKUP('Données projet'!$B$9,Paramètres!$A$1:$I$89,5,0)</f>
        <v>265.48049999999995</v>
      </c>
      <c r="P89" s="13">
        <f t="shared" si="87"/>
        <v>63.88917704165199</v>
      </c>
      <c r="Q89" s="20">
        <f t="shared" si="54"/>
        <v>573.65218751421037</v>
      </c>
      <c r="R89" s="59">
        <f t="shared" si="55"/>
        <v>866.98552084754374</v>
      </c>
      <c r="S89" s="59">
        <f ca="1">AVERAGE(OFFSET($R$3,0,0,'Données projet'!$E$9+1,1))-AVERAGE(OFFSET($H$3,0,0,'Données projet'!$E$9+1,1))</f>
        <v>309.07357540707869</v>
      </c>
      <c r="T89" s="59">
        <f t="shared" si="88"/>
        <v>155.9593924683299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3.1</v>
      </c>
      <c r="AI89" s="13">
        <f>IF('Données projet'!$A$62&gt;35,AI88+AH89-AQ88,IF(A89&lt;'Données projet'!$A$62,$AF$205^A89,IF(A89='Données projet'!$A$62,'Données projet'!$B$62,AI88+AH89-AQ88)))</f>
        <v>232.59999999999982</v>
      </c>
      <c r="AJ89" s="13">
        <f>AI89*VLOOKUP('Données projet'!$B$10,Paramètres!$A$1:$I$89,3,0)*VLOOKUP('Données projet'!$B$10,Paramètres!$A$1:$I$89,5,0)</f>
        <v>203.19935999999987</v>
      </c>
      <c r="AK89" s="13">
        <f t="shared" si="89"/>
        <v>50.446639465910458</v>
      </c>
      <c r="AL89" s="20">
        <f t="shared" si="58"/>
        <v>441.76678240312714</v>
      </c>
      <c r="AM89" s="59">
        <f t="shared" si="59"/>
        <v>735.10011573646045</v>
      </c>
      <c r="AN89" s="59">
        <f ca="1">AVERAGE(OFFSET($AM$3,0,0,'Données projet'!$E$10+1,1))-AVERAGE(OFFSET($H$3,0,0,'Données projet'!$E$10+1,1))</f>
        <v>210.07838338464626</v>
      </c>
      <c r="AO89" s="59">
        <f t="shared" si="90"/>
        <v>241.76003724236273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1.7484198413957095</v>
      </c>
      <c r="AV89" s="21">
        <f>EXP(-LN(2)/25)*AV88+(1-EXP(-LN(2)/25))/(LN(2)/25)*Calculateur!AQ89*Calculateur!AS89*VLOOKUP('Données projet'!$B$10,Paramètres!$A$1:$I$89,3,0)*0.475*44/12</f>
        <v>2.8704469070003982</v>
      </c>
      <c r="AW89" s="21">
        <f>EXP(-LN(2)/2)*AW88+(1-EXP(-LN(2)/2))/(LN(2)/2)*AQ89*AT89*VLOOKUP('Données projet'!$B$10,Paramètres!$A$1:$I$89,3,0)*0.475*44/12</f>
        <v>5.9498192633872133E-8</v>
      </c>
      <c r="AX89" s="21">
        <f t="shared" si="60"/>
        <v>4.6188668078943005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2.2737367544323206E-13</v>
      </c>
      <c r="BE89" s="13">
        <f>BD89*VLOOKUP('Données projet'!$B$11,Paramètres!$A$1:$I$89,3,0)*VLOOKUP('Données projet'!$B$11,Paramètres!$A$1:$I$89,5,0)</f>
        <v>1.2414602679200471E-13</v>
      </c>
      <c r="BF89" s="13">
        <f t="shared" si="91"/>
        <v>1.8186582995804361E-12</v>
      </c>
      <c r="BG89" s="20">
        <f t="shared" si="61"/>
        <v>3.3837175350986671E-12</v>
      </c>
      <c r="BH89" s="59">
        <f t="shared" si="62"/>
        <v>293.33333333333672</v>
      </c>
      <c r="BI89" s="59">
        <f ca="1">AVERAGE(OFFSET($BH$3,0,0,'Données projet'!$E$11+1,1))-AVERAGE(OFFSET($H$3,0,0,'Données projet'!$E$11+1,1))</f>
        <v>168.72306536277267</v>
      </c>
      <c r="BJ89" s="59">
        <f t="shared" si="92"/>
        <v>203.35476578922339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1.0035113676357237</v>
      </c>
      <c r="BQ89" s="21">
        <f>EXP(-LN(2)/25)*BQ88+(1-EXP(-LN(2)/25))/(LN(2)/25)*Calculateur!BL89*Calculateur!BN89*VLOOKUP('Données projet'!$B$11,Paramètres!$A$1:$I$89,3,0)*0.475*44/12</f>
        <v>4.8656148122389302</v>
      </c>
      <c r="BR89" s="21">
        <f>EXP(-LN(2)/2)*BR88+(1-EXP(-LN(2)/2))/(LN(2)/2)*BL89*BO89*VLOOKUP('Données projet'!$B$11,Paramètres!$A$1:$I$89,3,0)*0.475*44/12</f>
        <v>7.4594641559158512E-8</v>
      </c>
      <c r="BS89" s="22">
        <f t="shared" si="63"/>
        <v>5.869126254469295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12.124038461538468</v>
      </c>
      <c r="BY89" s="12">
        <f>IF('Données projet'!$A$114&gt;35,BY88+BX89-CG88,IF(A89&lt;'Données projet'!$A$114,$BV$205^A89,IF(A89='Données projet'!$A$114,'Données projet'!$B$114,BY88+BX89-CG88)))</f>
        <v>444.39134615384637</v>
      </c>
      <c r="BZ89" s="13">
        <f>BY89*VLOOKUP('Données projet'!$B$12,Paramètres!$A$1:$I$89,3,0)*VLOOKUP('Données projet'!$B$12,Paramètres!$A$1:$I$89,5,0)</f>
        <v>207.9751500000001</v>
      </c>
      <c r="CA89" s="13">
        <f t="shared" si="93"/>
        <v>51.492855825196166</v>
      </c>
      <c r="CB89" s="20">
        <f t="shared" si="64"/>
        <v>451.90677681221678</v>
      </c>
      <c r="CC89" s="59">
        <f t="shared" si="65"/>
        <v>745.24011014555003</v>
      </c>
      <c r="CD89" s="59">
        <f ca="1">AVERAGE(OFFSET($CC$3,0,0,'Données projet'!$E$12+1,1))-AVERAGE(OFFSET($H$3,0,0,'Données projet'!$E$12+1,1))</f>
        <v>158.58786357608489</v>
      </c>
      <c r="CE89" s="59">
        <f t="shared" si="94"/>
        <v>163.20074068819849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4.1677594708744434E-14</v>
      </c>
      <c r="CV89" s="13">
        <f t="shared" si="95"/>
        <v>6.9326303456159188E-13</v>
      </c>
      <c r="CW89" s="20">
        <f t="shared" si="67"/>
        <v>1.2800215959791691E-12</v>
      </c>
      <c r="CX89" s="59">
        <f t="shared" si="68"/>
        <v>293.33333333333462</v>
      </c>
      <c r="CY89" s="59">
        <f ca="1">AVERAGE(OFFSET($CX$3,0,0,'Données projet'!$E$13+1,1))-AVERAGE(OFFSET($H$3,0,0,'Données projet'!$E$13+1,1))</f>
        <v>178.12968684094687</v>
      </c>
      <c r="CZ89" s="59">
        <f t="shared" si="96"/>
        <v>219.36004077210373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1.6275409313533149</v>
      </c>
      <c r="DH89" s="21">
        <f>EXP(-LN(2)/2)*DH88+(1-EXP(-LN(2)/2))/(LN(2)/2)*DB89*DE89*VLOOKUP('Données projet'!$B$13,Paramètres!$A$1:$I$89,3,0)*0.475*44/12</f>
        <v>3.6945620915567604E-8</v>
      </c>
      <c r="DI89" s="22">
        <f t="shared" si="69"/>
        <v>1.6275409682989359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-8.5265128291212022E-14</v>
      </c>
      <c r="DP89" s="17">
        <f>DO89*VLOOKUP('Données projet'!$B$14,Paramètres!$A$1:$I$89,3,0)*VLOOKUP('Données projet'!$B$14,Paramètres!$A$1:$I$89,5,0)</f>
        <v>-7.7147888077888636E-14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225.28075317732998</v>
      </c>
      <c r="DU89" s="59">
        <f t="shared" si="98"/>
        <v>358.43407531256207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0.74008694458498547</v>
      </c>
      <c r="EB89" s="21">
        <f>EXP(-LN(2)/25)*EB88+(1-EXP(-LN(2)/25))/(LN(2)/25)*Calculateur!DW89*Calculateur!DY89*VLOOKUP('Données projet'!$B$14,Paramètres!$A$1:$I$89,3,0)*0.475*44/12</f>
        <v>1.7510813043597435</v>
      </c>
      <c r="EC89" s="21">
        <f>EXP(-LN(2)/2)*EC88+(1-EXP(-LN(2)/2))/(LN(2)/2)*DW89*DZ89*VLOOKUP('Données projet'!$B$14,Paramètres!$A$1:$I$89,3,0)*0.475*44/12</f>
        <v>1.6443510036802007E-8</v>
      </c>
      <c r="ED89" s="22">
        <f t="shared" si="72"/>
        <v>2.491168265388239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7.8677884615384599</v>
      </c>
      <c r="EJ89" s="12">
        <f>IF('Données projet'!$A$192&gt;35,EJ88+EI89-ER88,IF(A89&lt;'Données projet'!$A$192,$EG$205^A89,IF(A89='Données projet'!$A$192,'Données projet'!$B$192,EJ88+EI89-ER88)))</f>
        <v>293.41346153846149</v>
      </c>
      <c r="EK89" s="17">
        <f>EJ89*VLOOKUP('Données projet'!$B$15,Paramètres!$A$1:$I$89,3,0)*VLOOKUP('Données projet'!$B$15,Paramètres!$A$1:$I$89,5,0)</f>
        <v>297.52124999999995</v>
      </c>
      <c r="EL89" s="13">
        <f t="shared" si="99"/>
        <v>70.656571610377782</v>
      </c>
      <c r="EM89" s="20">
        <f t="shared" si="73"/>
        <v>641.24303930474116</v>
      </c>
      <c r="EN89" s="59">
        <f t="shared" si="74"/>
        <v>934.57637263807442</v>
      </c>
      <c r="EO89" s="59">
        <f ca="1">AVERAGE(OFFSET($EN$3,0,0,'Données projet'!$E$15+1,1))-AVERAGE(OFFSET($H$3,0,0,'Données projet'!$E$15+1,1))</f>
        <v>363.98308691765931</v>
      </c>
      <c r="EP89" s="59">
        <f t="shared" si="100"/>
        <v>181.47089407988187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7.8677884615384599</v>
      </c>
      <c r="FE89" s="12">
        <f>IF('Données projet'!$A$218&gt;35,FE88+FD89-FM88,IF(A89&lt;'Données projet'!$A$218,$FB$205^A89,IF(A89='Données projet'!$A$218,'Données projet'!$B$218,FE88+FD89-FM88)))</f>
        <v>293.41346153846149</v>
      </c>
      <c r="FF89" s="17">
        <f>FE89*VLOOKUP('Données projet'!$B$16,Paramètres!$A$1:$I$89,3,0)*VLOOKUP('Données projet'!$B$16,Paramètres!$A$1:$I$89,5,0)</f>
        <v>315.83024999999992</v>
      </c>
      <c r="FG89" s="13">
        <f t="shared" si="101"/>
        <v>74.485094907349364</v>
      </c>
      <c r="FH89" s="20">
        <f t="shared" si="76"/>
        <v>679.79922571363329</v>
      </c>
      <c r="FI89" s="59">
        <f t="shared" si="77"/>
        <v>973.13255904696666</v>
      </c>
      <c r="FJ89" s="59">
        <f ca="1">AVERAGE(OFFSET($FI$3,0,0,'Données projet'!$E$16+1,1))-AVERAGE(OFFSET($H$3,0,0,'Données projet'!$E$16+1,1))</f>
        <v>395.30533160963489</v>
      </c>
      <c r="FK89" s="59">
        <f t="shared" si="102"/>
        <v>196.02102977695085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3.1</v>
      </c>
      <c r="FZ89" s="12">
        <f>IF('Données projet'!$A$244&gt;35,FZ88+FY89-GH88,IF(A89&lt;'Données projet'!$A$244,$FW$205^A89,IF(A89='Données projet'!$A$244,'Données projet'!$B$244,FZ88+FY89-GH88)))</f>
        <v>232.59999999999982</v>
      </c>
      <c r="GA89" s="17">
        <f>FZ89*VLOOKUP('Données projet'!$B$17,Paramètres!$A$1:$I$89,3,0)*VLOOKUP('Données projet'!$B$17,Paramètres!$A$1:$I$89,5,0)</f>
        <v>243.11351999999985</v>
      </c>
      <c r="GB89" s="13">
        <f t="shared" si="103"/>
        <v>59.108916117187469</v>
      </c>
      <c r="GC89" s="20">
        <f t="shared" si="79"/>
        <v>526.37074290410123</v>
      </c>
      <c r="GD89" s="59">
        <f t="shared" si="80"/>
        <v>819.70407623743449</v>
      </c>
      <c r="GE89" s="59">
        <f ca="1">AVERAGE(OFFSET($GD$3,0,0,'Données projet'!$E$17+1,1))-AVERAGE(OFFSET($H$3,0,0,'Données projet'!$E$17+1,1))</f>
        <v>269.41185214595805</v>
      </c>
      <c r="GF89" s="59">
        <f t="shared" si="104"/>
        <v>299.70148160580993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2.0918594530984387</v>
      </c>
      <c r="GM89" s="21">
        <f>EXP(-LN(2)/25)*GM88+(1-EXP(-LN(2)/25))/(LN(2)/25)*Calculateur!GH89*Calculateur!GJ89*VLOOKUP('Données projet'!$B$17,Paramètres!$A$1:$I$89,3,0)*0.475*44/12</f>
        <v>3.4342846923040473</v>
      </c>
      <c r="GN89" s="21">
        <f>EXP(-LN(2)/2)*GN88+(1-EXP(-LN(2)/2))/(LN(2)/2)*GH89*GK89*VLOOKUP('Données projet'!$B$17,Paramètres!$A$1:$I$89,3,0)*0.475*44/12</f>
        <v>7.1185337615525333E-8</v>
      </c>
      <c r="GO89" s="21">
        <f t="shared" si="81"/>
        <v>5.5261442165878236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5.6843418860808015E-14</v>
      </c>
      <c r="GV89" s="17">
        <f>GU89*VLOOKUP('Données projet'!$B$18,Paramètres!$A$1:$I$89,3,0)*VLOOKUP('Données projet'!$B$18,Paramètres!$A$1:$I$89,5,0)</f>
        <v>4.9658410716801891E-14</v>
      </c>
      <c r="GW89" s="13">
        <f t="shared" si="105"/>
        <v>8.0934058173791862E-13</v>
      </c>
      <c r="GX89" s="20">
        <f t="shared" si="82"/>
        <v>1.4960899118586383E-12</v>
      </c>
      <c r="GY89" s="59">
        <f t="shared" si="83"/>
        <v>293.33333333333479</v>
      </c>
      <c r="GZ89" s="59">
        <f ca="1">AVERAGE(OFFSET($GY$3,0,0,'Données projet'!$E$18+1,1))-AVERAGE(OFFSET($H$3,0,0,'Données projet'!$E$18+1,1))</f>
        <v>226.35975611953359</v>
      </c>
      <c r="HA89" s="59">
        <f t="shared" si="106"/>
        <v>271.65876694892461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2.3901739160102133</v>
      </c>
      <c r="HI89" s="21">
        <f>EXP(-LN(2)/2)*HI88+(1-EXP(-LN(2)/2))/(LN(2)/2)*HC89*HF89*VLOOKUP('Données projet'!$B$18,Paramètres!$A$1:$I$89,3,0)*0.475*44/12</f>
        <v>4.4020314282378412E-8</v>
      </c>
      <c r="HJ89" s="22">
        <f t="shared" si="84"/>
        <v>2.3901739600305274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7.8677884615384599</v>
      </c>
      <c r="N90" s="13">
        <f>IF('Données projet'!$A$36&gt;35,N89+M90-V89,IF(A90&lt;'Données projet'!$A$36,$K$205^A90,IF(A90='Données projet'!$A$36,'Données projet'!$B$36,N89+M90-V89)))</f>
        <v>301.28124999999994</v>
      </c>
      <c r="O90" s="13">
        <f>N90*VLOOKUP('Données projet'!$B$9,Paramètres!$A$1:$I$89,3,0)*VLOOKUP('Données projet'!$B$9,Paramètres!$A$1:$I$89,5,0)</f>
        <v>272.59927499999998</v>
      </c>
      <c r="P90" s="13">
        <f t="shared" si="87"/>
        <v>65.400593073041165</v>
      </c>
      <c r="Q90" s="20">
        <f t="shared" si="54"/>
        <v>588.68310356054678</v>
      </c>
      <c r="R90" s="59">
        <f t="shared" si="55"/>
        <v>882.01643689388015</v>
      </c>
      <c r="S90" s="59">
        <f ca="1">AVERAGE(OFFSET($R$3,0,0,'Données projet'!$E$9+1,1))-AVERAGE(OFFSET($H$3,0,0,'Données projet'!$E$9+1,1))</f>
        <v>309.07357540707869</v>
      </c>
      <c r="T90" s="59">
        <f t="shared" si="88"/>
        <v>155.9593924683299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3.1</v>
      </c>
      <c r="AI90" s="13">
        <f>IF('Données projet'!$A$62&gt;35,AI89+AH90-AQ89,IF(A90&lt;'Données projet'!$A$62,$AF$205^A90,IF(A90='Données projet'!$A$62,'Données projet'!$B$62,AI89+AH90-AQ89)))</f>
        <v>235.69999999999982</v>
      </c>
      <c r="AJ90" s="13">
        <f>AI90*VLOOKUP('Données projet'!$B$10,Paramètres!$A$1:$I$89,3,0)*VLOOKUP('Données projet'!$B$10,Paramètres!$A$1:$I$89,5,0)</f>
        <v>205.90751999999986</v>
      </c>
      <c r="AK90" s="13">
        <f t="shared" si="89"/>
        <v>51.040254092523767</v>
      </c>
      <c r="AL90" s="20">
        <f t="shared" si="58"/>
        <v>447.5173732111453</v>
      </c>
      <c r="AM90" s="59">
        <f t="shared" si="59"/>
        <v>740.85070654447861</v>
      </c>
      <c r="AN90" s="59">
        <f ca="1">AVERAGE(OFFSET($AM$3,0,0,'Données projet'!$E$10+1,1))-AVERAGE(OFFSET($H$3,0,0,'Données projet'!$E$10+1,1))</f>
        <v>210.07838338464626</v>
      </c>
      <c r="AO90" s="59">
        <f t="shared" si="90"/>
        <v>241.76003724236273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1.7141343947367416</v>
      </c>
      <c r="AV90" s="21">
        <f>EXP(-LN(2)/25)*AV89+(1-EXP(-LN(2)/25))/(LN(2)/25)*Calculateur!AQ90*Calculateur!AS90*VLOOKUP('Données projet'!$B$10,Paramètres!$A$1:$I$89,3,0)*0.475*44/12</f>
        <v>2.7919543853782298</v>
      </c>
      <c r="AW90" s="21">
        <f>EXP(-LN(2)/2)*AW89+(1-EXP(-LN(2)/2))/(LN(2)/2)*AQ90*AT90*VLOOKUP('Données projet'!$B$10,Paramètres!$A$1:$I$89,3,0)*0.475*44/12</f>
        <v>4.207157547975448E-8</v>
      </c>
      <c r="AX90" s="21">
        <f t="shared" si="60"/>
        <v>4.5060888221865474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2.2737367544323206E-13</v>
      </c>
      <c r="BE90" s="13">
        <f>BD90*VLOOKUP('Données projet'!$B$11,Paramètres!$A$1:$I$89,3,0)*VLOOKUP('Données projet'!$B$11,Paramètres!$A$1:$I$89,5,0)</f>
        <v>1.2414602679200471E-13</v>
      </c>
      <c r="BF90" s="13">
        <f t="shared" si="91"/>
        <v>1.8186582995804361E-12</v>
      </c>
      <c r="BG90" s="20">
        <f t="shared" si="61"/>
        <v>3.3837175350986671E-12</v>
      </c>
      <c r="BH90" s="59">
        <f t="shared" si="62"/>
        <v>293.33333333333672</v>
      </c>
      <c r="BI90" s="59">
        <f ca="1">AVERAGE(OFFSET($BH$3,0,0,'Données projet'!$E$11+1,1))-AVERAGE(OFFSET($H$3,0,0,'Données projet'!$E$11+1,1))</f>
        <v>168.72306536277267</v>
      </c>
      <c r="BJ90" s="59">
        <f t="shared" si="92"/>
        <v>203.35476578922339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0.9838331217978834</v>
      </c>
      <c r="BQ90" s="21">
        <f>EXP(-LN(2)/25)*BQ89+(1-EXP(-LN(2)/25))/(LN(2)/25)*Calculateur!BL90*Calculateur!BN90*VLOOKUP('Données projet'!$B$11,Paramètres!$A$1:$I$89,3,0)*0.475*44/12</f>
        <v>4.732564319326694</v>
      </c>
      <c r="BR90" s="21">
        <f>EXP(-LN(2)/2)*BR89+(1-EXP(-LN(2)/2))/(LN(2)/2)*BL90*BO90*VLOOKUP('Données projet'!$B$11,Paramètres!$A$1:$I$89,3,0)*0.475*44/12</f>
        <v>5.2746376886660843E-8</v>
      </c>
      <c r="BS90" s="22">
        <f t="shared" si="63"/>
        <v>5.7163974938709545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>
        <f>VLOOKUP(A90,'Données projet'!$A$113:$I$133,2,0)</f>
        <v>456.51538461538462</v>
      </c>
      <c r="BW90" s="12">
        <f>VLOOKUP(A90,'Données projet'!$A$113:$I$133,9,0)</f>
        <v>12.124038461538468</v>
      </c>
      <c r="BX90" s="12">
        <f t="array" ref="BX90">INDEX(BW:BW,MIN(IF(ISNUMBER(BW90:BW286),ROW(BW90:BW286),"")))</f>
        <v>12.124038461538468</v>
      </c>
      <c r="BY90" s="12">
        <f>IF('Données projet'!$A$114&gt;35,BY89+BX90-CG89,IF(A90&lt;'Données projet'!$A$114,$BV$205^A90,IF(A90='Données projet'!$A$114,'Données projet'!$B$114,BY89+BX90-CG89)))</f>
        <v>456.51538461538485</v>
      </c>
      <c r="BZ90" s="13">
        <f>BY90*VLOOKUP('Données projet'!$B$12,Paramètres!$A$1:$I$89,3,0)*VLOOKUP('Données projet'!$B$12,Paramètres!$A$1:$I$89,5,0)</f>
        <v>213.64920000000012</v>
      </c>
      <c r="CA90" s="13">
        <f t="shared" si="93"/>
        <v>52.732226385923781</v>
      </c>
      <c r="CB90" s="20">
        <f t="shared" si="64"/>
        <v>463.94765095548405</v>
      </c>
      <c r="CC90" s="59">
        <f t="shared" si="65"/>
        <v>757.28098428881731</v>
      </c>
      <c r="CD90" s="59">
        <f ca="1">AVERAGE(OFFSET($CC$3,0,0,'Données projet'!$E$12+1,1))-AVERAGE(OFFSET($H$3,0,0,'Données projet'!$E$12+1,1))</f>
        <v>158.58786357608489</v>
      </c>
      <c r="CE90" s="59">
        <f t="shared" si="94"/>
        <v>163.20074068819849</v>
      </c>
      <c r="CF90" s="15">
        <f>IF(ISNA(VLOOKUP(A90,'Données projet'!$A$113:$I$133,3,0)),0,VLOOKUP(A90,'Données projet'!$A$113:$I$133,3,0))</f>
        <v>7</v>
      </c>
      <c r="CG90" s="15">
        <f>IF(ISNA(VLOOKUP(A90,'Données projet'!$A$113:$I$133,4,0)),0,VLOOKUP(A90,'Données projet'!$A$113:$I$133,4,0))</f>
        <v>77.330769230769235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4.1677594708744434E-14</v>
      </c>
      <c r="CV90" s="13">
        <f t="shared" si="95"/>
        <v>6.9326303456159188E-13</v>
      </c>
      <c r="CW90" s="20">
        <f t="shared" si="67"/>
        <v>1.2800215959791691E-12</v>
      </c>
      <c r="CX90" s="59">
        <f t="shared" si="68"/>
        <v>293.33333333333462</v>
      </c>
      <c r="CY90" s="59">
        <f ca="1">AVERAGE(OFFSET($CX$3,0,0,'Données projet'!$E$13+1,1))-AVERAGE(OFFSET($H$3,0,0,'Données projet'!$E$13+1,1))</f>
        <v>178.12968684094687</v>
      </c>
      <c r="CZ90" s="59">
        <f t="shared" si="96"/>
        <v>219.36004077210373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1.5830357389968006</v>
      </c>
      <c r="DH90" s="21">
        <f>EXP(-LN(2)/2)*DH89+(1-EXP(-LN(2)/2))/(LN(2)/2)*DB90*DE90*VLOOKUP('Données projet'!$B$13,Paramètres!$A$1:$I$89,3,0)*0.475*44/12</f>
        <v>2.6124499084545396E-8</v>
      </c>
      <c r="DI90" s="22">
        <f t="shared" si="69"/>
        <v>1.5830357651212996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-8.5265128291212022E-14</v>
      </c>
      <c r="DP90" s="17">
        <f>DO90*VLOOKUP('Données projet'!$B$14,Paramètres!$A$1:$I$89,3,0)*VLOOKUP('Données projet'!$B$14,Paramètres!$A$1:$I$89,5,0)</f>
        <v>-7.7147888077888636E-14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225.28075317732998</v>
      </c>
      <c r="DU90" s="59">
        <f t="shared" si="98"/>
        <v>358.43407531256207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0.72557429101013726</v>
      </c>
      <c r="EB90" s="21">
        <f>EXP(-LN(2)/25)*EB89+(1-EXP(-LN(2)/25))/(LN(2)/25)*Calculateur!DW90*Calculateur!DY90*VLOOKUP('Données projet'!$B$14,Paramètres!$A$1:$I$89,3,0)*0.475*44/12</f>
        <v>1.7031978940066628</v>
      </c>
      <c r="EC90" s="21">
        <f>EXP(-LN(2)/2)*EC89+(1-EXP(-LN(2)/2))/(LN(2)/2)*DW90*DZ90*VLOOKUP('Données projet'!$B$14,Paramètres!$A$1:$I$89,3,0)*0.475*44/12</f>
        <v>1.1627317453531755E-8</v>
      </c>
      <c r="ED90" s="22">
        <f t="shared" si="72"/>
        <v>2.4287721966441174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7.8677884615384599</v>
      </c>
      <c r="EJ90" s="12">
        <f>IF('Données projet'!$A$192&gt;35,EJ89+EI90-ER89,IF(A90&lt;'Données projet'!$A$192,$EG$205^A90,IF(A90='Données projet'!$A$192,'Données projet'!$B$192,EJ89+EI90-ER89)))</f>
        <v>301.28124999999994</v>
      </c>
      <c r="EK90" s="17">
        <f>EJ90*VLOOKUP('Données projet'!$B$15,Paramètres!$A$1:$I$89,3,0)*VLOOKUP('Données projet'!$B$15,Paramètres!$A$1:$I$89,5,0)</f>
        <v>305.49918749999995</v>
      </c>
      <c r="EL90" s="13">
        <f t="shared" si="99"/>
        <v>72.32808281148931</v>
      </c>
      <c r="EM90" s="20">
        <f t="shared" si="73"/>
        <v>658.04916245917707</v>
      </c>
      <c r="EN90" s="59">
        <f t="shared" si="74"/>
        <v>951.38249579251033</v>
      </c>
      <c r="EO90" s="59">
        <f ca="1">AVERAGE(OFFSET($EN$3,0,0,'Données projet'!$E$15+1,1))-AVERAGE(OFFSET($H$3,0,0,'Données projet'!$E$15+1,1))</f>
        <v>363.98308691765931</v>
      </c>
      <c r="EP90" s="59">
        <f t="shared" si="100"/>
        <v>181.47089407988187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7.8677884615384599</v>
      </c>
      <c r="FE90" s="12">
        <f>IF('Données projet'!$A$218&gt;35,FE89+FD90-FM89,IF(A90&lt;'Données projet'!$A$218,$FB$205^A90,IF(A90='Données projet'!$A$218,'Données projet'!$B$218,FE89+FD90-FM89)))</f>
        <v>301.28124999999994</v>
      </c>
      <c r="FF90" s="17">
        <f>FE90*VLOOKUP('Données projet'!$B$16,Paramètres!$A$1:$I$89,3,0)*VLOOKUP('Données projet'!$B$16,Paramètres!$A$1:$I$89,5,0)</f>
        <v>324.29913749999992</v>
      </c>
      <c r="FG90" s="13">
        <f t="shared" si="101"/>
        <v>76.247176871077244</v>
      </c>
      <c r="FH90" s="20">
        <f t="shared" si="76"/>
        <v>697.6181641962927</v>
      </c>
      <c r="FI90" s="59">
        <f t="shared" si="77"/>
        <v>990.95149752962607</v>
      </c>
      <c r="FJ90" s="59">
        <f ca="1">AVERAGE(OFFSET($FI$3,0,0,'Données projet'!$E$16+1,1))-AVERAGE(OFFSET($H$3,0,0,'Données projet'!$E$16+1,1))</f>
        <v>395.30533160963489</v>
      </c>
      <c r="FK90" s="59">
        <f t="shared" si="102"/>
        <v>196.02102977695085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3.1</v>
      </c>
      <c r="FZ90" s="12">
        <f>IF('Données projet'!$A$244&gt;35,FZ89+FY90-GH89,IF(A90&lt;'Données projet'!$A$244,$FW$205^A90,IF(A90='Données projet'!$A$244,'Données projet'!$B$244,FZ89+FY90-GH89)))</f>
        <v>235.69999999999982</v>
      </c>
      <c r="GA90" s="17">
        <f>FZ90*VLOOKUP('Données projet'!$B$17,Paramètres!$A$1:$I$89,3,0)*VLOOKUP('Données projet'!$B$17,Paramètres!$A$1:$I$89,5,0)</f>
        <v>246.35363999999984</v>
      </c>
      <c r="GB90" s="13">
        <f t="shared" si="103"/>
        <v>59.804461301998629</v>
      </c>
      <c r="GC90" s="20">
        <f t="shared" si="79"/>
        <v>533.22535976764732</v>
      </c>
      <c r="GD90" s="59">
        <f t="shared" si="80"/>
        <v>826.55869310098069</v>
      </c>
      <c r="GE90" s="59">
        <f ca="1">AVERAGE(OFFSET($GD$3,0,0,'Données projet'!$E$17+1,1))-AVERAGE(OFFSET($H$3,0,0,'Données projet'!$E$17+1,1))</f>
        <v>269.41185214595805</v>
      </c>
      <c r="GF90" s="59">
        <f t="shared" si="104"/>
        <v>299.70148160580993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2.0508393651314591</v>
      </c>
      <c r="GM90" s="21">
        <f>EXP(-LN(2)/25)*GM89+(1-EXP(-LN(2)/25))/(LN(2)/25)*Calculateur!GH90*Calculateur!GJ90*VLOOKUP('Données projet'!$B$17,Paramètres!$A$1:$I$89,3,0)*0.475*44/12</f>
        <v>3.3403739967918105</v>
      </c>
      <c r="GN90" s="21">
        <f>EXP(-LN(2)/2)*GN89+(1-EXP(-LN(2)/2))/(LN(2)/2)*GH90*GK90*VLOOKUP('Données projet'!$B$17,Paramètres!$A$1:$I$89,3,0)*0.475*44/12</f>
        <v>5.0335634948991783E-8</v>
      </c>
      <c r="GO90" s="21">
        <f t="shared" si="81"/>
        <v>5.3912134122589048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5.6843418860808015E-14</v>
      </c>
      <c r="GV90" s="17">
        <f>GU90*VLOOKUP('Données projet'!$B$18,Paramètres!$A$1:$I$89,3,0)*VLOOKUP('Données projet'!$B$18,Paramètres!$A$1:$I$89,5,0)</f>
        <v>4.9658410716801891E-14</v>
      </c>
      <c r="GW90" s="13">
        <f t="shared" si="105"/>
        <v>8.0934058173791862E-13</v>
      </c>
      <c r="GX90" s="20">
        <f t="shared" si="82"/>
        <v>1.4960899118586383E-12</v>
      </c>
      <c r="GY90" s="59">
        <f t="shared" si="83"/>
        <v>293.33333333333479</v>
      </c>
      <c r="GZ90" s="59">
        <f ca="1">AVERAGE(OFFSET($GY$3,0,0,'Données projet'!$E$18+1,1))-AVERAGE(OFFSET($H$3,0,0,'Données projet'!$E$18+1,1))</f>
        <v>226.35975611953359</v>
      </c>
      <c r="HA90" s="59">
        <f t="shared" si="106"/>
        <v>271.65876694892461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2.3248144845831304</v>
      </c>
      <c r="HI90" s="21">
        <f>EXP(-LN(2)/2)*HI89+(1-EXP(-LN(2)/2))/(LN(2)/2)*HC90*HF90*VLOOKUP('Données projet'!$B$18,Paramètres!$A$1:$I$89,3,0)*0.475*44/12</f>
        <v>3.1127062739032803E-8</v>
      </c>
      <c r="HJ90" s="22">
        <f t="shared" si="84"/>
        <v>2.3248145157101932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7.8677884615384599</v>
      </c>
      <c r="N91" s="13">
        <f>IF('Données projet'!$A$36&gt;35,N90+M91-V90,IF(A91&lt;'Données projet'!$A$36,$K$205^A91,IF(A91='Données projet'!$A$36,'Données projet'!$B$36,N90+M91-V90)))</f>
        <v>309.1490384615384</v>
      </c>
      <c r="O91" s="13">
        <f>N91*VLOOKUP('Données projet'!$B$9,Paramètres!$A$1:$I$89,3,0)*VLOOKUP('Données projet'!$B$9,Paramètres!$A$1:$I$89,5,0)</f>
        <v>279.71804999999995</v>
      </c>
      <c r="P91" s="13">
        <f t="shared" si="87"/>
        <v>66.907421247747862</v>
      </c>
      <c r="Q91" s="20">
        <f t="shared" si="54"/>
        <v>603.70602908982733</v>
      </c>
      <c r="R91" s="59">
        <f t="shared" si="55"/>
        <v>897.03936242316058</v>
      </c>
      <c r="S91" s="59">
        <f ca="1">AVERAGE(OFFSET($R$3,0,0,'Données projet'!$E$9+1,1))-AVERAGE(OFFSET($H$3,0,0,'Données projet'!$E$9+1,1))</f>
        <v>309.07357540707869</v>
      </c>
      <c r="T91" s="59">
        <f t="shared" si="88"/>
        <v>155.9593924683299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3.1</v>
      </c>
      <c r="AI91" s="13">
        <f>IF('Données projet'!$A$62&gt;35,AI90+AH91-AQ90,IF(A91&lt;'Données projet'!$A$62,$AF$205^A91,IF(A91='Données projet'!$A$62,'Données projet'!$B$62,AI90+AH91-AQ90)))</f>
        <v>238.79999999999981</v>
      </c>
      <c r="AJ91" s="13">
        <f>AI91*VLOOKUP('Données projet'!$B$10,Paramètres!$A$1:$I$89,3,0)*VLOOKUP('Données projet'!$B$10,Paramètres!$A$1:$I$89,5,0)</f>
        <v>208.61567999999986</v>
      </c>
      <c r="AK91" s="13">
        <f t="shared" si="89"/>
        <v>51.63296060480328</v>
      </c>
      <c r="AL91" s="20">
        <f t="shared" si="58"/>
        <v>453.26638238669875</v>
      </c>
      <c r="AM91" s="59">
        <f t="shared" si="59"/>
        <v>746.59971572003201</v>
      </c>
      <c r="AN91" s="59">
        <f ca="1">AVERAGE(OFFSET($AM$3,0,0,'Données projet'!$E$10+1,1))-AVERAGE(OFFSET($H$3,0,0,'Données projet'!$E$10+1,1))</f>
        <v>210.07838338464626</v>
      </c>
      <c r="AO91" s="59">
        <f t="shared" si="90"/>
        <v>241.76003724236273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1.6805212647746985</v>
      </c>
      <c r="AV91" s="21">
        <f>EXP(-LN(2)/25)*AV90+(1-EXP(-LN(2)/25))/(LN(2)/25)*Calculateur!AQ91*Calculateur!AS91*VLOOKUP('Données projet'!$B$10,Paramètres!$A$1:$I$89,3,0)*0.475*44/12</f>
        <v>2.7156082458875619</v>
      </c>
      <c r="AW91" s="21">
        <f>EXP(-LN(2)/2)*AW90+(1-EXP(-LN(2)/2))/(LN(2)/2)*AQ91*AT91*VLOOKUP('Données projet'!$B$10,Paramètres!$A$1:$I$89,3,0)*0.475*44/12</f>
        <v>2.974909631693607E-8</v>
      </c>
      <c r="AX91" s="21">
        <f t="shared" si="60"/>
        <v>4.3961295404113567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2.2737367544323206E-13</v>
      </c>
      <c r="BE91" s="13">
        <f>BD91*VLOOKUP('Données projet'!$B$11,Paramètres!$A$1:$I$89,3,0)*VLOOKUP('Données projet'!$B$11,Paramètres!$A$1:$I$89,5,0)</f>
        <v>1.2414602679200471E-13</v>
      </c>
      <c r="BF91" s="13">
        <f t="shared" si="91"/>
        <v>1.8186582995804361E-12</v>
      </c>
      <c r="BG91" s="20">
        <f t="shared" si="61"/>
        <v>3.3837175350986671E-12</v>
      </c>
      <c r="BH91" s="59">
        <f t="shared" si="62"/>
        <v>293.33333333333672</v>
      </c>
      <c r="BI91" s="59">
        <f ca="1">AVERAGE(OFFSET($BH$3,0,0,'Données projet'!$E$11+1,1))-AVERAGE(OFFSET($H$3,0,0,'Données projet'!$E$11+1,1))</f>
        <v>168.72306536277267</v>
      </c>
      <c r="BJ91" s="59">
        <f t="shared" si="92"/>
        <v>203.35476578922339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0.96454075435837838</v>
      </c>
      <c r="BQ91" s="21">
        <f>EXP(-LN(2)/25)*BQ90+(1-EXP(-LN(2)/25))/(LN(2)/25)*Calculateur!BL91*Calculateur!BN91*VLOOKUP('Données projet'!$B$11,Paramètres!$A$1:$I$89,3,0)*0.475*44/12</f>
        <v>4.6031520991399644</v>
      </c>
      <c r="BR91" s="21">
        <f>EXP(-LN(2)/2)*BR90+(1-EXP(-LN(2)/2))/(LN(2)/2)*BL91*BO91*VLOOKUP('Données projet'!$B$11,Paramètres!$A$1:$I$89,3,0)*0.475*44/12</f>
        <v>3.7297320779579256E-8</v>
      </c>
      <c r="BS91" s="22">
        <f t="shared" si="63"/>
        <v>5.567692890795664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11.242307692307691</v>
      </c>
      <c r="BY91" s="12">
        <f>IF('Données projet'!$A$114&gt;35,BY90+BX91-CG90,IF(A91&lt;'Données projet'!$A$114,$BV$205^A91,IF(A91='Données projet'!$A$114,'Données projet'!$B$114,BY90+BX91-CG90)))</f>
        <v>390.42692307692329</v>
      </c>
      <c r="BZ91" s="13">
        <f>BY91*VLOOKUP('Données projet'!$B$12,Paramètres!$A$1:$I$89,3,0)*VLOOKUP('Données projet'!$B$12,Paramètres!$A$1:$I$89,5,0)</f>
        <v>182.71980000000011</v>
      </c>
      <c r="CA91" s="13">
        <f t="shared" si="93"/>
        <v>45.926762394770535</v>
      </c>
      <c r="CB91" s="20">
        <f t="shared" si="64"/>
        <v>398.22609617089216</v>
      </c>
      <c r="CC91" s="59">
        <f t="shared" si="65"/>
        <v>691.55942950422548</v>
      </c>
      <c r="CD91" s="59">
        <f ca="1">AVERAGE(OFFSET($CC$3,0,0,'Données projet'!$E$12+1,1))-AVERAGE(OFFSET($H$3,0,0,'Données projet'!$E$12+1,1))</f>
        <v>158.58786357608489</v>
      </c>
      <c r="CE91" s="59">
        <f t="shared" si="94"/>
        <v>163.20074068819849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4.1677594708744434E-14</v>
      </c>
      <c r="CV91" s="13">
        <f t="shared" si="95"/>
        <v>6.9326303456159188E-13</v>
      </c>
      <c r="CW91" s="20">
        <f t="shared" si="67"/>
        <v>1.2800215959791691E-12</v>
      </c>
      <c r="CX91" s="59">
        <f t="shared" si="68"/>
        <v>293.33333333333462</v>
      </c>
      <c r="CY91" s="59">
        <f ca="1">AVERAGE(OFFSET($CX$3,0,0,'Données projet'!$E$13+1,1))-AVERAGE(OFFSET($H$3,0,0,'Données projet'!$E$13+1,1))</f>
        <v>178.12968684094687</v>
      </c>
      <c r="CZ91" s="59">
        <f t="shared" si="96"/>
        <v>219.36004077210373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1.5397475434657018</v>
      </c>
      <c r="DH91" s="21">
        <f>EXP(-LN(2)/2)*DH90+(1-EXP(-LN(2)/2))/(LN(2)/2)*DB91*DE91*VLOOKUP('Données projet'!$B$13,Paramètres!$A$1:$I$89,3,0)*0.475*44/12</f>
        <v>1.8472810457783802E-8</v>
      </c>
      <c r="DI91" s="22">
        <f t="shared" si="69"/>
        <v>1.5397475619385121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-8.5265128291212022E-14</v>
      </c>
      <c r="DP91" s="17">
        <f>DO91*VLOOKUP('Données projet'!$B$14,Paramètres!$A$1:$I$89,3,0)*VLOOKUP('Données projet'!$B$14,Paramètres!$A$1:$I$89,5,0)</f>
        <v>-7.7147888077888636E-14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225.28075317732998</v>
      </c>
      <c r="DU91" s="59">
        <f t="shared" si="98"/>
        <v>358.43407531256207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0.71134622172004713</v>
      </c>
      <c r="EB91" s="21">
        <f>EXP(-LN(2)/25)*EB90+(1-EXP(-LN(2)/25))/(LN(2)/25)*Calculateur!DW91*Calculateur!DY91*VLOOKUP('Données projet'!$B$14,Paramètres!$A$1:$I$89,3,0)*0.475*44/12</f>
        <v>1.6566238580277661</v>
      </c>
      <c r="EC91" s="21">
        <f>EXP(-LN(2)/2)*EC90+(1-EXP(-LN(2)/2))/(LN(2)/2)*DW91*DZ91*VLOOKUP('Données projet'!$B$14,Paramètres!$A$1:$I$89,3,0)*0.475*44/12</f>
        <v>8.2217550184010037E-9</v>
      </c>
      <c r="ED91" s="22">
        <f t="shared" si="72"/>
        <v>2.3679700879695682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7.8677884615384599</v>
      </c>
      <c r="EJ91" s="12">
        <f>IF('Données projet'!$A$192&gt;35,EJ90+EI91-ER90,IF(A91&lt;'Données projet'!$A$192,$EG$205^A91,IF(A91='Données projet'!$A$192,'Données projet'!$B$192,EJ90+EI91-ER90)))</f>
        <v>309.1490384615384</v>
      </c>
      <c r="EK91" s="17">
        <f>EJ91*VLOOKUP('Données projet'!$B$15,Paramètres!$A$1:$I$89,3,0)*VLOOKUP('Données projet'!$B$15,Paramètres!$A$1:$I$89,5,0)</f>
        <v>313.477125</v>
      </c>
      <c r="EL91" s="13">
        <f t="shared" si="99"/>
        <v>73.994520191975397</v>
      </c>
      <c r="EM91" s="20">
        <f t="shared" si="73"/>
        <v>674.84644870935722</v>
      </c>
      <c r="EN91" s="59">
        <f t="shared" si="74"/>
        <v>968.17978204269048</v>
      </c>
      <c r="EO91" s="59">
        <f ca="1">AVERAGE(OFFSET($EN$3,0,0,'Données projet'!$E$15+1,1))-AVERAGE(OFFSET($H$3,0,0,'Données projet'!$E$15+1,1))</f>
        <v>363.98308691765931</v>
      </c>
      <c r="EP91" s="59">
        <f t="shared" si="100"/>
        <v>181.47089407988187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7.8677884615384599</v>
      </c>
      <c r="FE91" s="12">
        <f>IF('Données projet'!$A$218&gt;35,FE90+FD91-FM90,IF(A91&lt;'Données projet'!$A$218,$FB$205^A91,IF(A91='Données projet'!$A$218,'Données projet'!$B$218,FE90+FD91-FM90)))</f>
        <v>309.1490384615384</v>
      </c>
      <c r="FF91" s="17">
        <f>FE91*VLOOKUP('Données projet'!$B$16,Paramètres!$A$1:$I$89,3,0)*VLOOKUP('Données projet'!$B$16,Paramètres!$A$1:$I$89,5,0)</f>
        <v>332.76802499999991</v>
      </c>
      <c r="FG91" s="13">
        <f t="shared" si="101"/>
        <v>78.003910089427038</v>
      </c>
      <c r="FH91" s="20">
        <f t="shared" si="76"/>
        <v>715.42778694741855</v>
      </c>
      <c r="FI91" s="59">
        <f t="shared" si="77"/>
        <v>1008.7611202807518</v>
      </c>
      <c r="FJ91" s="59">
        <f ca="1">AVERAGE(OFFSET($FI$3,0,0,'Données projet'!$E$16+1,1))-AVERAGE(OFFSET($H$3,0,0,'Données projet'!$E$16+1,1))</f>
        <v>395.30533160963489</v>
      </c>
      <c r="FK91" s="59">
        <f t="shared" si="102"/>
        <v>196.02102977695085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3.1</v>
      </c>
      <c r="FZ91" s="12">
        <f>IF('Données projet'!$A$244&gt;35,FZ90+FY91-GH90,IF(A91&lt;'Données projet'!$A$244,$FW$205^A91,IF(A91='Données projet'!$A$244,'Données projet'!$B$244,FZ90+FY91-GH90)))</f>
        <v>238.79999999999981</v>
      </c>
      <c r="GA91" s="17">
        <f>FZ91*VLOOKUP('Données projet'!$B$17,Paramètres!$A$1:$I$89,3,0)*VLOOKUP('Données projet'!$B$17,Paramètres!$A$1:$I$89,5,0)</f>
        <v>249.59375999999983</v>
      </c>
      <c r="GB91" s="13">
        <f t="shared" si="103"/>
        <v>60.498942438648335</v>
      </c>
      <c r="GC91" s="20">
        <f t="shared" si="79"/>
        <v>540.07812341397891</v>
      </c>
      <c r="GD91" s="59">
        <f t="shared" si="80"/>
        <v>833.41145674731229</v>
      </c>
      <c r="GE91" s="59">
        <f ca="1">AVERAGE(OFFSET($GD$3,0,0,'Données projet'!$E$17+1,1))-AVERAGE(OFFSET($H$3,0,0,'Données projet'!$E$17+1,1))</f>
        <v>269.41185214595805</v>
      </c>
      <c r="GF91" s="59">
        <f t="shared" si="104"/>
        <v>299.70148160580993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2.010623656069729</v>
      </c>
      <c r="GM91" s="21">
        <f>EXP(-LN(2)/25)*GM90+(1-EXP(-LN(2)/25))/(LN(2)/25)*Calculateur!GH91*Calculateur!GJ91*VLOOKUP('Données projet'!$B$17,Paramètres!$A$1:$I$89,3,0)*0.475*44/12</f>
        <v>3.2490312941869046</v>
      </c>
      <c r="GN91" s="21">
        <f>EXP(-LN(2)/2)*GN90+(1-EXP(-LN(2)/2))/(LN(2)/2)*GH91*GK91*VLOOKUP('Données projet'!$B$17,Paramètres!$A$1:$I$89,3,0)*0.475*44/12</f>
        <v>3.5592668807762667E-8</v>
      </c>
      <c r="GO91" s="21">
        <f t="shared" si="81"/>
        <v>5.259654985849302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5.6843418860808015E-14</v>
      </c>
      <c r="GV91" s="17">
        <f>GU91*VLOOKUP('Données projet'!$B$18,Paramètres!$A$1:$I$89,3,0)*VLOOKUP('Données projet'!$B$18,Paramètres!$A$1:$I$89,5,0)</f>
        <v>4.9658410716801891E-14</v>
      </c>
      <c r="GW91" s="13">
        <f t="shared" si="105"/>
        <v>8.0934058173791862E-13</v>
      </c>
      <c r="GX91" s="20">
        <f t="shared" si="82"/>
        <v>1.4960899118586383E-12</v>
      </c>
      <c r="GY91" s="59">
        <f t="shared" si="83"/>
        <v>293.33333333333479</v>
      </c>
      <c r="GZ91" s="59">
        <f ca="1">AVERAGE(OFFSET($GY$3,0,0,'Données projet'!$E$18+1,1))-AVERAGE(OFFSET($H$3,0,0,'Données projet'!$E$18+1,1))</f>
        <v>226.35975611953359</v>
      </c>
      <c r="HA91" s="59">
        <f t="shared" si="106"/>
        <v>271.65876694892461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2.2612423102455246</v>
      </c>
      <c r="HI91" s="21">
        <f>EXP(-LN(2)/2)*HI90+(1-EXP(-LN(2)/2))/(LN(2)/2)*HC91*HF91*VLOOKUP('Données projet'!$B$18,Paramètres!$A$1:$I$89,3,0)*0.475*44/12</f>
        <v>2.2010157141189206E-8</v>
      </c>
      <c r="HJ91" s="22">
        <f t="shared" si="84"/>
        <v>2.2612423322556818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7.8677884615384599</v>
      </c>
      <c r="N92" s="13">
        <f>IF('Données projet'!$A$36&gt;35,N91+M92-V91,IF(A92&lt;'Données projet'!$A$36,$K$205^A92,IF(A92='Données projet'!$A$36,'Données projet'!$B$36,N91+M92-V91)))</f>
        <v>317.01682692307685</v>
      </c>
      <c r="O92" s="13">
        <f>N92*VLOOKUP('Données projet'!$B$9,Paramètres!$A$1:$I$89,3,0)*VLOOKUP('Données projet'!$B$9,Paramètres!$A$1:$I$89,5,0)</f>
        <v>286.83682499999992</v>
      </c>
      <c r="P92" s="13">
        <f t="shared" si="87"/>
        <v>68.409791752349292</v>
      </c>
      <c r="Q92" s="20">
        <f t="shared" si="54"/>
        <v>618.72119084367489</v>
      </c>
      <c r="R92" s="59">
        <f t="shared" si="55"/>
        <v>912.05452417700826</v>
      </c>
      <c r="S92" s="59">
        <f ca="1">AVERAGE(OFFSET($R$3,0,0,'Données projet'!$E$9+1,1))-AVERAGE(OFFSET($H$3,0,0,'Données projet'!$E$9+1,1))</f>
        <v>309.07357540707869</v>
      </c>
      <c r="T92" s="59">
        <f t="shared" si="88"/>
        <v>155.9593924683299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3.1</v>
      </c>
      <c r="AI92" s="13">
        <f>IF('Données projet'!$A$62&gt;35,AI91+AH92-AQ91,IF(A92&lt;'Données projet'!$A$62,$AF$205^A92,IF(A92='Données projet'!$A$62,'Données projet'!$B$62,AI91+AH92-AQ91)))</f>
        <v>241.89999999999981</v>
      </c>
      <c r="AJ92" s="13">
        <f>AI92*VLOOKUP('Données projet'!$B$10,Paramètres!$A$1:$I$89,3,0)*VLOOKUP('Données projet'!$B$10,Paramètres!$A$1:$I$89,5,0)</f>
        <v>211.32383999999988</v>
      </c>
      <c r="AK92" s="13">
        <f t="shared" si="89"/>
        <v>52.224772154518632</v>
      </c>
      <c r="AL92" s="20">
        <f t="shared" si="58"/>
        <v>459.01383283578645</v>
      </c>
      <c r="AM92" s="59">
        <f t="shared" si="59"/>
        <v>752.34716616911976</v>
      </c>
      <c r="AN92" s="59">
        <f ca="1">AVERAGE(OFFSET($AM$3,0,0,'Données projet'!$E$10+1,1))-AVERAGE(OFFSET($H$3,0,0,'Données projet'!$E$10+1,1))</f>
        <v>210.07838338464626</v>
      </c>
      <c r="AO92" s="59">
        <f t="shared" si="90"/>
        <v>241.76003724236273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1.6475672677892261</v>
      </c>
      <c r="AV92" s="21">
        <f>EXP(-LN(2)/25)*AV91+(1-EXP(-LN(2)/25))/(LN(2)/25)*Calculateur!AQ92*Calculateur!AS92*VLOOKUP('Données projet'!$B$10,Paramètres!$A$1:$I$89,3,0)*0.475*44/12</f>
        <v>2.6413497955961356</v>
      </c>
      <c r="AW92" s="21">
        <f>EXP(-LN(2)/2)*AW91+(1-EXP(-LN(2)/2))/(LN(2)/2)*AQ92*AT92*VLOOKUP('Données projet'!$B$10,Paramètres!$A$1:$I$89,3,0)*0.475*44/12</f>
        <v>2.1035787739877243E-8</v>
      </c>
      <c r="AX92" s="21">
        <f t="shared" si="60"/>
        <v>4.2889170844211488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2.2737367544323206E-13</v>
      </c>
      <c r="BE92" s="13">
        <f>BD92*VLOOKUP('Données projet'!$B$11,Paramètres!$A$1:$I$89,3,0)*VLOOKUP('Données projet'!$B$11,Paramètres!$A$1:$I$89,5,0)</f>
        <v>1.2414602679200471E-13</v>
      </c>
      <c r="BF92" s="13">
        <f t="shared" si="91"/>
        <v>1.8186582995804361E-12</v>
      </c>
      <c r="BG92" s="20">
        <f t="shared" si="61"/>
        <v>3.3837175350986671E-12</v>
      </c>
      <c r="BH92" s="59">
        <f t="shared" si="62"/>
        <v>293.33333333333672</v>
      </c>
      <c r="BI92" s="59">
        <f ca="1">AVERAGE(OFFSET($BH$3,0,0,'Données projet'!$E$11+1,1))-AVERAGE(OFFSET($H$3,0,0,'Données projet'!$E$11+1,1))</f>
        <v>168.72306536277267</v>
      </c>
      <c r="BJ92" s="59">
        <f t="shared" si="92"/>
        <v>203.35476578922339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0.94562669847717973</v>
      </c>
      <c r="BQ92" s="21">
        <f>EXP(-LN(2)/25)*BQ91+(1-EXP(-LN(2)/25))/(LN(2)/25)*Calculateur!BL92*Calculateur!BN92*VLOOKUP('Données projet'!$B$11,Paramètres!$A$1:$I$89,3,0)*0.475*44/12</f>
        <v>4.4772786629197334</v>
      </c>
      <c r="BR92" s="21">
        <f>EXP(-LN(2)/2)*BR91+(1-EXP(-LN(2)/2))/(LN(2)/2)*BL92*BO92*VLOOKUP('Données projet'!$B$11,Paramètres!$A$1:$I$89,3,0)*0.475*44/12</f>
        <v>2.6373188443330422E-8</v>
      </c>
      <c r="BS92" s="22">
        <f t="shared" si="63"/>
        <v>5.4229053877701014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11.242307692307691</v>
      </c>
      <c r="BY92" s="12">
        <f>IF('Données projet'!$A$114&gt;35,BY91+BX92-CG91,IF(A92&lt;'Données projet'!$A$114,$BV$205^A92,IF(A92='Données projet'!$A$114,'Données projet'!$B$114,BY91+BX92-CG91)))</f>
        <v>401.66923076923098</v>
      </c>
      <c r="BZ92" s="13">
        <f>BY92*VLOOKUP('Données projet'!$B$12,Paramètres!$A$1:$I$89,3,0)*VLOOKUP('Données projet'!$B$12,Paramètres!$A$1:$I$89,5,0)</f>
        <v>187.98120000000011</v>
      </c>
      <c r="CA92" s="13">
        <f t="shared" si="93"/>
        <v>47.093347732155607</v>
      </c>
      <c r="CB92" s="20">
        <f t="shared" si="64"/>
        <v>409.42150396683786</v>
      </c>
      <c r="CC92" s="59">
        <f t="shared" si="65"/>
        <v>702.75483730017118</v>
      </c>
      <c r="CD92" s="59">
        <f ca="1">AVERAGE(OFFSET($CC$3,0,0,'Données projet'!$E$12+1,1))-AVERAGE(OFFSET($H$3,0,0,'Données projet'!$E$12+1,1))</f>
        <v>158.58786357608489</v>
      </c>
      <c r="CE92" s="59">
        <f t="shared" si="94"/>
        <v>163.20074068819849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4.1677594708744434E-14</v>
      </c>
      <c r="CV92" s="13">
        <f t="shared" si="95"/>
        <v>6.9326303456159188E-13</v>
      </c>
      <c r="CW92" s="20">
        <f t="shared" si="67"/>
        <v>1.2800215959791691E-12</v>
      </c>
      <c r="CX92" s="59">
        <f t="shared" si="68"/>
        <v>293.33333333333462</v>
      </c>
      <c r="CY92" s="59">
        <f ca="1">AVERAGE(OFFSET($CX$3,0,0,'Données projet'!$E$13+1,1))-AVERAGE(OFFSET($H$3,0,0,'Données projet'!$E$13+1,1))</f>
        <v>178.12968684094687</v>
      </c>
      <c r="CZ92" s="59">
        <f t="shared" si="96"/>
        <v>219.36004077210373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1.4976430659178279</v>
      </c>
      <c r="DH92" s="21">
        <f>EXP(-LN(2)/2)*DH91+(1-EXP(-LN(2)/2))/(LN(2)/2)*DB92*DE92*VLOOKUP('Données projet'!$B$13,Paramètres!$A$1:$I$89,3,0)*0.475*44/12</f>
        <v>1.3062249542272698E-8</v>
      </c>
      <c r="DI92" s="22">
        <f t="shared" si="69"/>
        <v>1.4976430789800774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-8.5265128291212022E-14</v>
      </c>
      <c r="DP92" s="17">
        <f>DO92*VLOOKUP('Données projet'!$B$14,Paramètres!$A$1:$I$89,3,0)*VLOOKUP('Données projet'!$B$14,Paramètres!$A$1:$I$89,5,0)</f>
        <v>-7.7147888077888636E-14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225.28075317732998</v>
      </c>
      <c r="DU92" s="59">
        <f t="shared" si="98"/>
        <v>358.43407531256207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0.69739715619047038</v>
      </c>
      <c r="EB92" s="21">
        <f>EXP(-LN(2)/25)*EB91+(1-EXP(-LN(2)/25))/(LN(2)/25)*Calculateur!DW92*Calculateur!DY92*VLOOKUP('Données projet'!$B$14,Paramètres!$A$1:$I$89,3,0)*0.475*44/12</f>
        <v>1.6113233915119345</v>
      </c>
      <c r="EC92" s="21">
        <f>EXP(-LN(2)/2)*EC91+(1-EXP(-LN(2)/2))/(LN(2)/2)*DW92*DZ92*VLOOKUP('Données projet'!$B$14,Paramètres!$A$1:$I$89,3,0)*0.475*44/12</f>
        <v>5.8136587267658775E-9</v>
      </c>
      <c r="ED92" s="22">
        <f t="shared" si="72"/>
        <v>2.3087205535160638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7.8677884615384599</v>
      </c>
      <c r="EJ92" s="12">
        <f>IF('Données projet'!$A$192&gt;35,EJ91+EI92-ER91,IF(A92&lt;'Données projet'!$A$192,$EG$205^A92,IF(A92='Données projet'!$A$192,'Données projet'!$B$192,EJ91+EI92-ER91)))</f>
        <v>317.01682692307685</v>
      </c>
      <c r="EK92" s="17">
        <f>EJ92*VLOOKUP('Données projet'!$B$15,Paramètres!$A$1:$I$89,3,0)*VLOOKUP('Données projet'!$B$15,Paramètres!$A$1:$I$89,5,0)</f>
        <v>321.45506249999994</v>
      </c>
      <c r="EL92" s="13">
        <f t="shared" si="99"/>
        <v>75.656027728290809</v>
      </c>
      <c r="EM92" s="20">
        <f t="shared" si="73"/>
        <v>691.63514881427307</v>
      </c>
      <c r="EN92" s="59">
        <f t="shared" si="74"/>
        <v>984.96848214760644</v>
      </c>
      <c r="EO92" s="59">
        <f ca="1">AVERAGE(OFFSET($EN$3,0,0,'Données projet'!$E$15+1,1))-AVERAGE(OFFSET($H$3,0,0,'Données projet'!$E$15+1,1))</f>
        <v>363.98308691765931</v>
      </c>
      <c r="EP92" s="59">
        <f t="shared" si="100"/>
        <v>181.47089407988187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7.8677884615384599</v>
      </c>
      <c r="FE92" s="12">
        <f>IF('Données projet'!$A$218&gt;35,FE91+FD92-FM91,IF(A92&lt;'Données projet'!$A$218,$FB$205^A92,IF(A92='Données projet'!$A$218,'Données projet'!$B$218,FE91+FD92-FM91)))</f>
        <v>317.01682692307685</v>
      </c>
      <c r="FF92" s="17">
        <f>FE92*VLOOKUP('Données projet'!$B$16,Paramètres!$A$1:$I$89,3,0)*VLOOKUP('Données projet'!$B$16,Paramètres!$A$1:$I$89,5,0)</f>
        <v>341.2369124999999</v>
      </c>
      <c r="FG92" s="13">
        <f t="shared" si="101"/>
        <v>79.755446340211492</v>
      </c>
      <c r="FH92" s="20">
        <f t="shared" si="76"/>
        <v>733.22835831336818</v>
      </c>
      <c r="FI92" s="59">
        <f t="shared" si="77"/>
        <v>1026.5616916467015</v>
      </c>
      <c r="FJ92" s="59">
        <f ca="1">AVERAGE(OFFSET($FI$3,0,0,'Données projet'!$E$16+1,1))-AVERAGE(OFFSET($H$3,0,0,'Données projet'!$E$16+1,1))</f>
        <v>395.30533160963489</v>
      </c>
      <c r="FK92" s="59">
        <f t="shared" si="102"/>
        <v>196.02102977695085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3.1</v>
      </c>
      <c r="FZ92" s="12">
        <f>IF('Données projet'!$A$244&gt;35,FZ91+FY92-GH91,IF(A92&lt;'Données projet'!$A$244,$FW$205^A92,IF(A92='Données projet'!$A$244,'Données projet'!$B$244,FZ91+FY92-GH91)))</f>
        <v>241.89999999999981</v>
      </c>
      <c r="GA92" s="17">
        <f>FZ92*VLOOKUP('Données projet'!$B$17,Paramètres!$A$1:$I$89,3,0)*VLOOKUP('Données projet'!$B$17,Paramètres!$A$1:$I$89,5,0)</f>
        <v>252.83387999999985</v>
      </c>
      <c r="GB92" s="13">
        <f t="shared" si="103"/>
        <v>61.192374937218304</v>
      </c>
      <c r="GC92" s="20">
        <f t="shared" si="79"/>
        <v>546.92906068232151</v>
      </c>
      <c r="GD92" s="59">
        <f t="shared" si="80"/>
        <v>840.26239401565476</v>
      </c>
      <c r="GE92" s="59">
        <f ca="1">AVERAGE(OFFSET($GD$3,0,0,'Données projet'!$E$17+1,1))-AVERAGE(OFFSET($H$3,0,0,'Données projet'!$E$17+1,1))</f>
        <v>269.41185214595805</v>
      </c>
      <c r="GF92" s="59">
        <f t="shared" si="104"/>
        <v>299.70148160580993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1.9711965525335389</v>
      </c>
      <c r="GM92" s="21">
        <f>EXP(-LN(2)/25)*GM91+(1-EXP(-LN(2)/25))/(LN(2)/25)*Calculateur!GH92*Calculateur!GJ92*VLOOKUP('Données projet'!$B$17,Paramètres!$A$1:$I$89,3,0)*0.475*44/12</f>
        <v>3.1601863625882336</v>
      </c>
      <c r="GN92" s="21">
        <f>EXP(-LN(2)/2)*GN91+(1-EXP(-LN(2)/2))/(LN(2)/2)*GH92*GK92*VLOOKUP('Données projet'!$B$17,Paramètres!$A$1:$I$89,3,0)*0.475*44/12</f>
        <v>2.5167817474495891E-8</v>
      </c>
      <c r="GO92" s="21">
        <f t="shared" si="81"/>
        <v>5.1313829402895896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5.6843418860808015E-14</v>
      </c>
      <c r="GV92" s="17">
        <f>GU92*VLOOKUP('Données projet'!$B$18,Paramètres!$A$1:$I$89,3,0)*VLOOKUP('Données projet'!$B$18,Paramètres!$A$1:$I$89,5,0)</f>
        <v>4.9658410716801891E-14</v>
      </c>
      <c r="GW92" s="13">
        <f t="shared" si="105"/>
        <v>8.0934058173791862E-13</v>
      </c>
      <c r="GX92" s="20">
        <f t="shared" si="82"/>
        <v>1.4960899118586383E-12</v>
      </c>
      <c r="GY92" s="59">
        <f t="shared" si="83"/>
        <v>293.33333333333479</v>
      </c>
      <c r="GZ92" s="59">
        <f ca="1">AVERAGE(OFFSET($GY$3,0,0,'Données projet'!$E$18+1,1))-AVERAGE(OFFSET($H$3,0,0,'Données projet'!$E$18+1,1))</f>
        <v>226.35975611953359</v>
      </c>
      <c r="HA92" s="59">
        <f t="shared" si="106"/>
        <v>271.65876694892461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2.1994085203582956</v>
      </c>
      <c r="HI92" s="21">
        <f>EXP(-LN(2)/2)*HI91+(1-EXP(-LN(2)/2))/(LN(2)/2)*HC92*HF92*VLOOKUP('Données projet'!$B$18,Paramètres!$A$1:$I$89,3,0)*0.475*44/12</f>
        <v>1.5563531369516402E-8</v>
      </c>
      <c r="HJ92" s="22">
        <f t="shared" si="84"/>
        <v>2.1994085359218269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324.88461538461536</v>
      </c>
      <c r="L93" s="12">
        <f>VLOOKUP(A93,'Données projet'!$A$35:$I$55,9,0)</f>
        <v>7.8677884615384599</v>
      </c>
      <c r="M93" s="12">
        <f t="array" ref="M93">INDEX(L:L,MIN(IF(ISNUMBER(L93:L289),ROW(L93:L289),"")))</f>
        <v>7.8677884615384599</v>
      </c>
      <c r="N93" s="13">
        <f>IF('Données projet'!$A$36&gt;35,N92+M93-V92,IF(A93&lt;'Données projet'!$A$36,$K$205^A93,IF(A93='Données projet'!$A$36,'Données projet'!$B$36,N92+M93-V92)))</f>
        <v>324.8846153846153</v>
      </c>
      <c r="O93" s="13">
        <f>N93*VLOOKUP('Données projet'!$B$9,Paramètres!$A$1:$I$89,3,0)*VLOOKUP('Données projet'!$B$9,Paramètres!$A$1:$I$89,5,0)</f>
        <v>293.95559999999995</v>
      </c>
      <c r="P93" s="13">
        <f t="shared" si="87"/>
        <v>69.907827943094574</v>
      </c>
      <c r="Q93" s="20">
        <f t="shared" si="54"/>
        <v>633.72880366755624</v>
      </c>
      <c r="R93" s="59">
        <f t="shared" si="55"/>
        <v>927.06213700088961</v>
      </c>
      <c r="S93" s="59">
        <f ca="1">AVERAGE(OFFSET($R$3,0,0,'Données projet'!$E$9+1,1))-AVERAGE(OFFSET($H$3,0,0,'Données projet'!$E$9+1,1))</f>
        <v>309.07357540707869</v>
      </c>
      <c r="T93" s="59">
        <f t="shared" si="88"/>
        <v>155.9593924683299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47.307692307692307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245</v>
      </c>
      <c r="AG93" s="12">
        <f>VLOOKUP(A93,'Données projet'!$A$61:$I$81,9,0)</f>
        <v>3.1</v>
      </c>
      <c r="AH93" s="12">
        <f t="array" ref="AH93">INDEX(AG:AG,MIN(IF(ISNUMBER(AG93:AG289),ROW(AG93:AG289),"")))</f>
        <v>3.1</v>
      </c>
      <c r="AI93" s="13">
        <f>IF('Données projet'!$A$62&gt;35,AI92+AH93-AQ92,IF(A93&lt;'Données projet'!$A$62,$AF$205^A93,IF(A93='Données projet'!$A$62,'Données projet'!$B$62,AI92+AH93-AQ92)))</f>
        <v>244.9999999999998</v>
      </c>
      <c r="AJ93" s="13">
        <f>AI93*VLOOKUP('Données projet'!$B$10,Paramètres!$A$1:$I$89,3,0)*VLOOKUP('Données projet'!$B$10,Paramètres!$A$1:$I$89,5,0)</f>
        <v>214.03199999999987</v>
      </c>
      <c r="AK93" s="13">
        <f t="shared" si="89"/>
        <v>52.815701536972192</v>
      </c>
      <c r="AL93" s="20">
        <f t="shared" si="58"/>
        <v>464.7597468435597</v>
      </c>
      <c r="AM93" s="59">
        <f t="shared" si="59"/>
        <v>758.09308017689295</v>
      </c>
      <c r="AN93" s="59">
        <f ca="1">AVERAGE(OFFSET($AM$3,0,0,'Données projet'!$E$10+1,1))-AVERAGE(OFFSET($H$3,0,0,'Données projet'!$E$10+1,1))</f>
        <v>210.07838338464626</v>
      </c>
      <c r="AO93" s="59">
        <f t="shared" si="90"/>
        <v>241.76003724236273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1.6152594785846854</v>
      </c>
      <c r="AV93" s="21">
        <f>EXP(-LN(2)/25)*AV92+(1-EXP(-LN(2)/25))/(LN(2)/25)*Calculateur!AQ93*Calculateur!AS93*VLOOKUP('Données projet'!$B$10,Paramètres!$A$1:$I$89,3,0)*0.475*44/12</f>
        <v>2.5691219465330102</v>
      </c>
      <c r="AW93" s="21">
        <f>EXP(-LN(2)/2)*AW92+(1-EXP(-LN(2)/2))/(LN(2)/2)*AQ93*AT93*VLOOKUP('Données projet'!$B$10,Paramètres!$A$1:$I$89,3,0)*0.475*44/12</f>
        <v>1.4874548158468038E-8</v>
      </c>
      <c r="AX93" s="21">
        <f t="shared" si="60"/>
        <v>4.1843814399922437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2.2737367544323206E-13</v>
      </c>
      <c r="BE93" s="13">
        <f>BD93*VLOOKUP('Données projet'!$B$11,Paramètres!$A$1:$I$89,3,0)*VLOOKUP('Données projet'!$B$11,Paramètres!$A$1:$I$89,5,0)</f>
        <v>1.2414602679200471E-13</v>
      </c>
      <c r="BF93" s="13">
        <f t="shared" si="91"/>
        <v>1.8186582995804361E-12</v>
      </c>
      <c r="BG93" s="20">
        <f t="shared" si="61"/>
        <v>3.3837175350986671E-12</v>
      </c>
      <c r="BH93" s="59">
        <f t="shared" si="62"/>
        <v>293.33333333333672</v>
      </c>
      <c r="BI93" s="59">
        <f ca="1">AVERAGE(OFFSET($BH$3,0,0,'Données projet'!$E$11+1,1))-AVERAGE(OFFSET($H$3,0,0,'Données projet'!$E$11+1,1))</f>
        <v>168.72306536277267</v>
      </c>
      <c r="BJ93" s="59">
        <f t="shared" si="92"/>
        <v>203.35476578922339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0.92708353569537649</v>
      </c>
      <c r="BQ93" s="21">
        <f>EXP(-LN(2)/25)*BQ92+(1-EXP(-LN(2)/25))/(LN(2)/25)*Calculateur!BL93*Calculateur!BN93*VLOOKUP('Données projet'!$B$11,Paramètres!$A$1:$I$89,3,0)*0.475*44/12</f>
        <v>4.3548472424323412</v>
      </c>
      <c r="BR93" s="21">
        <f>EXP(-LN(2)/2)*BR92+(1-EXP(-LN(2)/2))/(LN(2)/2)*BL93*BO93*VLOOKUP('Données projet'!$B$11,Paramètres!$A$1:$I$89,3,0)*0.475*44/12</f>
        <v>1.8648660389789628E-8</v>
      </c>
      <c r="BS93" s="22">
        <f t="shared" si="63"/>
        <v>5.2819307967763782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11.242307692307691</v>
      </c>
      <c r="BY93" s="12">
        <f>IF('Données projet'!$A$114&gt;35,BY92+BX93-CG92,IF(A93&lt;'Données projet'!$A$114,$BV$205^A93,IF(A93='Données projet'!$A$114,'Données projet'!$B$114,BY92+BX93-CG92)))</f>
        <v>412.91153846153867</v>
      </c>
      <c r="BZ93" s="13">
        <f>BY93*VLOOKUP('Données projet'!$B$12,Paramètres!$A$1:$I$89,3,0)*VLOOKUP('Données projet'!$B$12,Paramètres!$A$1:$I$89,5,0)</f>
        <v>193.2426000000001</v>
      </c>
      <c r="CA93" s="13">
        <f t="shared" si="93"/>
        <v>48.256138093290417</v>
      </c>
      <c r="CB93" s="20">
        <f t="shared" si="64"/>
        <v>420.6103021791476</v>
      </c>
      <c r="CC93" s="59">
        <f t="shared" si="65"/>
        <v>713.94363551248091</v>
      </c>
      <c r="CD93" s="59">
        <f ca="1">AVERAGE(OFFSET($CC$3,0,0,'Données projet'!$E$12+1,1))-AVERAGE(OFFSET($H$3,0,0,'Données projet'!$E$12+1,1))</f>
        <v>158.58786357608489</v>
      </c>
      <c r="CE93" s="59">
        <f t="shared" si="94"/>
        <v>163.20074068819849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4.1677594708744434E-14</v>
      </c>
      <c r="CV93" s="13">
        <f t="shared" si="95"/>
        <v>6.9326303456159188E-13</v>
      </c>
      <c r="CW93" s="20">
        <f t="shared" si="67"/>
        <v>1.2800215959791691E-12</v>
      </c>
      <c r="CX93" s="59">
        <f t="shared" si="68"/>
        <v>293.33333333333462</v>
      </c>
      <c r="CY93" s="59">
        <f ca="1">AVERAGE(OFFSET($CX$3,0,0,'Données projet'!$E$13+1,1))-AVERAGE(OFFSET($H$3,0,0,'Données projet'!$E$13+1,1))</f>
        <v>178.12968684094687</v>
      </c>
      <c r="CZ93" s="59">
        <f t="shared" si="96"/>
        <v>219.36004077210373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1.4566899375226789</v>
      </c>
      <c r="DH93" s="21">
        <f>EXP(-LN(2)/2)*DH92+(1-EXP(-LN(2)/2))/(LN(2)/2)*DB93*DE93*VLOOKUP('Données projet'!$B$13,Paramètres!$A$1:$I$89,3,0)*0.475*44/12</f>
        <v>9.236405228891901E-9</v>
      </c>
      <c r="DI93" s="22">
        <f t="shared" si="69"/>
        <v>1.4566899467590841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-8.5265128291212022E-14</v>
      </c>
      <c r="DP93" s="17">
        <f>DO93*VLOOKUP('Données projet'!$B$14,Paramètres!$A$1:$I$89,3,0)*VLOOKUP('Données projet'!$B$14,Paramètres!$A$1:$I$89,5,0)</f>
        <v>-7.7147888077888636E-14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225.28075317732998</v>
      </c>
      <c r="DU93" s="59">
        <f t="shared" si="98"/>
        <v>358.43407531256207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0.6837216233278387</v>
      </c>
      <c r="EB93" s="21">
        <f>EXP(-LN(2)/25)*EB92+(1-EXP(-LN(2)/25))/(LN(2)/25)*Calculateur!DW93*Calculateur!DY93*VLOOKUP('Données projet'!$B$14,Paramètres!$A$1:$I$89,3,0)*0.475*44/12</f>
        <v>1.5672616686352263</v>
      </c>
      <c r="EC93" s="21">
        <f>EXP(-LN(2)/2)*EC92+(1-EXP(-LN(2)/2))/(LN(2)/2)*DW93*DZ93*VLOOKUP('Données projet'!$B$14,Paramètres!$A$1:$I$89,3,0)*0.475*44/12</f>
        <v>4.1108775092005019E-9</v>
      </c>
      <c r="ED93" s="22">
        <f t="shared" si="72"/>
        <v>2.2509832960739424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324.88461538461536</v>
      </c>
      <c r="EH93" s="12">
        <f>VLOOKUP(A93,'Données projet'!$A$191:$I$211,9,0)</f>
        <v>7.8677884615384599</v>
      </c>
      <c r="EI93" s="12">
        <f t="array" ref="EI93">INDEX(EH:EH,MIN(IF(ISNUMBER(EH93:EH289),ROW(EH93:EH289),"")))</f>
        <v>7.8677884615384599</v>
      </c>
      <c r="EJ93" s="12">
        <f>IF('Données projet'!$A$192&gt;35,EJ92+EI93-ER92,IF(A93&lt;'Données projet'!$A$192,$EG$205^A93,IF(A93='Données projet'!$A$192,'Données projet'!$B$192,EJ92+EI93-ER92)))</f>
        <v>324.8846153846153</v>
      </c>
      <c r="EK93" s="17">
        <f>EJ93*VLOOKUP('Données projet'!$B$15,Paramètres!$A$1:$I$89,3,0)*VLOOKUP('Données projet'!$B$15,Paramètres!$A$1:$I$89,5,0)</f>
        <v>329.43299999999994</v>
      </c>
      <c r="EL93" s="13">
        <f t="shared" si="99"/>
        <v>77.312741843066732</v>
      </c>
      <c r="EM93" s="20">
        <f t="shared" si="73"/>
        <v>708.41550037667423</v>
      </c>
      <c r="EN93" s="59">
        <f t="shared" si="74"/>
        <v>1001.7488337100076</v>
      </c>
      <c r="EO93" s="59">
        <f ca="1">AVERAGE(OFFSET($EN$3,0,0,'Données projet'!$E$15+1,1))-AVERAGE(OFFSET($H$3,0,0,'Données projet'!$E$15+1,1))</f>
        <v>363.98308691765931</v>
      </c>
      <c r="EP93" s="59">
        <f t="shared" si="100"/>
        <v>181.47089407988187</v>
      </c>
      <c r="EQ93" s="15">
        <f>IF(ISNA(VLOOKUP(A93,'Données projet'!$A$191:$I$211,3,0)),0,VLOOKUP(A93,'Données projet'!$A$191:$I$211,3,0))</f>
        <v>8</v>
      </c>
      <c r="ER93" s="15">
        <f>IF(ISNA(VLOOKUP(A93,'Données projet'!$A$191:$I$211,4,0)),0,VLOOKUP(A93,'Données projet'!$A$191:$I$211,4,0))</f>
        <v>47.307692307692307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324.88461538461536</v>
      </c>
      <c r="FC93" s="12">
        <f>VLOOKUP(A93,'Données projet'!$A$217:$I$237,9,0)</f>
        <v>7.8677884615384599</v>
      </c>
      <c r="FD93" s="12">
        <f t="array" ref="FD93">INDEX(FC:FC,MIN(IF(ISNUMBER(FC93:FC289),ROW(FC93:FC289),"")))</f>
        <v>7.8677884615384599</v>
      </c>
      <c r="FE93" s="12">
        <f>IF('Données projet'!$A$218&gt;35,FE92+FD93-FM92,IF(A93&lt;'Données projet'!$A$218,$FB$205^A93,IF(A93='Données projet'!$A$218,'Données projet'!$B$218,FE92+FD93-FM92)))</f>
        <v>324.8846153846153</v>
      </c>
      <c r="FF93" s="17">
        <f>FE93*VLOOKUP('Données projet'!$B$16,Paramètres!$A$1:$I$89,3,0)*VLOOKUP('Données projet'!$B$16,Paramètres!$A$1:$I$89,5,0)</f>
        <v>349.7057999999999</v>
      </c>
      <c r="FG93" s="13">
        <f t="shared" si="101"/>
        <v>81.501929438116434</v>
      </c>
      <c r="FH93" s="20">
        <f t="shared" si="76"/>
        <v>751.02012877138588</v>
      </c>
      <c r="FI93" s="59">
        <f t="shared" si="77"/>
        <v>1044.3534621047193</v>
      </c>
      <c r="FJ93" s="59">
        <f ca="1">AVERAGE(OFFSET($FI$3,0,0,'Données projet'!$E$16+1,1))-AVERAGE(OFFSET($H$3,0,0,'Données projet'!$E$16+1,1))</f>
        <v>395.30533160963489</v>
      </c>
      <c r="FK93" s="59">
        <f t="shared" si="102"/>
        <v>196.02102977695085</v>
      </c>
      <c r="FL93" s="15">
        <f>IF(ISNA(VLOOKUP(A93,'Données projet'!$A$217:$I$237,3,0)),0,VLOOKUP(A93,'Données projet'!$A$217:$I$237,3,0))</f>
        <v>8</v>
      </c>
      <c r="FM93" s="15">
        <f>IF(ISNA(VLOOKUP(A93,'Données projet'!$A$217:$I$237,4,0)),0,VLOOKUP(A93,'Données projet'!$A$217:$I$237,4,0))</f>
        <v>47.307692307692307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245</v>
      </c>
      <c r="FX93" s="12">
        <f>VLOOKUP(A93,'Données projet'!$A$243:$I$263,9,0)</f>
        <v>3.1</v>
      </c>
      <c r="FY93" s="12">
        <f t="array" ref="FY93">INDEX(FX:FX,MIN(IF(ISNUMBER(FX93:FX289),ROW(FX93:FX289),"")))</f>
        <v>3.1</v>
      </c>
      <c r="FZ93" s="12">
        <f>IF('Données projet'!$A$244&gt;35,FZ92+FY93-GH92,IF(A93&lt;'Données projet'!$A$244,$FW$205^A93,IF(A93='Données projet'!$A$244,'Données projet'!$B$244,FZ92+FY93-GH92)))</f>
        <v>244.9999999999998</v>
      </c>
      <c r="GA93" s="17">
        <f>FZ93*VLOOKUP('Données projet'!$B$17,Paramètres!$A$1:$I$89,3,0)*VLOOKUP('Données projet'!$B$17,Paramètres!$A$1:$I$89,5,0)</f>
        <v>256.07399999999978</v>
      </c>
      <c r="GB93" s="13">
        <f t="shared" si="103"/>
        <v>61.884773790113904</v>
      </c>
      <c r="GC93" s="20">
        <f t="shared" si="79"/>
        <v>553.77819768444806</v>
      </c>
      <c r="GD93" s="59">
        <f t="shared" si="80"/>
        <v>847.11153101778132</v>
      </c>
      <c r="GE93" s="59">
        <f ca="1">AVERAGE(OFFSET($GD$3,0,0,'Données projet'!$E$17+1,1))-AVERAGE(OFFSET($H$3,0,0,'Données projet'!$E$17+1,1))</f>
        <v>269.41185214595805</v>
      </c>
      <c r="GF93" s="59">
        <f t="shared" si="104"/>
        <v>299.70148160580993</v>
      </c>
      <c r="GG93" s="15">
        <f>IF(ISNA(VLOOKUP(A93,'Données projet'!$A$243:$I$263,3,0)),0,VLOOKUP(A93,'Données projet'!$A$243:$I$263,3,0))</f>
        <v>8</v>
      </c>
      <c r="GH93" s="15">
        <f>IF(ISNA(VLOOKUP(A93,'Données projet'!$A$243:$I$263,4,0)),0,VLOOKUP(A93,'Données projet'!$A$243:$I$263,4,0))</f>
        <v>23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1.9325425904495348</v>
      </c>
      <c r="GM93" s="21">
        <f>EXP(-LN(2)/25)*GM92+(1-EXP(-LN(2)/25))/(LN(2)/25)*Calculateur!GH93*Calculateur!GJ93*VLOOKUP('Données projet'!$B$17,Paramètres!$A$1:$I$89,3,0)*0.475*44/12</f>
        <v>3.0737709003162803</v>
      </c>
      <c r="GN93" s="21">
        <f>EXP(-LN(2)/2)*GN92+(1-EXP(-LN(2)/2))/(LN(2)/2)*GH93*GK93*VLOOKUP('Données projet'!$B$17,Paramètres!$A$1:$I$89,3,0)*0.475*44/12</f>
        <v>1.7796334403881333E-8</v>
      </c>
      <c r="GO93" s="21">
        <f t="shared" si="81"/>
        <v>5.0063135085621493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5.6843418860808015E-14</v>
      </c>
      <c r="GV93" s="17">
        <f>GU93*VLOOKUP('Données projet'!$B$18,Paramètres!$A$1:$I$89,3,0)*VLOOKUP('Données projet'!$B$18,Paramètres!$A$1:$I$89,5,0)</f>
        <v>4.9658410716801891E-14</v>
      </c>
      <c r="GW93" s="13">
        <f t="shared" si="105"/>
        <v>8.0934058173791862E-13</v>
      </c>
      <c r="GX93" s="20">
        <f t="shared" si="82"/>
        <v>1.4960899118586383E-12</v>
      </c>
      <c r="GY93" s="59">
        <f t="shared" si="83"/>
        <v>293.33333333333479</v>
      </c>
      <c r="GZ93" s="59">
        <f ca="1">AVERAGE(OFFSET($GY$3,0,0,'Données projet'!$E$18+1,1))-AVERAGE(OFFSET($H$3,0,0,'Données projet'!$E$18+1,1))</f>
        <v>226.35975611953359</v>
      </c>
      <c r="HA93" s="59">
        <f t="shared" si="106"/>
        <v>271.65876694892461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2.1392655787072306</v>
      </c>
      <c r="HI93" s="21">
        <f>EXP(-LN(2)/2)*HI92+(1-EXP(-LN(2)/2))/(LN(2)/2)*HC93*HF93*VLOOKUP('Données projet'!$B$18,Paramètres!$A$1:$I$89,3,0)*0.475*44/12</f>
        <v>1.1005078570594603E-8</v>
      </c>
      <c r="HJ93" s="22">
        <f t="shared" si="84"/>
        <v>2.1392655897123092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7.5871794871794922</v>
      </c>
      <c r="N94" s="13">
        <f>IF('Données projet'!$A$36&gt;35,N93+M94-V93,IF(A94&lt;'Données projet'!$A$36,$K$205^A94,IF(A94='Données projet'!$A$36,'Données projet'!$B$36,N93+M94-V93)))</f>
        <v>285.16410256410245</v>
      </c>
      <c r="O94" s="13">
        <f>N94*VLOOKUP('Données projet'!$B$9,Paramètres!$A$1:$I$89,3,0)*VLOOKUP('Données projet'!$B$9,Paramètres!$A$1:$I$89,5,0)</f>
        <v>258.01647999999989</v>
      </c>
      <c r="P94" s="13">
        <f t="shared" si="87"/>
        <v>62.299383385500001</v>
      </c>
      <c r="Q94" s="20">
        <f t="shared" si="54"/>
        <v>557.88346206307892</v>
      </c>
      <c r="R94" s="59">
        <f t="shared" si="55"/>
        <v>851.21679539641218</v>
      </c>
      <c r="S94" s="59">
        <f ca="1">AVERAGE(OFFSET($R$3,0,0,'Données projet'!$E$9+1,1))-AVERAGE(OFFSET($H$3,0,0,'Données projet'!$E$9+1,1))</f>
        <v>309.07357540707869</v>
      </c>
      <c r="T94" s="59">
        <f t="shared" si="88"/>
        <v>155.9593924683299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2.9</v>
      </c>
      <c r="AI94" s="13">
        <f>IF('Données projet'!$A$62&gt;35,AI93+AH94-AQ93,IF(A94&lt;'Données projet'!$A$62,$AF$205^A94,IF(A94='Données projet'!$A$62,'Données projet'!$B$62,AI93+AH94-AQ93)))</f>
        <v>224.89999999999981</v>
      </c>
      <c r="AJ94" s="13">
        <f>AI94*VLOOKUP('Données projet'!$B$10,Paramètres!$A$1:$I$89,3,0)*VLOOKUP('Données projet'!$B$10,Paramètres!$A$1:$I$89,5,0)</f>
        <v>196.47263999999984</v>
      </c>
      <c r="AK94" s="13">
        <f t="shared" si="89"/>
        <v>48.96815976786322</v>
      </c>
      <c r="AL94" s="20">
        <f t="shared" si="58"/>
        <v>427.47605959569478</v>
      </c>
      <c r="AM94" s="59">
        <f t="shared" si="59"/>
        <v>720.80939292902804</v>
      </c>
      <c r="AN94" s="59">
        <f ca="1">AVERAGE(OFFSET($AM$3,0,0,'Données projet'!$E$10+1,1))-AVERAGE(OFFSET($H$3,0,0,'Données projet'!$E$10+1,1))</f>
        <v>210.07838338464626</v>
      </c>
      <c r="AO94" s="59">
        <f t="shared" si="90"/>
        <v>241.76003724236273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1.5835852254206402</v>
      </c>
      <c r="AV94" s="21">
        <f>EXP(-LN(2)/25)*AV93+(1-EXP(-LN(2)/25))/(LN(2)/25)*Calculateur!AQ94*Calculateur!AS94*VLOOKUP('Données projet'!$B$10,Paramètres!$A$1:$I$89,3,0)*0.475*44/12</f>
        <v>2.4988691718008136</v>
      </c>
      <c r="AW94" s="21">
        <f>EXP(-LN(2)/2)*AW93+(1-EXP(-LN(2)/2))/(LN(2)/2)*AQ94*AT94*VLOOKUP('Données projet'!$B$10,Paramètres!$A$1:$I$89,3,0)*0.475*44/12</f>
        <v>1.0517893869938623E-8</v>
      </c>
      <c r="AX94" s="21">
        <f t="shared" si="60"/>
        <v>4.0824544077393483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2.2737367544323206E-13</v>
      </c>
      <c r="BE94" s="13">
        <f>BD94*VLOOKUP('Données projet'!$B$11,Paramètres!$A$1:$I$89,3,0)*VLOOKUP('Données projet'!$B$11,Paramètres!$A$1:$I$89,5,0)</f>
        <v>1.2414602679200471E-13</v>
      </c>
      <c r="BF94" s="13">
        <f t="shared" si="91"/>
        <v>1.8186582995804361E-12</v>
      </c>
      <c r="BG94" s="20">
        <f t="shared" si="61"/>
        <v>3.3837175350986671E-12</v>
      </c>
      <c r="BH94" s="59">
        <f t="shared" si="62"/>
        <v>293.33333333333672</v>
      </c>
      <c r="BI94" s="59">
        <f ca="1">AVERAGE(OFFSET($BH$3,0,0,'Données projet'!$E$11+1,1))-AVERAGE(OFFSET($H$3,0,0,'Données projet'!$E$11+1,1))</f>
        <v>168.72306536277267</v>
      </c>
      <c r="BJ94" s="59">
        <f t="shared" si="92"/>
        <v>203.35476578922339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0.90890399302551184</v>
      </c>
      <c r="BQ94" s="21">
        <f>EXP(-LN(2)/25)*BQ93+(1-EXP(-LN(2)/25))/(LN(2)/25)*Calculateur!BL94*Calculateur!BN94*VLOOKUP('Données projet'!$B$11,Paramètres!$A$1:$I$89,3,0)*0.475*44/12</f>
        <v>4.2357637155765655</v>
      </c>
      <c r="BR94" s="21">
        <f>EXP(-LN(2)/2)*BR93+(1-EXP(-LN(2)/2))/(LN(2)/2)*BL94*BO94*VLOOKUP('Données projet'!$B$11,Paramètres!$A$1:$I$89,3,0)*0.475*44/12</f>
        <v>1.3186594221665211E-8</v>
      </c>
      <c r="BS94" s="22">
        <f t="shared" si="63"/>
        <v>5.1446677217886716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11.242307692307691</v>
      </c>
      <c r="BY94" s="12">
        <f>IF('Données projet'!$A$114&gt;35,BY93+BX94-CG93,IF(A94&lt;'Données projet'!$A$114,$BV$205^A94,IF(A94='Données projet'!$A$114,'Données projet'!$B$114,BY93+BX94-CG93)))</f>
        <v>424.15384615384636</v>
      </c>
      <c r="BZ94" s="13">
        <f>BY94*VLOOKUP('Données projet'!$B$12,Paramètres!$A$1:$I$89,3,0)*VLOOKUP('Données projet'!$B$12,Paramètres!$A$1:$I$89,5,0)</f>
        <v>198.5040000000001</v>
      </c>
      <c r="CA94" s="13">
        <f t="shared" si="93"/>
        <v>49.415248676990458</v>
      </c>
      <c r="CB94" s="20">
        <f t="shared" si="64"/>
        <v>431.79269144575846</v>
      </c>
      <c r="CC94" s="59">
        <f t="shared" si="65"/>
        <v>725.12602477909172</v>
      </c>
      <c r="CD94" s="59">
        <f ca="1">AVERAGE(OFFSET($CC$3,0,0,'Données projet'!$E$12+1,1))-AVERAGE(OFFSET($H$3,0,0,'Données projet'!$E$12+1,1))</f>
        <v>158.58786357608489</v>
      </c>
      <c r="CE94" s="59">
        <f t="shared" si="94"/>
        <v>163.20074068819849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4.1677594708744434E-14</v>
      </c>
      <c r="CV94" s="13">
        <f t="shared" si="95"/>
        <v>6.9326303456159188E-13</v>
      </c>
      <c r="CW94" s="20">
        <f t="shared" si="67"/>
        <v>1.2800215959791691E-12</v>
      </c>
      <c r="CX94" s="59">
        <f t="shared" si="68"/>
        <v>293.33333333333462</v>
      </c>
      <c r="CY94" s="59">
        <f ca="1">AVERAGE(OFFSET($CX$3,0,0,'Données projet'!$E$13+1,1))-AVERAGE(OFFSET($H$3,0,0,'Données projet'!$E$13+1,1))</f>
        <v>178.12968684094687</v>
      </c>
      <c r="CZ94" s="59">
        <f t="shared" si="96"/>
        <v>219.36004077210373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1.4168566745771267</v>
      </c>
      <c r="DH94" s="21">
        <f>EXP(-LN(2)/2)*DH93+(1-EXP(-LN(2)/2))/(LN(2)/2)*DB94*DE94*VLOOKUP('Données projet'!$B$13,Paramètres!$A$1:$I$89,3,0)*0.475*44/12</f>
        <v>6.5311247711363489E-9</v>
      </c>
      <c r="DI94" s="22">
        <f t="shared" si="69"/>
        <v>1.4168566811082515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-8.5265128291212022E-14</v>
      </c>
      <c r="DP94" s="17">
        <f>DO94*VLOOKUP('Données projet'!$B$14,Paramètres!$A$1:$I$89,3,0)*VLOOKUP('Données projet'!$B$14,Paramètres!$A$1:$I$89,5,0)</f>
        <v>-7.7147888077888636E-14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225.28075317732998</v>
      </c>
      <c r="DU94" s="59">
        <f t="shared" si="98"/>
        <v>358.43407531256207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0.67031425932339184</v>
      </c>
      <c r="EB94" s="21">
        <f>EXP(-LN(2)/25)*EB93+(1-EXP(-LN(2)/25))/(LN(2)/25)*Calculateur!DW94*Calculateur!DY94*VLOOKUP('Données projet'!$B$14,Paramètres!$A$1:$I$89,3,0)*0.475*44/12</f>
        <v>1.5244048158876868</v>
      </c>
      <c r="EC94" s="21">
        <f>EXP(-LN(2)/2)*EC93+(1-EXP(-LN(2)/2))/(LN(2)/2)*DW94*DZ94*VLOOKUP('Données projet'!$B$14,Paramètres!$A$1:$I$89,3,0)*0.475*44/12</f>
        <v>2.9068293633829388E-9</v>
      </c>
      <c r="ED94" s="22">
        <f t="shared" si="72"/>
        <v>2.1947190781179082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7.5871794871794922</v>
      </c>
      <c r="EJ94" s="12">
        <f>IF('Données projet'!$A$192&gt;35,EJ93+EI94-ER93,IF(A94&lt;'Données projet'!$A$192,$EG$205^A94,IF(A94='Données projet'!$A$192,'Données projet'!$B$192,EJ93+EI94-ER93)))</f>
        <v>285.16410256410245</v>
      </c>
      <c r="EK94" s="17">
        <f>EJ94*VLOOKUP('Données projet'!$B$15,Paramètres!$A$1:$I$89,3,0)*VLOOKUP('Données projet'!$B$15,Paramètres!$A$1:$I$89,5,0)</f>
        <v>289.15639999999991</v>
      </c>
      <c r="EL94" s="13">
        <f t="shared" si="99"/>
        <v>68.898380716192392</v>
      </c>
      <c r="EM94" s="20">
        <f t="shared" si="73"/>
        <v>623.61207641403485</v>
      </c>
      <c r="EN94" s="59">
        <f t="shared" si="74"/>
        <v>916.9454097473681</v>
      </c>
      <c r="EO94" s="59">
        <f ca="1">AVERAGE(OFFSET($EN$3,0,0,'Données projet'!$E$15+1,1))-AVERAGE(OFFSET($H$3,0,0,'Données projet'!$E$15+1,1))</f>
        <v>363.98308691765931</v>
      </c>
      <c r="EP94" s="59">
        <f t="shared" si="100"/>
        <v>181.47089407988187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7.5871794871794922</v>
      </c>
      <c r="FE94" s="12">
        <f>IF('Données projet'!$A$218&gt;35,FE93+FD94-FM93,IF(A94&lt;'Données projet'!$A$218,$FB$205^A94,IF(A94='Données projet'!$A$218,'Données projet'!$B$218,FE93+FD94-FM93)))</f>
        <v>285.16410256410245</v>
      </c>
      <c r="FF94" s="17">
        <f>FE94*VLOOKUP('Données projet'!$B$16,Paramètres!$A$1:$I$89,3,0)*VLOOKUP('Données projet'!$B$16,Paramètres!$A$1:$I$89,5,0)</f>
        <v>306.95063999999991</v>
      </c>
      <c r="FG94" s="13">
        <f t="shared" si="101"/>
        <v>72.63163651510277</v>
      </c>
      <c r="FH94" s="20">
        <f t="shared" si="76"/>
        <v>661.10579826380388</v>
      </c>
      <c r="FI94" s="59">
        <f t="shared" si="77"/>
        <v>954.43913159713725</v>
      </c>
      <c r="FJ94" s="59">
        <f ca="1">AVERAGE(OFFSET($FI$3,0,0,'Données projet'!$E$16+1,1))-AVERAGE(OFFSET($H$3,0,0,'Données projet'!$E$16+1,1))</f>
        <v>395.30533160963489</v>
      </c>
      <c r="FK94" s="59">
        <f t="shared" si="102"/>
        <v>196.02102977695085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2.9</v>
      </c>
      <c r="FZ94" s="12">
        <f>IF('Données projet'!$A$244&gt;35,FZ93+FY94-GH93,IF(A94&lt;'Données projet'!$A$244,$FW$205^A94,IF(A94='Données projet'!$A$244,'Données projet'!$B$244,FZ93+FY94-GH93)))</f>
        <v>224.89999999999981</v>
      </c>
      <c r="GA94" s="17">
        <f>FZ94*VLOOKUP('Données projet'!$B$17,Paramètres!$A$1:$I$89,3,0)*VLOOKUP('Données projet'!$B$17,Paramètres!$A$1:$I$89,5,0)</f>
        <v>235.06547999999981</v>
      </c>
      <c r="GB94" s="13">
        <f t="shared" si="103"/>
        <v>57.376564202806897</v>
      </c>
      <c r="GC94" s="20">
        <f t="shared" si="79"/>
        <v>509.33656031988835</v>
      </c>
      <c r="GD94" s="59">
        <f t="shared" si="80"/>
        <v>802.66989365322161</v>
      </c>
      <c r="GE94" s="59">
        <f ca="1">AVERAGE(OFFSET($GD$3,0,0,'Données projet'!$E$17+1,1))-AVERAGE(OFFSET($H$3,0,0,'Données projet'!$E$17+1,1))</f>
        <v>269.41185214595805</v>
      </c>
      <c r="GF94" s="59">
        <f t="shared" si="104"/>
        <v>299.70148160580993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1.8946466089854093</v>
      </c>
      <c r="GM94" s="21">
        <f>EXP(-LN(2)/25)*GM93+(1-EXP(-LN(2)/25))/(LN(2)/25)*Calculateur!GH94*Calculateur!GJ94*VLOOKUP('Données projet'!$B$17,Paramètres!$A$1:$I$89,3,0)*0.475*44/12</f>
        <v>2.9897184734045452</v>
      </c>
      <c r="GN94" s="21">
        <f>EXP(-LN(2)/2)*GN93+(1-EXP(-LN(2)/2))/(LN(2)/2)*GH94*GK94*VLOOKUP('Données projet'!$B$17,Paramètres!$A$1:$I$89,3,0)*0.475*44/12</f>
        <v>1.2583908737247946E-8</v>
      </c>
      <c r="GO94" s="21">
        <f t="shared" si="81"/>
        <v>4.8843650949738633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5.6843418860808015E-14</v>
      </c>
      <c r="GV94" s="17">
        <f>GU94*VLOOKUP('Données projet'!$B$18,Paramètres!$A$1:$I$89,3,0)*VLOOKUP('Données projet'!$B$18,Paramètres!$A$1:$I$89,5,0)</f>
        <v>4.9658410716801891E-14</v>
      </c>
      <c r="GW94" s="13">
        <f t="shared" si="105"/>
        <v>8.0934058173791862E-13</v>
      </c>
      <c r="GX94" s="20">
        <f t="shared" si="82"/>
        <v>1.4960899118586383E-12</v>
      </c>
      <c r="GY94" s="59">
        <f t="shared" si="83"/>
        <v>293.33333333333479</v>
      </c>
      <c r="GZ94" s="59">
        <f ca="1">AVERAGE(OFFSET($GY$3,0,0,'Données projet'!$E$18+1,1))-AVERAGE(OFFSET($H$3,0,0,'Données projet'!$E$18+1,1))</f>
        <v>226.35975611953359</v>
      </c>
      <c r="HA94" s="59">
        <f t="shared" si="106"/>
        <v>271.65876694892461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2.0807672489583937</v>
      </c>
      <c r="HI94" s="21">
        <f>EXP(-LN(2)/2)*HI93+(1-EXP(-LN(2)/2))/(LN(2)/2)*HC94*HF94*VLOOKUP('Données projet'!$B$18,Paramètres!$A$1:$I$89,3,0)*0.475*44/12</f>
        <v>7.7817656847582008E-9</v>
      </c>
      <c r="HJ94" s="22">
        <f t="shared" si="84"/>
        <v>2.0807672567401596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7.5871794871794922</v>
      </c>
      <c r="N95" s="13">
        <f>IF('Données projet'!$A$36&gt;35,N94+M95-V94,IF(A95&lt;'Données projet'!$A$36,$K$205^A95,IF(A95='Données projet'!$A$36,'Données projet'!$B$36,N94+M95-V94)))</f>
        <v>292.75128205128192</v>
      </c>
      <c r="O95" s="13">
        <f>N95*VLOOKUP('Données projet'!$B$9,Paramètres!$A$1:$I$89,3,0)*VLOOKUP('Données projet'!$B$9,Paramètres!$A$1:$I$89,5,0)</f>
        <v>264.88135999999986</v>
      </c>
      <c r="P95" s="13">
        <f t="shared" si="87"/>
        <v>63.761757576825389</v>
      </c>
      <c r="Q95" s="20">
        <f t="shared" si="54"/>
        <v>572.38676311297058</v>
      </c>
      <c r="R95" s="59">
        <f t="shared" si="55"/>
        <v>865.72009644630384</v>
      </c>
      <c r="S95" s="59">
        <f ca="1">AVERAGE(OFFSET($R$3,0,0,'Données projet'!$E$9+1,1))-AVERAGE(OFFSET($H$3,0,0,'Données projet'!$E$9+1,1))</f>
        <v>309.07357540707869</v>
      </c>
      <c r="T95" s="59">
        <f t="shared" si="88"/>
        <v>155.9593924683299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2.9</v>
      </c>
      <c r="AI95" s="13">
        <f>IF('Données projet'!$A$62&gt;35,AI94+AH95-AQ94,IF(A95&lt;'Données projet'!$A$62,$AF$205^A95,IF(A95='Données projet'!$A$62,'Données projet'!$B$62,AI94+AH95-AQ94)))</f>
        <v>227.79999999999981</v>
      </c>
      <c r="AJ95" s="13">
        <f>AI95*VLOOKUP('Données projet'!$B$10,Paramètres!$A$1:$I$89,3,0)*VLOOKUP('Données projet'!$B$10,Paramètres!$A$1:$I$89,5,0)</f>
        <v>199.00607999999988</v>
      </c>
      <c r="AK95" s="13">
        <f t="shared" si="89"/>
        <v>49.525670897514985</v>
      </c>
      <c r="AL95" s="20">
        <f t="shared" si="58"/>
        <v>432.8594661465051</v>
      </c>
      <c r="AM95" s="59">
        <f t="shared" si="59"/>
        <v>726.19279947983841</v>
      </c>
      <c r="AN95" s="59">
        <f ca="1">AVERAGE(OFFSET($AM$3,0,0,'Données projet'!$E$10+1,1))-AVERAGE(OFFSET($H$3,0,0,'Données projet'!$E$10+1,1))</f>
        <v>210.07838338464626</v>
      </c>
      <c r="AO95" s="59">
        <f t="shared" si="90"/>
        <v>241.76003724236273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1.552532085041755</v>
      </c>
      <c r="AV95" s="21">
        <f>EXP(-LN(2)/25)*AV94+(1-EXP(-LN(2)/25))/(LN(2)/25)*Calculateur!AQ95*Calculateur!AS95*VLOOKUP('Données projet'!$B$10,Paramètres!$A$1:$I$89,3,0)*0.475*44/12</f>
        <v>2.4305374628881018</v>
      </c>
      <c r="AW95" s="21">
        <f>EXP(-LN(2)/2)*AW94+(1-EXP(-LN(2)/2))/(LN(2)/2)*AQ95*AT95*VLOOKUP('Données projet'!$B$10,Paramètres!$A$1:$I$89,3,0)*0.475*44/12</f>
        <v>7.4372740792340199E-9</v>
      </c>
      <c r="AX95" s="21">
        <f t="shared" si="60"/>
        <v>3.9830695553671305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2.2737367544323206E-13</v>
      </c>
      <c r="BE95" s="13">
        <f>BD95*VLOOKUP('Données projet'!$B$11,Paramètres!$A$1:$I$89,3,0)*VLOOKUP('Données projet'!$B$11,Paramètres!$A$1:$I$89,5,0)</f>
        <v>1.2414602679200471E-13</v>
      </c>
      <c r="BF95" s="13">
        <f t="shared" si="91"/>
        <v>1.8186582995804361E-12</v>
      </c>
      <c r="BG95" s="20">
        <f t="shared" si="61"/>
        <v>3.3837175350986671E-12</v>
      </c>
      <c r="BH95" s="59">
        <f t="shared" si="62"/>
        <v>293.33333333333672</v>
      </c>
      <c r="BI95" s="59">
        <f ca="1">AVERAGE(OFFSET($BH$3,0,0,'Données projet'!$E$11+1,1))-AVERAGE(OFFSET($H$3,0,0,'Données projet'!$E$11+1,1))</f>
        <v>168.72306536277267</v>
      </c>
      <c r="BJ95" s="59">
        <f t="shared" si="92"/>
        <v>203.35476578922339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0.89108094009897709</v>
      </c>
      <c r="BQ95" s="21">
        <f>EXP(-LN(2)/25)*BQ94+(1-EXP(-LN(2)/25))/(LN(2)/25)*Calculateur!BL95*Calculateur!BN95*VLOOKUP('Données projet'!$B$11,Paramètres!$A$1:$I$89,3,0)*0.475*44/12</f>
        <v>4.1199365340249914</v>
      </c>
      <c r="BR95" s="21">
        <f>EXP(-LN(2)/2)*BR94+(1-EXP(-LN(2)/2))/(LN(2)/2)*BL95*BO95*VLOOKUP('Données projet'!$B$11,Paramètres!$A$1:$I$89,3,0)*0.475*44/12</f>
        <v>9.324330194894814E-9</v>
      </c>
      <c r="BS95" s="22">
        <f t="shared" si="63"/>
        <v>5.0110174834482981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11.242307692307691</v>
      </c>
      <c r="BY95" s="12">
        <f>IF('Données projet'!$A$114&gt;35,BY94+BX95-CG94,IF(A95&lt;'Données projet'!$A$114,$BV$205^A95,IF(A95='Données projet'!$A$114,'Données projet'!$B$114,BY94+BX95-CG94)))</f>
        <v>435.39615384615405</v>
      </c>
      <c r="BZ95" s="13">
        <f>BY95*VLOOKUP('Données projet'!$B$12,Paramètres!$A$1:$I$89,3,0)*VLOOKUP('Données projet'!$B$12,Paramètres!$A$1:$I$89,5,0)</f>
        <v>203.76540000000008</v>
      </c>
      <c r="CA95" s="13">
        <f t="shared" si="93"/>
        <v>50.570788227585879</v>
      </c>
      <c r="CB95" s="20">
        <f t="shared" si="64"/>
        <v>442.96886116304557</v>
      </c>
      <c r="CC95" s="59">
        <f t="shared" si="65"/>
        <v>736.30219449637889</v>
      </c>
      <c r="CD95" s="59">
        <f ca="1">AVERAGE(OFFSET($CC$3,0,0,'Données projet'!$E$12+1,1))-AVERAGE(OFFSET($H$3,0,0,'Données projet'!$E$12+1,1))</f>
        <v>158.58786357608489</v>
      </c>
      <c r="CE95" s="59">
        <f t="shared" si="94"/>
        <v>163.20074068819849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4.1677594708744434E-14</v>
      </c>
      <c r="CV95" s="13">
        <f t="shared" si="95"/>
        <v>6.9326303456159188E-13</v>
      </c>
      <c r="CW95" s="20">
        <f t="shared" si="67"/>
        <v>1.2800215959791691E-12</v>
      </c>
      <c r="CX95" s="59">
        <f t="shared" si="68"/>
        <v>293.33333333333462</v>
      </c>
      <c r="CY95" s="59">
        <f ca="1">AVERAGE(OFFSET($CX$3,0,0,'Données projet'!$E$13+1,1))-AVERAGE(OFFSET($H$3,0,0,'Données projet'!$E$13+1,1))</f>
        <v>178.12968684094687</v>
      </c>
      <c r="CZ95" s="59">
        <f t="shared" si="96"/>
        <v>219.36004077210373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1.3781126543015609</v>
      </c>
      <c r="DH95" s="21">
        <f>EXP(-LN(2)/2)*DH94+(1-EXP(-LN(2)/2))/(LN(2)/2)*DB95*DE95*VLOOKUP('Données projet'!$B$13,Paramètres!$A$1:$I$89,3,0)*0.475*44/12</f>
        <v>4.6182026144459505E-9</v>
      </c>
      <c r="DI95" s="22">
        <f t="shared" si="69"/>
        <v>1.3781126589197636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-8.5265128291212022E-14</v>
      </c>
      <c r="DP95" s="17">
        <f>DO95*VLOOKUP('Données projet'!$B$14,Paramètres!$A$1:$I$89,3,0)*VLOOKUP('Données projet'!$B$14,Paramètres!$A$1:$I$89,5,0)</f>
        <v>-7.7147888077888636E-14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225.28075317732998</v>
      </c>
      <c r="DU95" s="59">
        <f t="shared" si="98"/>
        <v>358.43407531256207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0.65716980554938764</v>
      </c>
      <c r="EB95" s="21">
        <f>EXP(-LN(2)/25)*EB94+(1-EXP(-LN(2)/25))/(LN(2)/25)*Calculateur!DW95*Calculateur!DY95*VLOOKUP('Données projet'!$B$14,Paramètres!$A$1:$I$89,3,0)*0.475*44/12</f>
        <v>1.4827198860322728</v>
      </c>
      <c r="EC95" s="21">
        <f>EXP(-LN(2)/2)*EC94+(1-EXP(-LN(2)/2))/(LN(2)/2)*DW95*DZ95*VLOOKUP('Données projet'!$B$14,Paramètres!$A$1:$I$89,3,0)*0.475*44/12</f>
        <v>2.0554387546002509E-9</v>
      </c>
      <c r="ED95" s="22">
        <f t="shared" si="72"/>
        <v>2.1398896936370995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7.5871794871794922</v>
      </c>
      <c r="EJ95" s="12">
        <f>IF('Données projet'!$A$192&gt;35,EJ94+EI95-ER94,IF(A95&lt;'Données projet'!$A$192,$EG$205^A95,IF(A95='Données projet'!$A$192,'Données projet'!$B$192,EJ94+EI95-ER94)))</f>
        <v>292.75128205128192</v>
      </c>
      <c r="EK95" s="17">
        <f>EJ95*VLOOKUP('Données projet'!$B$15,Paramètres!$A$1:$I$89,3,0)*VLOOKUP('Données projet'!$B$15,Paramètres!$A$1:$I$89,5,0)</f>
        <v>296.84979999999985</v>
      </c>
      <c r="EL95" s="13">
        <f t="shared" si="99"/>
        <v>70.515655371384639</v>
      </c>
      <c r="EM95" s="20">
        <f t="shared" si="73"/>
        <v>639.82816810516135</v>
      </c>
      <c r="EN95" s="59">
        <f t="shared" si="74"/>
        <v>933.16150143849472</v>
      </c>
      <c r="EO95" s="59">
        <f ca="1">AVERAGE(OFFSET($EN$3,0,0,'Données projet'!$E$15+1,1))-AVERAGE(OFFSET($H$3,0,0,'Données projet'!$E$15+1,1))</f>
        <v>363.98308691765931</v>
      </c>
      <c r="EP95" s="59">
        <f t="shared" si="100"/>
        <v>181.47089407988187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7.5871794871794922</v>
      </c>
      <c r="FE95" s="12">
        <f>IF('Données projet'!$A$218&gt;35,FE94+FD95-FM94,IF(A95&lt;'Données projet'!$A$218,$FB$205^A95,IF(A95='Données projet'!$A$218,'Données projet'!$B$218,FE94+FD95-FM94)))</f>
        <v>292.75128205128192</v>
      </c>
      <c r="FF95" s="17">
        <f>FE95*VLOOKUP('Données projet'!$B$16,Paramètres!$A$1:$I$89,3,0)*VLOOKUP('Données projet'!$B$16,Paramètres!$A$1:$I$89,5,0)</f>
        <v>315.11747999999983</v>
      </c>
      <c r="FG95" s="13">
        <f t="shared" si="101"/>
        <v>74.336543128000869</v>
      </c>
      <c r="FH95" s="20">
        <f t="shared" si="76"/>
        <v>678.29909028126792</v>
      </c>
      <c r="FI95" s="59">
        <f t="shared" si="77"/>
        <v>971.63242361460129</v>
      </c>
      <c r="FJ95" s="59">
        <f ca="1">AVERAGE(OFFSET($FI$3,0,0,'Données projet'!$E$16+1,1))-AVERAGE(OFFSET($H$3,0,0,'Données projet'!$E$16+1,1))</f>
        <v>395.30533160963489</v>
      </c>
      <c r="FK95" s="59">
        <f t="shared" si="102"/>
        <v>196.02102977695085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2.9</v>
      </c>
      <c r="FZ95" s="12">
        <f>IF('Données projet'!$A$244&gt;35,FZ94+FY95-GH94,IF(A95&lt;'Données projet'!$A$244,$FW$205^A95,IF(A95='Données projet'!$A$244,'Données projet'!$B$244,FZ94+FY95-GH94)))</f>
        <v>227.79999999999981</v>
      </c>
      <c r="GA95" s="17">
        <f>FZ95*VLOOKUP('Données projet'!$B$17,Paramètres!$A$1:$I$89,3,0)*VLOOKUP('Données projet'!$B$17,Paramètres!$A$1:$I$89,5,0)</f>
        <v>238.09655999999984</v>
      </c>
      <c r="GB95" s="13">
        <f t="shared" si="103"/>
        <v>58.029806498941475</v>
      </c>
      <c r="GC95" s="20">
        <f t="shared" si="79"/>
        <v>515.7534216523228</v>
      </c>
      <c r="GD95" s="59">
        <f t="shared" si="80"/>
        <v>809.08675498565617</v>
      </c>
      <c r="GE95" s="59">
        <f ca="1">AVERAGE(OFFSET($GD$3,0,0,'Données projet'!$E$17+1,1))-AVERAGE(OFFSET($H$3,0,0,'Données projet'!$E$17+1,1))</f>
        <v>269.41185214595805</v>
      </c>
      <c r="GF95" s="59">
        <f t="shared" si="104"/>
        <v>299.70148160580993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1.8574937446035289</v>
      </c>
      <c r="GM95" s="21">
        <f>EXP(-LN(2)/25)*GM94+(1-EXP(-LN(2)/25))/(LN(2)/25)*Calculateur!GH95*Calculateur!GJ95*VLOOKUP('Données projet'!$B$17,Paramètres!$A$1:$I$89,3,0)*0.475*44/12</f>
        <v>2.9079644645268363</v>
      </c>
      <c r="GN95" s="21">
        <f>EXP(-LN(2)/2)*GN94+(1-EXP(-LN(2)/2))/(LN(2)/2)*GH95*GK95*VLOOKUP('Données projet'!$B$17,Paramètres!$A$1:$I$89,3,0)*0.475*44/12</f>
        <v>8.8981672019406667E-9</v>
      </c>
      <c r="GO95" s="21">
        <f t="shared" si="81"/>
        <v>4.7654582180285328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5.6843418860808015E-14</v>
      </c>
      <c r="GV95" s="17">
        <f>GU95*VLOOKUP('Données projet'!$B$18,Paramètres!$A$1:$I$89,3,0)*VLOOKUP('Données projet'!$B$18,Paramètres!$A$1:$I$89,5,0)</f>
        <v>4.9658410716801891E-14</v>
      </c>
      <c r="GW95" s="13">
        <f t="shared" si="105"/>
        <v>8.0934058173791862E-13</v>
      </c>
      <c r="GX95" s="20">
        <f t="shared" si="82"/>
        <v>1.4960899118586383E-12</v>
      </c>
      <c r="GY95" s="59">
        <f t="shared" si="83"/>
        <v>293.33333333333479</v>
      </c>
      <c r="GZ95" s="59">
        <f ca="1">AVERAGE(OFFSET($GY$3,0,0,'Données projet'!$E$18+1,1))-AVERAGE(OFFSET($H$3,0,0,'Données projet'!$E$18+1,1))</f>
        <v>226.35975611953359</v>
      </c>
      <c r="HA95" s="59">
        <f t="shared" si="106"/>
        <v>271.65876694892461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2.0238685591128323</v>
      </c>
      <c r="HI95" s="21">
        <f>EXP(-LN(2)/2)*HI94+(1-EXP(-LN(2)/2))/(LN(2)/2)*HC95*HF95*VLOOKUP('Données projet'!$B$18,Paramètres!$A$1:$I$89,3,0)*0.475*44/12</f>
        <v>5.5025392852973015E-9</v>
      </c>
      <c r="HJ95" s="22">
        <f t="shared" si="84"/>
        <v>2.0238685646153716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7.5871794871794922</v>
      </c>
      <c r="N96" s="13">
        <f>IF('Données projet'!$A$36&gt;35,N95+M96-V95,IF(A96&lt;'Données projet'!$A$36,$K$205^A96,IF(A96='Données projet'!$A$36,'Données projet'!$B$36,N95+M96-V95)))</f>
        <v>300.33846153846139</v>
      </c>
      <c r="O96" s="13">
        <f>N96*VLOOKUP('Données projet'!$B$9,Paramètres!$A$1:$I$89,3,0)*VLOOKUP('Données projet'!$B$9,Paramètres!$A$1:$I$89,5,0)</f>
        <v>271.74623999999983</v>
      </c>
      <c r="P96" s="13">
        <f t="shared" si="87"/>
        <v>65.219726325816325</v>
      </c>
      <c r="Q96" s="20">
        <f t="shared" si="54"/>
        <v>586.88239135079641</v>
      </c>
      <c r="R96" s="59">
        <f t="shared" si="55"/>
        <v>880.21572468412978</v>
      </c>
      <c r="S96" s="59">
        <f ca="1">AVERAGE(OFFSET($R$3,0,0,'Données projet'!$E$9+1,1))-AVERAGE(OFFSET($H$3,0,0,'Données projet'!$E$9+1,1))</f>
        <v>309.07357540707869</v>
      </c>
      <c r="T96" s="59">
        <f t="shared" si="88"/>
        <v>155.9593924683299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2.9</v>
      </c>
      <c r="AI96" s="13">
        <f>IF('Données projet'!$A$62&gt;35,AI95+AH96-AQ95,IF(A96&lt;'Données projet'!$A$62,$AF$205^A96,IF(A96='Données projet'!$A$62,'Données projet'!$B$62,AI95+AH96-AQ95)))</f>
        <v>230.69999999999982</v>
      </c>
      <c r="AJ96" s="13">
        <f>AI96*VLOOKUP('Données projet'!$B$10,Paramètres!$A$1:$I$89,3,0)*VLOOKUP('Données projet'!$B$10,Paramètres!$A$1:$I$89,5,0)</f>
        <v>201.5395199999999</v>
      </c>
      <c r="AK96" s="13">
        <f t="shared" si="89"/>
        <v>50.082356480800321</v>
      </c>
      <c r="AL96" s="20">
        <f t="shared" si="58"/>
        <v>438.24143487072706</v>
      </c>
      <c r="AM96" s="59">
        <f t="shared" si="59"/>
        <v>731.57476820406032</v>
      </c>
      <c r="AN96" s="59">
        <f ca="1">AVERAGE(OFFSET($AM$3,0,0,'Données projet'!$E$10+1,1))-AVERAGE(OFFSET($H$3,0,0,'Données projet'!$E$10+1,1))</f>
        <v>210.07838338464626</v>
      </c>
      <c r="AO96" s="59">
        <f t="shared" si="90"/>
        <v>241.76003724236273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1.5220878778051543</v>
      </c>
      <c r="AV96" s="21">
        <f>EXP(-LN(2)/25)*AV95+(1-EXP(-LN(2)/25))/(LN(2)/25)*Calculateur!AQ96*Calculateur!AS96*VLOOKUP('Données projet'!$B$10,Paramètres!$A$1:$I$89,3,0)*0.475*44/12</f>
        <v>2.3640742881490167</v>
      </c>
      <c r="AW96" s="21">
        <f>EXP(-LN(2)/2)*AW95+(1-EXP(-LN(2)/2))/(LN(2)/2)*AQ96*AT96*VLOOKUP('Données projet'!$B$10,Paramètres!$A$1:$I$89,3,0)*0.475*44/12</f>
        <v>5.2589469349693124E-9</v>
      </c>
      <c r="AX96" s="21">
        <f t="shared" si="60"/>
        <v>3.886162171213118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2.2737367544323206E-13</v>
      </c>
      <c r="BE96" s="13">
        <f>BD96*VLOOKUP('Données projet'!$B$11,Paramètres!$A$1:$I$89,3,0)*VLOOKUP('Données projet'!$B$11,Paramètres!$A$1:$I$89,5,0)</f>
        <v>1.2414602679200471E-13</v>
      </c>
      <c r="BF96" s="13">
        <f t="shared" si="91"/>
        <v>1.8186582995804361E-12</v>
      </c>
      <c r="BG96" s="20">
        <f t="shared" si="61"/>
        <v>3.3837175350986671E-12</v>
      </c>
      <c r="BH96" s="59">
        <f t="shared" si="62"/>
        <v>293.33333333333672</v>
      </c>
      <c r="BI96" s="59">
        <f ca="1">AVERAGE(OFFSET($BH$3,0,0,'Données projet'!$E$11+1,1))-AVERAGE(OFFSET($H$3,0,0,'Données projet'!$E$11+1,1))</f>
        <v>168.72306536277267</v>
      </c>
      <c r="BJ96" s="59">
        <f t="shared" si="92"/>
        <v>203.35476578922339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0.87360738636934288</v>
      </c>
      <c r="BQ96" s="21">
        <f>EXP(-LN(2)/25)*BQ95+(1-EXP(-LN(2)/25))/(LN(2)/25)*Calculateur!BL96*Calculateur!BN96*VLOOKUP('Données projet'!$B$11,Paramètres!$A$1:$I$89,3,0)*0.475*44/12</f>
        <v>4.0072766528440322</v>
      </c>
      <c r="BR96" s="21">
        <f>EXP(-LN(2)/2)*BR95+(1-EXP(-LN(2)/2))/(LN(2)/2)*BL96*BO96*VLOOKUP('Données projet'!$B$11,Paramètres!$A$1:$I$89,3,0)*0.475*44/12</f>
        <v>6.5932971108326054E-9</v>
      </c>
      <c r="BS96" s="22">
        <f t="shared" si="63"/>
        <v>4.8808840458066722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11.242307692307691</v>
      </c>
      <c r="BY96" s="12">
        <f>IF('Données projet'!$A$114&gt;35,BY95+BX96-CG95,IF(A96&lt;'Données projet'!$A$114,$BV$205^A96,IF(A96='Données projet'!$A$114,'Données projet'!$B$114,BY95+BX96-CG95)))</f>
        <v>446.63846153846174</v>
      </c>
      <c r="BZ96" s="13">
        <f>BY96*VLOOKUP('Données projet'!$B$12,Paramètres!$A$1:$I$89,3,0)*VLOOKUP('Données projet'!$B$12,Paramètres!$A$1:$I$89,5,0)</f>
        <v>209.02680000000009</v>
      </c>
      <c r="CA96" s="13">
        <f t="shared" si="93"/>
        <v>51.722859553755349</v>
      </c>
      <c r="CB96" s="20">
        <f t="shared" si="64"/>
        <v>454.13899038945743</v>
      </c>
      <c r="CC96" s="59">
        <f t="shared" si="65"/>
        <v>747.47232372279075</v>
      </c>
      <c r="CD96" s="59">
        <f ca="1">AVERAGE(OFFSET($CC$3,0,0,'Données projet'!$E$12+1,1))-AVERAGE(OFFSET($H$3,0,0,'Données projet'!$E$12+1,1))</f>
        <v>158.58786357608489</v>
      </c>
      <c r="CE96" s="59">
        <f t="shared" si="94"/>
        <v>163.20074068819849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4.1677594708744434E-14</v>
      </c>
      <c r="CV96" s="13">
        <f t="shared" si="95"/>
        <v>6.9326303456159188E-13</v>
      </c>
      <c r="CW96" s="20">
        <f t="shared" si="67"/>
        <v>1.2800215959791691E-12</v>
      </c>
      <c r="CX96" s="59">
        <f t="shared" si="68"/>
        <v>293.33333333333462</v>
      </c>
      <c r="CY96" s="59">
        <f ca="1">AVERAGE(OFFSET($CX$3,0,0,'Données projet'!$E$13+1,1))-AVERAGE(OFFSET($H$3,0,0,'Données projet'!$E$13+1,1))</f>
        <v>178.12968684094687</v>
      </c>
      <c r="CZ96" s="59">
        <f t="shared" si="96"/>
        <v>219.36004077210373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1.3404280912978901</v>
      </c>
      <c r="DH96" s="21">
        <f>EXP(-LN(2)/2)*DH95+(1-EXP(-LN(2)/2))/(LN(2)/2)*DB96*DE96*VLOOKUP('Données projet'!$B$13,Paramètres!$A$1:$I$89,3,0)*0.475*44/12</f>
        <v>3.2655623855681745E-9</v>
      </c>
      <c r="DI96" s="22">
        <f t="shared" si="69"/>
        <v>1.3404280945634526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-8.5265128291212022E-14</v>
      </c>
      <c r="DP96" s="17">
        <f>DO96*VLOOKUP('Données projet'!$B$14,Paramètres!$A$1:$I$89,3,0)*VLOOKUP('Données projet'!$B$14,Paramètres!$A$1:$I$89,5,0)</f>
        <v>-7.7147888077888636E-14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225.28075317732998</v>
      </c>
      <c r="DU96" s="59">
        <f t="shared" si="98"/>
        <v>358.43407531256207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0.6442831064965665</v>
      </c>
      <c r="EB96" s="21">
        <f>EXP(-LN(2)/25)*EB95+(1-EXP(-LN(2)/25))/(LN(2)/25)*Calculateur!DW96*Calculateur!DY96*VLOOKUP('Données projet'!$B$14,Paramètres!$A$1:$I$89,3,0)*0.475*44/12</f>
        <v>1.4421748327758703</v>
      </c>
      <c r="EC96" s="21">
        <f>EXP(-LN(2)/2)*EC95+(1-EXP(-LN(2)/2))/(LN(2)/2)*DW96*DZ96*VLOOKUP('Données projet'!$B$14,Paramètres!$A$1:$I$89,3,0)*0.475*44/12</f>
        <v>1.4534146816914694E-9</v>
      </c>
      <c r="ED96" s="22">
        <f t="shared" si="72"/>
        <v>2.0864579407258517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7.5871794871794922</v>
      </c>
      <c r="EJ96" s="12">
        <f>IF('Données projet'!$A$192&gt;35,EJ95+EI96-ER95,IF(A96&lt;'Données projet'!$A$192,$EG$205^A96,IF(A96='Données projet'!$A$192,'Données projet'!$B$192,EJ95+EI96-ER95)))</f>
        <v>300.33846153846139</v>
      </c>
      <c r="EK96" s="17">
        <f>EJ96*VLOOKUP('Données projet'!$B$15,Paramètres!$A$1:$I$89,3,0)*VLOOKUP('Données projet'!$B$15,Paramètres!$A$1:$I$89,5,0)</f>
        <v>304.5431999999999</v>
      </c>
      <c r="EL96" s="13">
        <f t="shared" si="99"/>
        <v>72.12805794234923</v>
      </c>
      <c r="EM96" s="20">
        <f t="shared" si="73"/>
        <v>656.03577424959133</v>
      </c>
      <c r="EN96" s="59">
        <f t="shared" si="74"/>
        <v>949.3691075829247</v>
      </c>
      <c r="EO96" s="59">
        <f ca="1">AVERAGE(OFFSET($EN$3,0,0,'Données projet'!$E$15+1,1))-AVERAGE(OFFSET($H$3,0,0,'Données projet'!$E$15+1,1))</f>
        <v>363.98308691765931</v>
      </c>
      <c r="EP96" s="59">
        <f t="shared" si="100"/>
        <v>181.47089407988187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7.5871794871794922</v>
      </c>
      <c r="FE96" s="12">
        <f>IF('Données projet'!$A$218&gt;35,FE95+FD96-FM95,IF(A96&lt;'Données projet'!$A$218,$FB$205^A96,IF(A96='Données projet'!$A$218,'Données projet'!$B$218,FE95+FD96-FM95)))</f>
        <v>300.33846153846139</v>
      </c>
      <c r="FF96" s="17">
        <f>FE96*VLOOKUP('Données projet'!$B$16,Paramètres!$A$1:$I$89,3,0)*VLOOKUP('Données projet'!$B$16,Paramètres!$A$1:$I$89,5,0)</f>
        <v>323.28431999999981</v>
      </c>
      <c r="FG96" s="13">
        <f t="shared" si="101"/>
        <v>76.036313662996818</v>
      </c>
      <c r="FH96" s="20">
        <f t="shared" si="76"/>
        <v>695.48343696305244</v>
      </c>
      <c r="FI96" s="59">
        <f t="shared" si="77"/>
        <v>988.81677029638581</v>
      </c>
      <c r="FJ96" s="59">
        <f ca="1">AVERAGE(OFFSET($FI$3,0,0,'Données projet'!$E$16+1,1))-AVERAGE(OFFSET($H$3,0,0,'Données projet'!$E$16+1,1))</f>
        <v>395.30533160963489</v>
      </c>
      <c r="FK96" s="59">
        <f t="shared" si="102"/>
        <v>196.02102977695085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2.9</v>
      </c>
      <c r="FZ96" s="12">
        <f>IF('Données projet'!$A$244&gt;35,FZ95+FY96-GH95,IF(A96&lt;'Données projet'!$A$244,$FW$205^A96,IF(A96='Données projet'!$A$244,'Données projet'!$B$244,FZ95+FY96-GH95)))</f>
        <v>230.69999999999982</v>
      </c>
      <c r="GA96" s="17">
        <f>FZ96*VLOOKUP('Données projet'!$B$17,Paramètres!$A$1:$I$89,3,0)*VLOOKUP('Données projet'!$B$17,Paramètres!$A$1:$I$89,5,0)</f>
        <v>241.12763999999981</v>
      </c>
      <c r="GB96" s="13">
        <f t="shared" si="103"/>
        <v>58.68208149276532</v>
      </c>
      <c r="GC96" s="20">
        <f t="shared" si="79"/>
        <v>522.16859826656582</v>
      </c>
      <c r="GD96" s="59">
        <f t="shared" si="80"/>
        <v>815.50193159989908</v>
      </c>
      <c r="GE96" s="59">
        <f ca="1">AVERAGE(OFFSET($GD$3,0,0,'Données projet'!$E$17+1,1))-AVERAGE(OFFSET($H$3,0,0,'Données projet'!$E$17+1,1))</f>
        <v>269.41185214595805</v>
      </c>
      <c r="GF96" s="59">
        <f t="shared" si="104"/>
        <v>299.70148160580993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1.8210694252311674</v>
      </c>
      <c r="GM96" s="21">
        <f>EXP(-LN(2)/25)*GM95+(1-EXP(-LN(2)/25))/(LN(2)/25)*Calculateur!GH96*Calculateur!GJ96*VLOOKUP('Données projet'!$B$17,Paramètres!$A$1:$I$89,3,0)*0.475*44/12</f>
        <v>2.828446023321145</v>
      </c>
      <c r="GN96" s="21">
        <f>EXP(-LN(2)/2)*GN95+(1-EXP(-LN(2)/2))/(LN(2)/2)*GH96*GK96*VLOOKUP('Données projet'!$B$17,Paramètres!$A$1:$I$89,3,0)*0.475*44/12</f>
        <v>6.2919543686239728E-9</v>
      </c>
      <c r="GO96" s="21">
        <f t="shared" si="81"/>
        <v>4.6495154548442672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5.6843418860808015E-14</v>
      </c>
      <c r="GV96" s="17">
        <f>GU96*VLOOKUP('Données projet'!$B$18,Paramètres!$A$1:$I$89,3,0)*VLOOKUP('Données projet'!$B$18,Paramètres!$A$1:$I$89,5,0)</f>
        <v>4.9658410716801891E-14</v>
      </c>
      <c r="GW96" s="13">
        <f t="shared" si="105"/>
        <v>8.0934058173791862E-13</v>
      </c>
      <c r="GX96" s="20">
        <f t="shared" si="82"/>
        <v>1.4960899118586383E-12</v>
      </c>
      <c r="GY96" s="59">
        <f t="shared" si="83"/>
        <v>293.33333333333479</v>
      </c>
      <c r="GZ96" s="59">
        <f ca="1">AVERAGE(OFFSET($GY$3,0,0,'Données projet'!$E$18+1,1))-AVERAGE(OFFSET($H$3,0,0,'Données projet'!$E$18+1,1))</f>
        <v>226.35975611953359</v>
      </c>
      <c r="HA96" s="59">
        <f t="shared" si="106"/>
        <v>271.65876694892461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1.9685257669332699</v>
      </c>
      <c r="HI96" s="21">
        <f>EXP(-LN(2)/2)*HI95+(1-EXP(-LN(2)/2))/(LN(2)/2)*HC96*HF96*VLOOKUP('Données projet'!$B$18,Paramètres!$A$1:$I$89,3,0)*0.475*44/12</f>
        <v>3.8908828423791004E-9</v>
      </c>
      <c r="HJ96" s="22">
        <f t="shared" si="84"/>
        <v>1.9685257708241528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7.5871794871794922</v>
      </c>
      <c r="N97" s="13">
        <f>IF('Données projet'!$A$36&gt;35,N96+M97-V96,IF(A97&lt;'Données projet'!$A$36,$K$205^A97,IF(A97='Données projet'!$A$36,'Données projet'!$B$36,N96+M97-V96)))</f>
        <v>307.92564102564086</v>
      </c>
      <c r="O97" s="13">
        <f>N97*VLOOKUP('Données projet'!$B$9,Paramètres!$A$1:$I$89,3,0)*VLOOKUP('Données projet'!$B$9,Paramètres!$A$1:$I$89,5,0)</f>
        <v>278.6111199999998</v>
      </c>
      <c r="P97" s="13">
        <f t="shared" si="87"/>
        <v>66.673413721636678</v>
      </c>
      <c r="Q97" s="20">
        <f t="shared" si="54"/>
        <v>601.37056289851682</v>
      </c>
      <c r="R97" s="59">
        <f t="shared" si="55"/>
        <v>894.70389623185019</v>
      </c>
      <c r="S97" s="59">
        <f ca="1">AVERAGE(OFFSET($R$3,0,0,'Données projet'!$E$9+1,1))-AVERAGE(OFFSET($H$3,0,0,'Données projet'!$E$9+1,1))</f>
        <v>309.07357540707869</v>
      </c>
      <c r="T97" s="59">
        <f t="shared" si="88"/>
        <v>155.9593924683299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2.9</v>
      </c>
      <c r="AI97" s="13">
        <f>IF('Données projet'!$A$62&gt;35,AI96+AH97-AQ96,IF(A97&lt;'Données projet'!$A$62,$AF$205^A97,IF(A97='Données projet'!$A$62,'Données projet'!$B$62,AI96+AH97-AQ96)))</f>
        <v>233.59999999999982</v>
      </c>
      <c r="AJ97" s="13">
        <f>AI97*VLOOKUP('Données projet'!$B$10,Paramètres!$A$1:$I$89,3,0)*VLOOKUP('Données projet'!$B$10,Paramètres!$A$1:$I$89,5,0)</f>
        <v>204.07295999999988</v>
      </c>
      <c r="AK97" s="13">
        <f t="shared" si="89"/>
        <v>50.638228095278592</v>
      </c>
      <c r="AL97" s="20">
        <f t="shared" si="58"/>
        <v>443.62198593261002</v>
      </c>
      <c r="AM97" s="59">
        <f t="shared" si="59"/>
        <v>736.95531926594333</v>
      </c>
      <c r="AN97" s="59">
        <f ca="1">AVERAGE(OFFSET($AM$3,0,0,'Données projet'!$E$10+1,1))-AVERAGE(OFFSET($H$3,0,0,'Données projet'!$E$10+1,1))</f>
        <v>210.07838338464626</v>
      </c>
      <c r="AO97" s="59">
        <f t="shared" si="90"/>
        <v>241.76003724236273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1.4922406629033307</v>
      </c>
      <c r="AV97" s="21">
        <f>EXP(-LN(2)/25)*AV96+(1-EXP(-LN(2)/25))/(LN(2)/25)*Calculateur!AQ97*Calculateur!AS97*VLOOKUP('Données projet'!$B$10,Paramètres!$A$1:$I$89,3,0)*0.475*44/12</f>
        <v>2.299428552418318</v>
      </c>
      <c r="AW97" s="21">
        <f>EXP(-LN(2)/2)*AW96+(1-EXP(-LN(2)/2))/(LN(2)/2)*AQ97*AT97*VLOOKUP('Données projet'!$B$10,Paramètres!$A$1:$I$89,3,0)*0.475*44/12</f>
        <v>3.7186370396170108E-9</v>
      </c>
      <c r="AX97" s="21">
        <f t="shared" si="60"/>
        <v>3.7916692190402856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2.2737367544323206E-13</v>
      </c>
      <c r="BE97" s="13">
        <f>BD97*VLOOKUP('Données projet'!$B$11,Paramètres!$A$1:$I$89,3,0)*VLOOKUP('Données projet'!$B$11,Paramètres!$A$1:$I$89,5,0)</f>
        <v>1.2414602679200471E-13</v>
      </c>
      <c r="BF97" s="13">
        <f t="shared" si="91"/>
        <v>1.8186582995804361E-12</v>
      </c>
      <c r="BG97" s="20">
        <f t="shared" si="61"/>
        <v>3.3837175350986671E-12</v>
      </c>
      <c r="BH97" s="59">
        <f t="shared" si="62"/>
        <v>293.33333333333672</v>
      </c>
      <c r="BI97" s="59">
        <f ca="1">AVERAGE(OFFSET($BH$3,0,0,'Données projet'!$E$11+1,1))-AVERAGE(OFFSET($H$3,0,0,'Données projet'!$E$11+1,1))</f>
        <v>168.72306536277267</v>
      </c>
      <c r="BJ97" s="59">
        <f t="shared" si="92"/>
        <v>203.35476578922339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0.85647647837053142</v>
      </c>
      <c r="BQ97" s="21">
        <f>EXP(-LN(2)/25)*BQ96+(1-EXP(-LN(2)/25))/(LN(2)/25)*Calculateur!BL97*Calculateur!BN97*VLOOKUP('Données projet'!$B$11,Paramètres!$A$1:$I$89,3,0)*0.475*44/12</f>
        <v>3.8976974620384919</v>
      </c>
      <c r="BR97" s="21">
        <f>EXP(-LN(2)/2)*BR96+(1-EXP(-LN(2)/2))/(LN(2)/2)*BL97*BO97*VLOOKUP('Données projet'!$B$11,Paramètres!$A$1:$I$89,3,0)*0.475*44/12</f>
        <v>4.662165097447407E-9</v>
      </c>
      <c r="BS97" s="22">
        <f t="shared" si="63"/>
        <v>4.7541739450711882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11.242307692307691</v>
      </c>
      <c r="BY97" s="12">
        <f>IF('Données projet'!$A$114&gt;35,BY96+BX97-CG96,IF(A97&lt;'Données projet'!$A$114,$BV$205^A97,IF(A97='Données projet'!$A$114,'Données projet'!$B$114,BY96+BX97-CG96)))</f>
        <v>457.88076923076943</v>
      </c>
      <c r="BZ97" s="13">
        <f>BY97*VLOOKUP('Données projet'!$B$12,Paramètres!$A$1:$I$89,3,0)*VLOOKUP('Données projet'!$B$12,Paramètres!$A$1:$I$89,5,0)</f>
        <v>214.28820000000007</v>
      </c>
      <c r="CA97" s="13">
        <f t="shared" si="93"/>
        <v>52.871559993650941</v>
      </c>
      <c r="CB97" s="20">
        <f t="shared" si="64"/>
        <v>465.3032486556088</v>
      </c>
      <c r="CC97" s="59">
        <f t="shared" si="65"/>
        <v>758.63658198894211</v>
      </c>
      <c r="CD97" s="59">
        <f ca="1">AVERAGE(OFFSET($CC$3,0,0,'Données projet'!$E$12+1,1))-AVERAGE(OFFSET($H$3,0,0,'Données projet'!$E$12+1,1))</f>
        <v>158.58786357608489</v>
      </c>
      <c r="CE97" s="59">
        <f t="shared" si="94"/>
        <v>163.20074068819849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4.1677594708744434E-14</v>
      </c>
      <c r="CV97" s="13">
        <f t="shared" si="95"/>
        <v>6.9326303456159188E-13</v>
      </c>
      <c r="CW97" s="20">
        <f t="shared" si="67"/>
        <v>1.2800215959791691E-12</v>
      </c>
      <c r="CX97" s="59">
        <f t="shared" si="68"/>
        <v>293.33333333333462</v>
      </c>
      <c r="CY97" s="59">
        <f ca="1">AVERAGE(OFFSET($CX$3,0,0,'Données projet'!$E$13+1,1))-AVERAGE(OFFSET($H$3,0,0,'Données projet'!$E$13+1,1))</f>
        <v>178.12968684094687</v>
      </c>
      <c r="CZ97" s="59">
        <f t="shared" si="96"/>
        <v>219.36004077210373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1.3037740146512995</v>
      </c>
      <c r="DH97" s="21">
        <f>EXP(-LN(2)/2)*DH96+(1-EXP(-LN(2)/2))/(LN(2)/2)*DB97*DE97*VLOOKUP('Données projet'!$B$13,Paramètres!$A$1:$I$89,3,0)*0.475*44/12</f>
        <v>2.3091013072229752E-9</v>
      </c>
      <c r="DI97" s="22">
        <f t="shared" si="69"/>
        <v>1.3037740169604008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-8.5265128291212022E-14</v>
      </c>
      <c r="DP97" s="17">
        <f>DO97*VLOOKUP('Données projet'!$B$14,Paramètres!$A$1:$I$89,3,0)*VLOOKUP('Données projet'!$B$14,Paramètres!$A$1:$I$89,5,0)</f>
        <v>-7.7147888077888636E-14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225.28075317732998</v>
      </c>
      <c r="DU97" s="59">
        <f t="shared" si="98"/>
        <v>358.43407531256207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0.63164910775206085</v>
      </c>
      <c r="EB97" s="21">
        <f>EXP(-LN(2)/25)*EB96+(1-EXP(-LN(2)/25))/(LN(2)/25)*Calculateur!DW97*Calculateur!DY97*VLOOKUP('Données projet'!$B$14,Paramètres!$A$1:$I$89,3,0)*0.475*44/12</f>
        <v>1.4027384861329357</v>
      </c>
      <c r="EC97" s="21">
        <f>EXP(-LN(2)/2)*EC96+(1-EXP(-LN(2)/2))/(LN(2)/2)*DW97*DZ97*VLOOKUP('Données projet'!$B$14,Paramètres!$A$1:$I$89,3,0)*0.475*44/12</f>
        <v>1.0277193773001255E-9</v>
      </c>
      <c r="ED97" s="22">
        <f t="shared" si="72"/>
        <v>2.0343875949127157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7.5871794871794922</v>
      </c>
      <c r="EJ97" s="12">
        <f>IF('Données projet'!$A$192&gt;35,EJ96+EI97-ER96,IF(A97&lt;'Données projet'!$A$192,$EG$205^A97,IF(A97='Données projet'!$A$192,'Données projet'!$B$192,EJ96+EI97-ER96)))</f>
        <v>307.92564102564086</v>
      </c>
      <c r="EK97" s="17">
        <f>EJ97*VLOOKUP('Données projet'!$B$15,Paramètres!$A$1:$I$89,3,0)*VLOOKUP('Données projet'!$B$15,Paramètres!$A$1:$I$89,5,0)</f>
        <v>312.23659999999984</v>
      </c>
      <c r="EL97" s="13">
        <f t="shared" si="99"/>
        <v>73.735725662265509</v>
      </c>
      <c r="EM97" s="20">
        <f t="shared" si="73"/>
        <v>672.23513386177876</v>
      </c>
      <c r="EN97" s="59">
        <f t="shared" si="74"/>
        <v>965.56846719511213</v>
      </c>
      <c r="EO97" s="59">
        <f ca="1">AVERAGE(OFFSET($EN$3,0,0,'Données projet'!$E$15+1,1))-AVERAGE(OFFSET($H$3,0,0,'Données projet'!$E$15+1,1))</f>
        <v>363.98308691765931</v>
      </c>
      <c r="EP97" s="59">
        <f t="shared" si="100"/>
        <v>181.47089407988187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7.5871794871794922</v>
      </c>
      <c r="FE97" s="12">
        <f>IF('Données projet'!$A$218&gt;35,FE96+FD97-FM96,IF(A97&lt;'Données projet'!$A$218,$FB$205^A97,IF(A97='Données projet'!$A$218,'Données projet'!$B$218,FE96+FD97-FM96)))</f>
        <v>307.92564102564086</v>
      </c>
      <c r="FF97" s="17">
        <f>FE97*VLOOKUP('Données projet'!$B$16,Paramètres!$A$1:$I$89,3,0)*VLOOKUP('Données projet'!$B$16,Paramètres!$A$1:$I$89,5,0)</f>
        <v>331.45115999999979</v>
      </c>
      <c r="FG97" s="13">
        <f t="shared" si="101"/>
        <v>77.731092789243831</v>
      </c>
      <c r="FH97" s="20">
        <f t="shared" si="76"/>
        <v>712.65909027459929</v>
      </c>
      <c r="FI97" s="59">
        <f t="shared" si="77"/>
        <v>1005.9924236079326</v>
      </c>
      <c r="FJ97" s="59">
        <f ca="1">AVERAGE(OFFSET($FI$3,0,0,'Données projet'!$E$16+1,1))-AVERAGE(OFFSET($H$3,0,0,'Données projet'!$E$16+1,1))</f>
        <v>395.30533160963489</v>
      </c>
      <c r="FK97" s="59">
        <f t="shared" si="102"/>
        <v>196.02102977695085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2.9</v>
      </c>
      <c r="FZ97" s="12">
        <f>IF('Données projet'!$A$244&gt;35,FZ96+FY97-GH96,IF(A97&lt;'Données projet'!$A$244,$FW$205^A97,IF(A97='Données projet'!$A$244,'Données projet'!$B$244,FZ96+FY97-GH96)))</f>
        <v>233.59999999999982</v>
      </c>
      <c r="GA97" s="17">
        <f>FZ97*VLOOKUP('Données projet'!$B$17,Paramètres!$A$1:$I$89,3,0)*VLOOKUP('Données projet'!$B$17,Paramètres!$A$1:$I$89,5,0)</f>
        <v>244.15871999999982</v>
      </c>
      <c r="GB97" s="13">
        <f t="shared" si="103"/>
        <v>59.333402749839735</v>
      </c>
      <c r="GC97" s="20">
        <f t="shared" si="79"/>
        <v>528.58211378930389</v>
      </c>
      <c r="GD97" s="59">
        <f t="shared" si="80"/>
        <v>821.91544712263726</v>
      </c>
      <c r="GE97" s="59">
        <f ca="1">AVERAGE(OFFSET($GD$3,0,0,'Données projet'!$E$17+1,1))-AVERAGE(OFFSET($H$3,0,0,'Données projet'!$E$17+1,1))</f>
        <v>269.41185214595805</v>
      </c>
      <c r="GF97" s="59">
        <f t="shared" si="104"/>
        <v>299.70148160580993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1.7853593645450569</v>
      </c>
      <c r="GM97" s="21">
        <f>EXP(-LN(2)/25)*GM96+(1-EXP(-LN(2)/25))/(LN(2)/25)*Calculateur!GH97*Calculateur!GJ97*VLOOKUP('Données projet'!$B$17,Paramètres!$A$1:$I$89,3,0)*0.475*44/12</f>
        <v>2.7511020180719163</v>
      </c>
      <c r="GN97" s="21">
        <f>EXP(-LN(2)/2)*GN96+(1-EXP(-LN(2)/2))/(LN(2)/2)*GH97*GK97*VLOOKUP('Données projet'!$B$17,Paramètres!$A$1:$I$89,3,0)*0.475*44/12</f>
        <v>4.4490836009703333E-9</v>
      </c>
      <c r="GO97" s="21">
        <f t="shared" si="81"/>
        <v>4.5364613870660575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5.6843418860808015E-14</v>
      </c>
      <c r="GV97" s="17">
        <f>GU97*VLOOKUP('Données projet'!$B$18,Paramètres!$A$1:$I$89,3,0)*VLOOKUP('Données projet'!$B$18,Paramètres!$A$1:$I$89,5,0)</f>
        <v>4.9658410716801891E-14</v>
      </c>
      <c r="GW97" s="13">
        <f t="shared" si="105"/>
        <v>8.0934058173791862E-13</v>
      </c>
      <c r="GX97" s="20">
        <f t="shared" si="82"/>
        <v>1.4960899118586383E-12</v>
      </c>
      <c r="GY97" s="59">
        <f t="shared" si="83"/>
        <v>293.33333333333479</v>
      </c>
      <c r="GZ97" s="59">
        <f ca="1">AVERAGE(OFFSET($GY$3,0,0,'Données projet'!$E$18+1,1))-AVERAGE(OFFSET($H$3,0,0,'Données projet'!$E$18+1,1))</f>
        <v>226.35975611953359</v>
      </c>
      <c r="HA97" s="59">
        <f t="shared" si="106"/>
        <v>271.65876694892461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1.9146963263162087</v>
      </c>
      <c r="HI97" s="21">
        <f>EXP(-LN(2)/2)*HI96+(1-EXP(-LN(2)/2))/(LN(2)/2)*HC97*HF97*VLOOKUP('Données projet'!$B$18,Paramètres!$A$1:$I$89,3,0)*0.475*44/12</f>
        <v>2.7512696426486507E-9</v>
      </c>
      <c r="HJ97" s="22">
        <f t="shared" si="84"/>
        <v>1.9146963290674783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7.5871794871794922</v>
      </c>
      <c r="N98" s="13">
        <f>IF('Données projet'!$A$36&gt;35,N97+M98-V97,IF(A98&lt;'Données projet'!$A$36,$K$205^A98,IF(A98='Données projet'!$A$36,'Données projet'!$B$36,N97+M98-V97)))</f>
        <v>315.51282051282033</v>
      </c>
      <c r="O98" s="13">
        <f>N98*VLOOKUP('Données projet'!$B$9,Paramètres!$A$1:$I$89,3,0)*VLOOKUP('Données projet'!$B$9,Paramètres!$A$1:$I$89,5,0)</f>
        <v>285.47599999999983</v>
      </c>
      <c r="P98" s="13">
        <f t="shared" si="87"/>
        <v>68.122937389828735</v>
      </c>
      <c r="Q98" s="20">
        <f t="shared" si="54"/>
        <v>615.85148262061796</v>
      </c>
      <c r="R98" s="59">
        <f t="shared" si="55"/>
        <v>909.18481595395133</v>
      </c>
      <c r="S98" s="59">
        <f ca="1">AVERAGE(OFFSET($R$3,0,0,'Données projet'!$E$9+1,1))-AVERAGE(OFFSET($H$3,0,0,'Données projet'!$E$9+1,1))</f>
        <v>309.07357540707869</v>
      </c>
      <c r="T98" s="59">
        <f t="shared" si="88"/>
        <v>155.9593924683299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2.9</v>
      </c>
      <c r="AI98" s="13">
        <f>IF('Données projet'!$A$62&gt;35,AI97+AH98-AQ97,IF(A98&lt;'Données projet'!$A$62,$AF$205^A98,IF(A98='Données projet'!$A$62,'Données projet'!$B$62,AI97+AH98-AQ97)))</f>
        <v>236.49999999999983</v>
      </c>
      <c r="AJ98" s="13">
        <f>AI98*VLOOKUP('Données projet'!$B$10,Paramètres!$A$1:$I$89,3,0)*VLOOKUP('Données projet'!$B$10,Paramètres!$A$1:$I$89,5,0)</f>
        <v>206.60639999999987</v>
      </c>
      <c r="AK98" s="13">
        <f t="shared" si="89"/>
        <v>51.193297014518976</v>
      </c>
      <c r="AL98" s="20">
        <f t="shared" si="58"/>
        <v>449.00113896695365</v>
      </c>
      <c r="AM98" s="59">
        <f t="shared" si="59"/>
        <v>742.33447230028696</v>
      </c>
      <c r="AN98" s="59">
        <f ca="1">AVERAGE(OFFSET($AM$3,0,0,'Données projet'!$E$10+1,1))-AVERAGE(OFFSET($H$3,0,0,'Données projet'!$E$10+1,1))</f>
        <v>210.07838338464626</v>
      </c>
      <c r="AO98" s="59">
        <f t="shared" si="90"/>
        <v>241.76003724236273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1.4629787336807283</v>
      </c>
      <c r="AV98" s="21">
        <f>EXP(-LN(2)/25)*AV97+(1-EXP(-LN(2)/25))/(LN(2)/25)*Calculateur!AQ98*Calculateur!AS98*VLOOKUP('Données projet'!$B$10,Paramètres!$A$1:$I$89,3,0)*0.475*44/12</f>
        <v>2.2365505577307467</v>
      </c>
      <c r="AW98" s="21">
        <f>EXP(-LN(2)/2)*AW97+(1-EXP(-LN(2)/2))/(LN(2)/2)*AQ98*AT98*VLOOKUP('Données projet'!$B$10,Paramètres!$A$1:$I$89,3,0)*0.475*44/12</f>
        <v>2.6294734674846566E-9</v>
      </c>
      <c r="AX98" s="21">
        <f t="shared" si="60"/>
        <v>3.6995292940409485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2.2737367544323206E-13</v>
      </c>
      <c r="BE98" s="13">
        <f>BD98*VLOOKUP('Données projet'!$B$11,Paramètres!$A$1:$I$89,3,0)*VLOOKUP('Données projet'!$B$11,Paramètres!$A$1:$I$89,5,0)</f>
        <v>1.2414602679200471E-13</v>
      </c>
      <c r="BF98" s="13">
        <f t="shared" si="91"/>
        <v>1.8186582995804361E-12</v>
      </c>
      <c r="BG98" s="20">
        <f t="shared" si="61"/>
        <v>3.3837175350986671E-12</v>
      </c>
      <c r="BH98" s="59">
        <f t="shared" si="62"/>
        <v>293.33333333333672</v>
      </c>
      <c r="BI98" s="59">
        <f ca="1">AVERAGE(OFFSET($BH$3,0,0,'Données projet'!$E$11+1,1))-AVERAGE(OFFSET($H$3,0,0,'Données projet'!$E$11+1,1))</f>
        <v>168.72306536277267</v>
      </c>
      <c r="BJ98" s="59">
        <f t="shared" si="92"/>
        <v>203.35476578922339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0.8396814970287545</v>
      </c>
      <c r="BQ98" s="21">
        <f>EXP(-LN(2)/25)*BQ97+(1-EXP(-LN(2)/25))/(LN(2)/25)*Calculateur!BL98*Calculateur!BN98*VLOOKUP('Données projet'!$B$11,Paramètres!$A$1:$I$89,3,0)*0.475*44/12</f>
        <v>3.7911147199680482</v>
      </c>
      <c r="BR98" s="21">
        <f>EXP(-LN(2)/2)*BR97+(1-EXP(-LN(2)/2))/(LN(2)/2)*BL98*BO98*VLOOKUP('Données projet'!$B$11,Paramètres!$A$1:$I$89,3,0)*0.475*44/12</f>
        <v>3.2966485554163027E-9</v>
      </c>
      <c r="BS98" s="22">
        <f t="shared" si="63"/>
        <v>4.6307962202934512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469.12307692307689</v>
      </c>
      <c r="BW98" s="12">
        <f>VLOOKUP(A98,'Données projet'!$A$113:$I$133,9,0)</f>
        <v>11.242307692307691</v>
      </c>
      <c r="BX98" s="12">
        <f t="array" ref="BX98">INDEX(BW:BW,MIN(IF(ISNUMBER(BW98:BW294),ROW(BW98:BW294),"")))</f>
        <v>11.242307692307691</v>
      </c>
      <c r="BY98" s="12">
        <f>IF('Données projet'!$A$114&gt;35,BY97+BX98-CG97,IF(A98&lt;'Données projet'!$A$114,$BV$205^A98,IF(A98='Données projet'!$A$114,'Données projet'!$B$114,BY97+BX98-CG97)))</f>
        <v>469.12307692307712</v>
      </c>
      <c r="BZ98" s="13">
        <f>BY98*VLOOKUP('Données projet'!$B$12,Paramètres!$A$1:$I$89,3,0)*VLOOKUP('Données projet'!$B$12,Paramètres!$A$1:$I$89,5,0)</f>
        <v>219.54960000000008</v>
      </c>
      <c r="CA98" s="13">
        <f t="shared" si="93"/>
        <v>54.016981833057052</v>
      </c>
      <c r="CB98" s="20">
        <f t="shared" si="64"/>
        <v>476.46179669257441</v>
      </c>
      <c r="CC98" s="59">
        <f t="shared" si="65"/>
        <v>769.79513002590772</v>
      </c>
      <c r="CD98" s="59">
        <f ca="1">AVERAGE(OFFSET($CC$3,0,0,'Données projet'!$E$12+1,1))-AVERAGE(OFFSET($H$3,0,0,'Données projet'!$E$12+1,1))</f>
        <v>158.58786357608489</v>
      </c>
      <c r="CE98" s="59">
        <f t="shared" si="94"/>
        <v>163.20074068819849</v>
      </c>
      <c r="CF98" s="15">
        <f>IF(ISNA(VLOOKUP(A98,'Données projet'!$A$113:$I$133,3,0)),0,VLOOKUP(A98,'Données projet'!$A$113:$I$133,3,0))</f>
        <v>8</v>
      </c>
      <c r="CG98" s="15">
        <f>IF(ISNA(VLOOKUP(A98,'Données projet'!$A$113:$I$133,4,0)),0,VLOOKUP(A98,'Données projet'!$A$113:$I$133,4,0))</f>
        <v>234.42307692307691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4.1677594708744434E-14</v>
      </c>
      <c r="CV98" s="13">
        <f t="shared" si="95"/>
        <v>6.9326303456159188E-13</v>
      </c>
      <c r="CW98" s="20">
        <f t="shared" si="67"/>
        <v>1.2800215959791691E-12</v>
      </c>
      <c r="CX98" s="59">
        <f t="shared" si="68"/>
        <v>293.33333333333462</v>
      </c>
      <c r="CY98" s="59">
        <f ca="1">AVERAGE(OFFSET($CX$3,0,0,'Données projet'!$E$13+1,1))-AVERAGE(OFFSET($H$3,0,0,'Données projet'!$E$13+1,1))</f>
        <v>178.12968684094687</v>
      </c>
      <c r="CZ98" s="59">
        <f t="shared" si="96"/>
        <v>219.36004077210373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1.268122245658164</v>
      </c>
      <c r="DH98" s="21">
        <f>EXP(-LN(2)/2)*DH97+(1-EXP(-LN(2)/2))/(LN(2)/2)*DB98*DE98*VLOOKUP('Données projet'!$B$13,Paramètres!$A$1:$I$89,3,0)*0.475*44/12</f>
        <v>1.6327811927840872E-9</v>
      </c>
      <c r="DI98" s="22">
        <f t="shared" si="69"/>
        <v>1.2681222472909452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-8.5265128291212022E-14</v>
      </c>
      <c r="DP98" s="17">
        <f>DO98*VLOOKUP('Données projet'!$B$14,Paramètres!$A$1:$I$89,3,0)*VLOOKUP('Données projet'!$B$14,Paramètres!$A$1:$I$89,5,0)</f>
        <v>-7.7147888077888636E-14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225.28075317732998</v>
      </c>
      <c r="DU98" s="59">
        <f t="shared" si="98"/>
        <v>358.43407531256207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0.61926285401695658</v>
      </c>
      <c r="EB98" s="21">
        <f>EXP(-LN(2)/25)*EB97+(1-EXP(-LN(2)/25))/(LN(2)/25)*Calculateur!DW98*Calculateur!DY98*VLOOKUP('Données projet'!$B$14,Paramètres!$A$1:$I$89,3,0)*0.475*44/12</f>
        <v>1.3643805284628197</v>
      </c>
      <c r="EC98" s="21">
        <f>EXP(-LN(2)/2)*EC97+(1-EXP(-LN(2)/2))/(LN(2)/2)*DW98*DZ98*VLOOKUP('Données projet'!$B$14,Paramètres!$A$1:$I$89,3,0)*0.475*44/12</f>
        <v>7.2670734084573469E-10</v>
      </c>
      <c r="ED98" s="22">
        <f t="shared" si="72"/>
        <v>1.9836433832064835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7.5871794871794922</v>
      </c>
      <c r="EJ98" s="12">
        <f>IF('Données projet'!$A$192&gt;35,EJ97+EI98-ER97,IF(A98&lt;'Données projet'!$A$192,$EG$205^A98,IF(A98='Données projet'!$A$192,'Données projet'!$B$192,EJ97+EI98-ER97)))</f>
        <v>315.51282051282033</v>
      </c>
      <c r="EK98" s="17">
        <f>EJ98*VLOOKUP('Données projet'!$B$15,Paramètres!$A$1:$I$89,3,0)*VLOOKUP('Données projet'!$B$15,Paramètres!$A$1:$I$89,5,0)</f>
        <v>319.92999999999984</v>
      </c>
      <c r="EL98" s="13">
        <f t="shared" si="99"/>
        <v>75.338788616039011</v>
      </c>
      <c r="EM98" s="20">
        <f t="shared" si="73"/>
        <v>688.4264735062676</v>
      </c>
      <c r="EN98" s="59">
        <f t="shared" si="74"/>
        <v>981.75980683960097</v>
      </c>
      <c r="EO98" s="59">
        <f ca="1">AVERAGE(OFFSET($EN$3,0,0,'Données projet'!$E$15+1,1))-AVERAGE(OFFSET($H$3,0,0,'Données projet'!$E$15+1,1))</f>
        <v>363.98308691765931</v>
      </c>
      <c r="EP98" s="59">
        <f t="shared" si="100"/>
        <v>181.47089407988187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7.5871794871794922</v>
      </c>
      <c r="FE98" s="12">
        <f>IF('Données projet'!$A$218&gt;35,FE97+FD98-FM97,IF(A98&lt;'Données projet'!$A$218,$FB$205^A98,IF(A98='Données projet'!$A$218,'Données projet'!$B$218,FE97+FD98-FM97)))</f>
        <v>315.51282051282033</v>
      </c>
      <c r="FF98" s="17">
        <f>FE98*VLOOKUP('Données projet'!$B$16,Paramètres!$A$1:$I$89,3,0)*VLOOKUP('Données projet'!$B$16,Paramètres!$A$1:$I$89,5,0)</f>
        <v>339.61799999999977</v>
      </c>
      <c r="FG98" s="13">
        <f t="shared" si="101"/>
        <v>79.421017640292476</v>
      </c>
      <c r="FH98" s="20">
        <f t="shared" si="76"/>
        <v>729.82628905684226</v>
      </c>
      <c r="FI98" s="59">
        <f t="shared" si="77"/>
        <v>1023.1596223901756</v>
      </c>
      <c r="FJ98" s="59">
        <f ca="1">AVERAGE(OFFSET($FI$3,0,0,'Données projet'!$E$16+1,1))-AVERAGE(OFFSET($H$3,0,0,'Données projet'!$E$16+1,1))</f>
        <v>395.30533160963489</v>
      </c>
      <c r="FK98" s="59">
        <f t="shared" si="102"/>
        <v>196.02102977695085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2.9</v>
      </c>
      <c r="FZ98" s="12">
        <f>IF('Données projet'!$A$244&gt;35,FZ97+FY98-GH97,IF(A98&lt;'Données projet'!$A$244,$FW$205^A98,IF(A98='Données projet'!$A$244,'Données projet'!$B$244,FZ97+FY98-GH97)))</f>
        <v>236.49999999999983</v>
      </c>
      <c r="GA98" s="17">
        <f>FZ98*VLOOKUP('Données projet'!$B$17,Paramètres!$A$1:$I$89,3,0)*VLOOKUP('Données projet'!$B$17,Paramètres!$A$1:$I$89,5,0)</f>
        <v>247.18979999999985</v>
      </c>
      <c r="GB98" s="13">
        <f t="shared" si="103"/>
        <v>59.983783479537529</v>
      </c>
      <c r="GC98" s="20">
        <f t="shared" si="79"/>
        <v>534.99399122686089</v>
      </c>
      <c r="GD98" s="59">
        <f t="shared" si="80"/>
        <v>828.32732456019426</v>
      </c>
      <c r="GE98" s="59">
        <f ca="1">AVERAGE(OFFSET($GD$3,0,0,'Données projet'!$E$17+1,1))-AVERAGE(OFFSET($H$3,0,0,'Données projet'!$E$17+1,1))</f>
        <v>269.41185214595805</v>
      </c>
      <c r="GF98" s="59">
        <f t="shared" si="104"/>
        <v>299.70148160580993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1.7503495563680147</v>
      </c>
      <c r="GM98" s="21">
        <f>EXP(-LN(2)/25)*GM97+(1-EXP(-LN(2)/25))/(LN(2)/25)*Calculateur!GH98*Calculateur!GJ98*VLOOKUP('Données projet'!$B$17,Paramètres!$A$1:$I$89,3,0)*0.475*44/12</f>
        <v>2.6758729887135724</v>
      </c>
      <c r="GN98" s="21">
        <f>EXP(-LN(2)/2)*GN97+(1-EXP(-LN(2)/2))/(LN(2)/2)*GH98*GK98*VLOOKUP('Données projet'!$B$17,Paramètres!$A$1:$I$89,3,0)*0.475*44/12</f>
        <v>3.1459771843119864E-9</v>
      </c>
      <c r="GO98" s="21">
        <f t="shared" si="81"/>
        <v>4.4262225482275639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5.6843418860808015E-14</v>
      </c>
      <c r="GV98" s="17">
        <f>GU98*VLOOKUP('Données projet'!$B$18,Paramètres!$A$1:$I$89,3,0)*VLOOKUP('Données projet'!$B$18,Paramètres!$A$1:$I$89,5,0)</f>
        <v>4.9658410716801891E-14</v>
      </c>
      <c r="GW98" s="13">
        <f t="shared" si="105"/>
        <v>8.0934058173791862E-13</v>
      </c>
      <c r="GX98" s="20">
        <f t="shared" si="82"/>
        <v>1.4960899118586383E-12</v>
      </c>
      <c r="GY98" s="59">
        <f t="shared" si="83"/>
        <v>293.33333333333479</v>
      </c>
      <c r="GZ98" s="59">
        <f ca="1">AVERAGE(OFFSET($GY$3,0,0,'Données projet'!$E$18+1,1))-AVERAGE(OFFSET($H$3,0,0,'Données projet'!$E$18+1,1))</f>
        <v>226.35975611953359</v>
      </c>
      <c r="HA98" s="59">
        <f t="shared" si="106"/>
        <v>271.65876694892461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1.8623388545835882</v>
      </c>
      <c r="HI98" s="21">
        <f>EXP(-LN(2)/2)*HI97+(1-EXP(-LN(2)/2))/(LN(2)/2)*HC98*HF98*VLOOKUP('Données projet'!$B$18,Paramètres!$A$1:$I$89,3,0)*0.475*44/12</f>
        <v>1.9454414211895502E-9</v>
      </c>
      <c r="HJ98" s="22">
        <f t="shared" si="84"/>
        <v>1.8623388565290295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7.5871794871794922</v>
      </c>
      <c r="N99" s="13">
        <f>IF('Données projet'!$A$36&gt;35,N98+M99-V98,IF(A99&lt;'Données projet'!$A$36,$K$205^A99,IF(A99='Données projet'!$A$36,'Données projet'!$B$36,N98+M99-V98)))</f>
        <v>323.0999999999998</v>
      </c>
      <c r="O99" s="13">
        <f>N99*VLOOKUP('Données projet'!$B$9,Paramètres!$A$1:$I$89,3,0)*VLOOKUP('Données projet'!$B$9,Paramètres!$A$1:$I$89,5,0)</f>
        <v>292.3408799999998</v>
      </c>
      <c r="P99" s="13">
        <f t="shared" si="87"/>
        <v>69.568408976210563</v>
      </c>
      <c r="Q99" s="20">
        <f t="shared" ref="Q99:Q130" si="107">(O99+P99)*0.475*44/12</f>
        <v>630.32534496689959</v>
      </c>
      <c r="R99" s="59">
        <f t="shared" si="55"/>
        <v>923.65867830023285</v>
      </c>
      <c r="S99" s="59">
        <f ca="1">AVERAGE(OFFSET($R$3,0,0,'Données projet'!$E$9+1,1))-AVERAGE(OFFSET($H$3,0,0,'Données projet'!$E$9+1,1))</f>
        <v>309.07357540707869</v>
      </c>
      <c r="T99" s="59">
        <f t="shared" si="88"/>
        <v>155.9593924683299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2.9</v>
      </c>
      <c r="AI99" s="13">
        <f>IF('Données projet'!$A$62&gt;35,AI98+AH99-AQ98,IF(A99&lt;'Données projet'!$A$62,$AF$205^A99,IF(A99='Données projet'!$A$62,'Données projet'!$B$62,AI98+AH99-AQ98)))</f>
        <v>239.39999999999984</v>
      </c>
      <c r="AJ99" s="13">
        <f>AI99*VLOOKUP('Données projet'!$B$10,Paramètres!$A$1:$I$89,3,0)*VLOOKUP('Données projet'!$B$10,Paramètres!$A$1:$I$89,5,0)</f>
        <v>209.13983999999985</v>
      </c>
      <c r="AK99" s="13">
        <f t="shared" si="89"/>
        <v>51.747574219710216</v>
      </c>
      <c r="AL99" s="20">
        <f t="shared" si="58"/>
        <v>454.37891309932837</v>
      </c>
      <c r="AM99" s="59">
        <f t="shared" si="59"/>
        <v>747.71224643266169</v>
      </c>
      <c r="AN99" s="59">
        <f ca="1">AVERAGE(OFFSET($AM$3,0,0,'Données projet'!$E$10+1,1))-AVERAGE(OFFSET($H$3,0,0,'Données projet'!$E$10+1,1))</f>
        <v>210.07838338464626</v>
      </c>
      <c r="AO99" s="59">
        <f t="shared" si="90"/>
        <v>241.76003724236273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1.4342906130421667</v>
      </c>
      <c r="AV99" s="21">
        <f>EXP(-LN(2)/25)*AV98+(1-EXP(-LN(2)/25))/(LN(2)/25)*Calculateur!AQ99*Calculateur!AS99*VLOOKUP('Données projet'!$B$10,Paramètres!$A$1:$I$89,3,0)*0.475*44/12</f>
        <v>2.1753919651145175</v>
      </c>
      <c r="AW99" s="21">
        <f>EXP(-LN(2)/2)*AW98+(1-EXP(-LN(2)/2))/(LN(2)/2)*AQ99*AT99*VLOOKUP('Données projet'!$B$10,Paramètres!$A$1:$I$89,3,0)*0.475*44/12</f>
        <v>1.8593185198085056E-9</v>
      </c>
      <c r="AX99" s="21">
        <f t="shared" si="60"/>
        <v>3.6096825800160026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2.2737367544323206E-13</v>
      </c>
      <c r="BE99" s="13">
        <f>BD99*VLOOKUP('Données projet'!$B$11,Paramètres!$A$1:$I$89,3,0)*VLOOKUP('Données projet'!$B$11,Paramètres!$A$1:$I$89,5,0)</f>
        <v>1.2414602679200471E-13</v>
      </c>
      <c r="BF99" s="13">
        <f t="shared" si="91"/>
        <v>1.8186582995804361E-12</v>
      </c>
      <c r="BG99" s="20">
        <f t="shared" si="61"/>
        <v>3.3837175350986671E-12</v>
      </c>
      <c r="BH99" s="59">
        <f t="shared" si="62"/>
        <v>293.33333333333672</v>
      </c>
      <c r="BI99" s="59">
        <f ca="1">AVERAGE(OFFSET($BH$3,0,0,'Données projet'!$E$11+1,1))-AVERAGE(OFFSET($H$3,0,0,'Données projet'!$E$11+1,1))</f>
        <v>168.72306536277267</v>
      </c>
      <c r="BJ99" s="59">
        <f t="shared" si="92"/>
        <v>203.35476578922339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0.82321585502716266</v>
      </c>
      <c r="BQ99" s="21">
        <f>EXP(-LN(2)/25)*BQ98+(1-EXP(-LN(2)/25))/(LN(2)/25)*Calculateur!BL99*Calculateur!BN99*VLOOKUP('Données projet'!$B$11,Paramètres!$A$1:$I$89,3,0)*0.475*44/12</f>
        <v>3.6874464885844636</v>
      </c>
      <c r="BR99" s="21">
        <f>EXP(-LN(2)/2)*BR98+(1-EXP(-LN(2)/2))/(LN(2)/2)*BL99*BO99*VLOOKUP('Données projet'!$B$11,Paramètres!$A$1:$I$89,3,0)*0.475*44/12</f>
        <v>2.3310825487237035E-9</v>
      </c>
      <c r="BS99" s="22">
        <f t="shared" si="63"/>
        <v>4.5106623459427091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7.5015384615384617</v>
      </c>
      <c r="BY99" s="12">
        <f>IF('Données projet'!$A$114&gt;35,BY98+BX99-CG98,IF(A99&lt;'Données projet'!$A$114,$BV$205^A99,IF(A99='Données projet'!$A$114,'Données projet'!$B$114,BY98+BX99-CG98)))</f>
        <v>242.20153846153869</v>
      </c>
      <c r="BZ99" s="13">
        <f>BY99*VLOOKUP('Données projet'!$B$12,Paramètres!$A$1:$I$89,3,0)*VLOOKUP('Données projet'!$B$12,Paramètres!$A$1:$I$89,5,0)</f>
        <v>113.35032000000011</v>
      </c>
      <c r="CA99" s="13">
        <f t="shared" si="93"/>
        <v>30.118962463528121</v>
      </c>
      <c r="CB99" s="20">
        <f t="shared" si="64"/>
        <v>249.87566695731167</v>
      </c>
      <c r="CC99" s="59">
        <f t="shared" si="65"/>
        <v>543.20900029064501</v>
      </c>
      <c r="CD99" s="59">
        <f ca="1">AVERAGE(OFFSET($CC$3,0,0,'Données projet'!$E$12+1,1))-AVERAGE(OFFSET($H$3,0,0,'Données projet'!$E$12+1,1))</f>
        <v>158.58786357608489</v>
      </c>
      <c r="CE99" s="59">
        <f t="shared" si="94"/>
        <v>163.20074068819849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4.1677594708744434E-14</v>
      </c>
      <c r="CV99" s="13">
        <f t="shared" si="95"/>
        <v>6.9326303456159188E-13</v>
      </c>
      <c r="CW99" s="20">
        <f t="shared" si="67"/>
        <v>1.2800215959791691E-12</v>
      </c>
      <c r="CX99" s="59">
        <f t="shared" si="68"/>
        <v>293.33333333333462</v>
      </c>
      <c r="CY99" s="59">
        <f ca="1">AVERAGE(OFFSET($CX$3,0,0,'Données projet'!$E$13+1,1))-AVERAGE(OFFSET($H$3,0,0,'Données projet'!$E$13+1,1))</f>
        <v>178.12968684094687</v>
      </c>
      <c r="CZ99" s="59">
        <f t="shared" si="96"/>
        <v>219.36004077210373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1.2334453761629909</v>
      </c>
      <c r="DH99" s="21">
        <f>EXP(-LN(2)/2)*DH98+(1-EXP(-LN(2)/2))/(LN(2)/2)*DB99*DE99*VLOOKUP('Données projet'!$B$13,Paramètres!$A$1:$I$89,3,0)*0.475*44/12</f>
        <v>1.1545506536114876E-9</v>
      </c>
      <c r="DI99" s="22">
        <f t="shared" si="69"/>
        <v>1.2334453773175416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-8.5265128291212022E-14</v>
      </c>
      <c r="DP99" s="17">
        <f>DO99*VLOOKUP('Données projet'!$B$14,Paramètres!$A$1:$I$89,3,0)*VLOOKUP('Données projet'!$B$14,Paramètres!$A$1:$I$89,5,0)</f>
        <v>-7.7147888077888636E-14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225.28075317732998</v>
      </c>
      <c r="DU99" s="59">
        <f t="shared" si="98"/>
        <v>358.43407531256207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0.6071194871627289</v>
      </c>
      <c r="EB99" s="21">
        <f>EXP(-LN(2)/25)*EB98+(1-EXP(-LN(2)/25))/(LN(2)/25)*Calculateur!DW99*Calculateur!DY99*VLOOKUP('Données projet'!$B$14,Paramètres!$A$1:$I$89,3,0)*0.475*44/12</f>
        <v>1.3270714711623501</v>
      </c>
      <c r="EC99" s="21">
        <f>EXP(-LN(2)/2)*EC98+(1-EXP(-LN(2)/2))/(LN(2)/2)*DW99*DZ99*VLOOKUP('Données projet'!$B$14,Paramètres!$A$1:$I$89,3,0)*0.475*44/12</f>
        <v>5.1385968865006273E-10</v>
      </c>
      <c r="ED99" s="22">
        <f t="shared" si="72"/>
        <v>1.9341909588389385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7.5871794871794922</v>
      </c>
      <c r="EJ99" s="12">
        <f>IF('Données projet'!$A$192&gt;35,EJ98+EI99-ER98,IF(A99&lt;'Données projet'!$A$192,$EG$205^A99,IF(A99='Données projet'!$A$192,'Données projet'!$B$192,EJ98+EI99-ER98)))</f>
        <v>323.0999999999998</v>
      </c>
      <c r="EK99" s="17">
        <f>EJ99*VLOOKUP('Données projet'!$B$15,Paramètres!$A$1:$I$89,3,0)*VLOOKUP('Données projet'!$B$15,Paramètres!$A$1:$I$89,5,0)</f>
        <v>327.62339999999983</v>
      </c>
      <c r="EL99" s="13">
        <f t="shared" si="99"/>
        <v>76.937370275454882</v>
      </c>
      <c r="EM99" s="20">
        <f t="shared" si="73"/>
        <v>704.61000822975029</v>
      </c>
      <c r="EN99" s="59">
        <f t="shared" si="74"/>
        <v>997.94334156308355</v>
      </c>
      <c r="EO99" s="59">
        <f ca="1">AVERAGE(OFFSET($EN$3,0,0,'Données projet'!$E$15+1,1))-AVERAGE(OFFSET($H$3,0,0,'Données projet'!$E$15+1,1))</f>
        <v>363.98308691765931</v>
      </c>
      <c r="EP99" s="59">
        <f t="shared" si="100"/>
        <v>181.47089407988187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7.5871794871794922</v>
      </c>
      <c r="FE99" s="12">
        <f>IF('Données projet'!$A$218&gt;35,FE98+FD99-FM98,IF(A99&lt;'Données projet'!$A$218,$FB$205^A99,IF(A99='Données projet'!$A$218,'Données projet'!$B$218,FE98+FD99-FM98)))</f>
        <v>323.0999999999998</v>
      </c>
      <c r="FF99" s="17">
        <f>FE99*VLOOKUP('Données projet'!$B$16,Paramètres!$A$1:$I$89,3,0)*VLOOKUP('Données projet'!$B$16,Paramètres!$A$1:$I$89,5,0)</f>
        <v>347.7848399999998</v>
      </c>
      <c r="FG99" s="13">
        <f t="shared" si="101"/>
        <v>81.106218378241252</v>
      </c>
      <c r="FH99" s="20">
        <f t="shared" si="76"/>
        <v>746.98526000876984</v>
      </c>
      <c r="FI99" s="59">
        <f t="shared" si="77"/>
        <v>1040.3185933421032</v>
      </c>
      <c r="FJ99" s="59">
        <f ca="1">AVERAGE(OFFSET($FI$3,0,0,'Données projet'!$E$16+1,1))-AVERAGE(OFFSET($H$3,0,0,'Données projet'!$E$16+1,1))</f>
        <v>395.30533160963489</v>
      </c>
      <c r="FK99" s="59">
        <f t="shared" si="102"/>
        <v>196.02102977695085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2.9</v>
      </c>
      <c r="FZ99" s="12">
        <f>IF('Données projet'!$A$244&gt;35,FZ98+FY99-GH98,IF(A99&lt;'Données projet'!$A$244,$FW$205^A99,IF(A99='Données projet'!$A$244,'Données projet'!$B$244,FZ98+FY99-GH98)))</f>
        <v>239.39999999999984</v>
      </c>
      <c r="GA99" s="17">
        <f>FZ99*VLOOKUP('Données projet'!$B$17,Paramètres!$A$1:$I$89,3,0)*VLOOKUP('Données projet'!$B$17,Paramètres!$A$1:$I$89,5,0)</f>
        <v>250.22087999999988</v>
      </c>
      <c r="GB99" s="13">
        <f t="shared" si="103"/>
        <v>60.633236548645492</v>
      </c>
      <c r="GC99" s="20">
        <f t="shared" si="79"/>
        <v>541.40425298889079</v>
      </c>
      <c r="GD99" s="59">
        <f t="shared" si="80"/>
        <v>834.73758632222416</v>
      </c>
      <c r="GE99" s="59">
        <f ca="1">AVERAGE(OFFSET($GD$3,0,0,'Données projet'!$E$17+1,1))-AVERAGE(OFFSET($H$3,0,0,'Données projet'!$E$17+1,1))</f>
        <v>269.41185214595805</v>
      </c>
      <c r="GF99" s="59">
        <f t="shared" si="104"/>
        <v>299.70148160580993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1.7160262691754498</v>
      </c>
      <c r="GM99" s="21">
        <f>EXP(-LN(2)/25)*GM98+(1-EXP(-LN(2)/25))/(LN(2)/25)*Calculateur!GH99*Calculateur!GJ99*VLOOKUP('Données projet'!$B$17,Paramètres!$A$1:$I$89,3,0)*0.475*44/12</f>
        <v>2.602701101119155</v>
      </c>
      <c r="GN99" s="21">
        <f>EXP(-LN(2)/2)*GN98+(1-EXP(-LN(2)/2))/(LN(2)/2)*GH99*GK99*VLOOKUP('Données projet'!$B$17,Paramètres!$A$1:$I$89,3,0)*0.475*44/12</f>
        <v>2.2245418004851667E-9</v>
      </c>
      <c r="GO99" s="21">
        <f t="shared" si="81"/>
        <v>4.3187273725191462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5.6843418860808015E-14</v>
      </c>
      <c r="GV99" s="17">
        <f>GU99*VLOOKUP('Données projet'!$B$18,Paramètres!$A$1:$I$89,3,0)*VLOOKUP('Données projet'!$B$18,Paramètres!$A$1:$I$89,5,0)</f>
        <v>4.9658410716801891E-14</v>
      </c>
      <c r="GW99" s="13">
        <f t="shared" si="105"/>
        <v>8.0934058173791862E-13</v>
      </c>
      <c r="GX99" s="20">
        <f t="shared" si="82"/>
        <v>1.4960899118586383E-12</v>
      </c>
      <c r="GY99" s="59">
        <f t="shared" si="83"/>
        <v>293.33333333333479</v>
      </c>
      <c r="GZ99" s="59">
        <f ca="1">AVERAGE(OFFSET($GY$3,0,0,'Données projet'!$E$18+1,1))-AVERAGE(OFFSET($H$3,0,0,'Données projet'!$E$18+1,1))</f>
        <v>226.35975611953359</v>
      </c>
      <c r="HA99" s="59">
        <f t="shared" si="106"/>
        <v>271.65876694892461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1.8114131006688561</v>
      </c>
      <c r="HI99" s="21">
        <f>EXP(-LN(2)/2)*HI98+(1-EXP(-LN(2)/2))/(LN(2)/2)*HC99*HF99*VLOOKUP('Données projet'!$B$18,Paramètres!$A$1:$I$89,3,0)*0.475*44/12</f>
        <v>1.3756348213243254E-9</v>
      </c>
      <c r="HJ99" s="22">
        <f t="shared" si="84"/>
        <v>1.8114131020444908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7.5871794871794922</v>
      </c>
      <c r="N100" s="13">
        <f>IF('Données projet'!$A$36&gt;35,N99+M100-V99,IF(A100&lt;'Données projet'!$A$36,$K$205^A100,IF(A100='Données projet'!$A$36,'Données projet'!$B$36,N99+M100-V99)))</f>
        <v>330.68717948717926</v>
      </c>
      <c r="O100" s="13">
        <f>N100*VLOOKUP('Données projet'!$B$9,Paramètres!$A$1:$I$89,3,0)*VLOOKUP('Données projet'!$B$9,Paramètres!$A$1:$I$89,5,0)</f>
        <v>299.20575999999983</v>
      </c>
      <c r="P100" s="13">
        <f t="shared" si="87"/>
        <v>71.009934584041005</v>
      </c>
      <c r="Q100" s="20">
        <f t="shared" si="107"/>
        <v>644.79233473387114</v>
      </c>
      <c r="R100" s="59">
        <f t="shared" si="55"/>
        <v>938.12566806720451</v>
      </c>
      <c r="S100" s="59">
        <f ca="1">AVERAGE(OFFSET($R$3,0,0,'Données projet'!$E$9+1,1))-AVERAGE(OFFSET($H$3,0,0,'Données projet'!$E$9+1,1))</f>
        <v>309.07357540707869</v>
      </c>
      <c r="T100" s="59">
        <f t="shared" si="88"/>
        <v>155.9593924683299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2.9</v>
      </c>
      <c r="AI100" s="13">
        <f>IF('Données projet'!$A$62&gt;35,AI99+AH100-AQ99,IF(A100&lt;'Données projet'!$A$62,$AF$205^A100,IF(A100='Données projet'!$A$62,'Données projet'!$B$62,AI99+AH100-AQ99)))</f>
        <v>242.29999999999984</v>
      </c>
      <c r="AJ100" s="13">
        <f>AI100*VLOOKUP('Données projet'!$B$10,Paramètres!$A$1:$I$89,3,0)*VLOOKUP('Données projet'!$B$10,Paramètres!$A$1:$I$89,5,0)</f>
        <v>211.67327999999989</v>
      </c>
      <c r="AK100" s="13">
        <f t="shared" si="89"/>
        <v>52.301070410691352</v>
      </c>
      <c r="AL100" s="20">
        <f t="shared" si="58"/>
        <v>459.75532696528722</v>
      </c>
      <c r="AM100" s="59">
        <f t="shared" si="59"/>
        <v>753.08866029862054</v>
      </c>
      <c r="AN100" s="59">
        <f ca="1">AVERAGE(OFFSET($AM$3,0,0,'Données projet'!$E$10+1,1))-AVERAGE(OFFSET($H$3,0,0,'Données projet'!$E$10+1,1))</f>
        <v>210.07838338464626</v>
      </c>
      <c r="AO100" s="59">
        <f t="shared" si="90"/>
        <v>241.76003724236273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1.4061650489513013</v>
      </c>
      <c r="AV100" s="21">
        <f>EXP(-LN(2)/25)*AV99+(1-EXP(-LN(2)/25))/(LN(2)/25)*Calculateur!AQ100*Calculateur!AS100*VLOOKUP('Données projet'!$B$10,Paramètres!$A$1:$I$89,3,0)*0.475*44/12</f>
        <v>2.1159057574295694</v>
      </c>
      <c r="AW100" s="21">
        <f>EXP(-LN(2)/2)*AW99+(1-EXP(-LN(2)/2))/(LN(2)/2)*AQ100*AT100*VLOOKUP('Données projet'!$B$10,Paramètres!$A$1:$I$89,3,0)*0.475*44/12</f>
        <v>1.3147367337423285E-9</v>
      </c>
      <c r="AX100" s="21">
        <f t="shared" si="60"/>
        <v>3.5220708076956075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2.2737367544323206E-13</v>
      </c>
      <c r="BE100" s="13">
        <f>BD100*VLOOKUP('Données projet'!$B$11,Paramètres!$A$1:$I$89,3,0)*VLOOKUP('Données projet'!$B$11,Paramètres!$A$1:$I$89,5,0)</f>
        <v>1.2414602679200471E-13</v>
      </c>
      <c r="BF100" s="13">
        <f t="shared" si="91"/>
        <v>1.8186582995804361E-12</v>
      </c>
      <c r="BG100" s="20">
        <f t="shared" si="61"/>
        <v>3.3837175350986671E-12</v>
      </c>
      <c r="BH100" s="59">
        <f t="shared" si="62"/>
        <v>293.33333333333672</v>
      </c>
      <c r="BI100" s="59">
        <f ca="1">AVERAGE(OFFSET($BH$3,0,0,'Données projet'!$E$11+1,1))-AVERAGE(OFFSET($H$3,0,0,'Données projet'!$E$11+1,1))</f>
        <v>168.72306536277267</v>
      </c>
      <c r="BJ100" s="59">
        <f t="shared" si="92"/>
        <v>203.35476578922339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0.8070730942221721</v>
      </c>
      <c r="BQ100" s="21">
        <f>EXP(-LN(2)/25)*BQ99+(1-EXP(-LN(2)/25))/(LN(2)/25)*Calculateur!BL100*Calculateur!BN100*VLOOKUP('Données projet'!$B$11,Paramètres!$A$1:$I$89,3,0)*0.475*44/12</f>
        <v>3.5866130704397383</v>
      </c>
      <c r="BR100" s="21">
        <f>EXP(-LN(2)/2)*BR99+(1-EXP(-LN(2)/2))/(LN(2)/2)*BL100*BO100*VLOOKUP('Données projet'!$B$11,Paramètres!$A$1:$I$89,3,0)*0.475*44/12</f>
        <v>1.6483242777081513E-9</v>
      </c>
      <c r="BS100" s="22">
        <f t="shared" si="63"/>
        <v>4.3936861663102347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7.5015384615384617</v>
      </c>
      <c r="BY100" s="12">
        <f>IF('Données projet'!$A$114&gt;35,BY99+BX100-CG99,IF(A100&lt;'Données projet'!$A$114,$BV$205^A100,IF(A100='Données projet'!$A$114,'Données projet'!$B$114,BY99+BX100-CG99)))</f>
        <v>249.70307692307716</v>
      </c>
      <c r="BZ100" s="13">
        <f>BY100*VLOOKUP('Données projet'!$B$12,Paramètres!$A$1:$I$89,3,0)*VLOOKUP('Données projet'!$B$12,Paramètres!$A$1:$I$89,5,0)</f>
        <v>116.86104000000012</v>
      </c>
      <c r="CA100" s="13">
        <f t="shared" si="93"/>
        <v>30.941762857231797</v>
      </c>
      <c r="CB100" s="20">
        <f t="shared" si="64"/>
        <v>257.42321497634555</v>
      </c>
      <c r="CC100" s="59">
        <f t="shared" si="65"/>
        <v>550.75654830967892</v>
      </c>
      <c r="CD100" s="59">
        <f ca="1">AVERAGE(OFFSET($CC$3,0,0,'Données projet'!$E$12+1,1))-AVERAGE(OFFSET($H$3,0,0,'Données projet'!$E$12+1,1))</f>
        <v>158.58786357608489</v>
      </c>
      <c r="CE100" s="59">
        <f t="shared" si="94"/>
        <v>163.20074068819849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4.1677594708744434E-14</v>
      </c>
      <c r="CV100" s="13">
        <f t="shared" si="95"/>
        <v>6.9326303456159188E-13</v>
      </c>
      <c r="CW100" s="20">
        <f t="shared" si="67"/>
        <v>1.2800215959791691E-12</v>
      </c>
      <c r="CX100" s="59">
        <f t="shared" si="68"/>
        <v>293.33333333333462</v>
      </c>
      <c r="CY100" s="59">
        <f ca="1">AVERAGE(OFFSET($CX$3,0,0,'Données projet'!$E$13+1,1))-AVERAGE(OFFSET($H$3,0,0,'Données projet'!$E$13+1,1))</f>
        <v>178.12968684094687</v>
      </c>
      <c r="CZ100" s="59">
        <f t="shared" si="96"/>
        <v>219.36004077210373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1.1997167474877406</v>
      </c>
      <c r="DH100" s="21">
        <f>EXP(-LN(2)/2)*DH99+(1-EXP(-LN(2)/2))/(LN(2)/2)*DB100*DE100*VLOOKUP('Données projet'!$B$13,Paramètres!$A$1:$I$89,3,0)*0.475*44/12</f>
        <v>8.1639059639204361E-10</v>
      </c>
      <c r="DI100" s="22">
        <f t="shared" si="69"/>
        <v>1.1997167483041311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-8.5265128291212022E-14</v>
      </c>
      <c r="DP100" s="17">
        <f>DO100*VLOOKUP('Données projet'!$B$14,Paramètres!$A$1:$I$89,3,0)*VLOOKUP('Données projet'!$B$14,Paramètres!$A$1:$I$89,5,0)</f>
        <v>-7.7147888077888636E-14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225.28075317732998</v>
      </c>
      <c r="DU100" s="59">
        <f t="shared" si="98"/>
        <v>358.43407531256207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0.59521424432579029</v>
      </c>
      <c r="EB100" s="21">
        <f>EXP(-LN(2)/25)*EB99+(1-EXP(-LN(2)/25))/(LN(2)/25)*Calculateur!DW100*Calculateur!DY100*VLOOKUP('Données projet'!$B$14,Paramètres!$A$1:$I$89,3,0)*0.475*44/12</f>
        <v>1.29078263199576</v>
      </c>
      <c r="EC100" s="21">
        <f>EXP(-LN(2)/2)*EC99+(1-EXP(-LN(2)/2))/(LN(2)/2)*DW100*DZ100*VLOOKUP('Données projet'!$B$14,Paramètres!$A$1:$I$89,3,0)*0.475*44/12</f>
        <v>3.6335367042286735E-10</v>
      </c>
      <c r="ED100" s="22">
        <f t="shared" si="72"/>
        <v>1.885996876684904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7.5871794871794922</v>
      </c>
      <c r="EJ100" s="12">
        <f>IF('Données projet'!$A$192&gt;35,EJ99+EI100-ER99,IF(A100&lt;'Données projet'!$A$192,$EG$205^A100,IF(A100='Données projet'!$A$192,'Données projet'!$B$192,EJ99+EI100-ER99)))</f>
        <v>330.68717948717926</v>
      </c>
      <c r="EK100" s="17">
        <f>EJ100*VLOOKUP('Données projet'!$B$15,Paramètres!$A$1:$I$89,3,0)*VLOOKUP('Données projet'!$B$15,Paramètres!$A$1:$I$89,5,0)</f>
        <v>335.31679999999977</v>
      </c>
      <c r="EL100" s="13">
        <f t="shared" si="99"/>
        <v>78.531587982648986</v>
      </c>
      <c r="EM100" s="20">
        <f t="shared" si="73"/>
        <v>720.78594240311315</v>
      </c>
      <c r="EN100" s="59">
        <f t="shared" si="74"/>
        <v>1014.1192757364465</v>
      </c>
      <c r="EO100" s="59">
        <f ca="1">AVERAGE(OFFSET($EN$3,0,0,'Données projet'!$E$15+1,1))-AVERAGE(OFFSET($H$3,0,0,'Données projet'!$E$15+1,1))</f>
        <v>363.98308691765931</v>
      </c>
      <c r="EP100" s="59">
        <f t="shared" si="100"/>
        <v>181.47089407988187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7.5871794871794922</v>
      </c>
      <c r="FE100" s="12">
        <f>IF('Données projet'!$A$218&gt;35,FE99+FD100-FM99,IF(A100&lt;'Données projet'!$A$218,$FB$205^A100,IF(A100='Données projet'!$A$218,'Données projet'!$B$218,FE99+FD100-FM99)))</f>
        <v>330.68717948717926</v>
      </c>
      <c r="FF100" s="17">
        <f>FE100*VLOOKUP('Données projet'!$B$16,Paramètres!$A$1:$I$89,3,0)*VLOOKUP('Données projet'!$B$16,Paramètres!$A$1:$I$89,5,0)</f>
        <v>355.95167999999973</v>
      </c>
      <c r="FG100" s="13">
        <f t="shared" si="101"/>
        <v>82.786818703404634</v>
      </c>
      <c r="FH100" s="20">
        <f t="shared" si="76"/>
        <v>764.136218575096</v>
      </c>
      <c r="FI100" s="59">
        <f t="shared" si="77"/>
        <v>1057.4695519084294</v>
      </c>
      <c r="FJ100" s="59">
        <f ca="1">AVERAGE(OFFSET($FI$3,0,0,'Données projet'!$E$16+1,1))-AVERAGE(OFFSET($H$3,0,0,'Données projet'!$E$16+1,1))</f>
        <v>395.30533160963489</v>
      </c>
      <c r="FK100" s="59">
        <f t="shared" si="102"/>
        <v>196.02102977695085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2.9</v>
      </c>
      <c r="FZ100" s="12">
        <f>IF('Données projet'!$A$244&gt;35,FZ99+FY100-GH99,IF(A100&lt;'Données projet'!$A$244,$FW$205^A100,IF(A100='Données projet'!$A$244,'Données projet'!$B$244,FZ99+FY100-GH99)))</f>
        <v>242.29999999999984</v>
      </c>
      <c r="GA100" s="17">
        <f>FZ100*VLOOKUP('Données projet'!$B$17,Paramètres!$A$1:$I$89,3,0)*VLOOKUP('Données projet'!$B$17,Paramètres!$A$1:$I$89,5,0)</f>
        <v>253.25195999999985</v>
      </c>
      <c r="GB100" s="13">
        <f t="shared" si="103"/>
        <v>61.281774494289969</v>
      </c>
      <c r="GC100" s="20">
        <f t="shared" si="79"/>
        <v>547.81292091088801</v>
      </c>
      <c r="GD100" s="59">
        <f t="shared" si="80"/>
        <v>841.14625424422138</v>
      </c>
      <c r="GE100" s="59">
        <f ca="1">AVERAGE(OFFSET($GD$3,0,0,'Données projet'!$E$17+1,1))-AVERAGE(OFFSET($H$3,0,0,'Données projet'!$E$17+1,1))</f>
        <v>269.41185214595805</v>
      </c>
      <c r="GF100" s="59">
        <f t="shared" si="104"/>
        <v>299.70148160580993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1.6823760407095931</v>
      </c>
      <c r="GM100" s="21">
        <f>EXP(-LN(2)/25)*GM99+(1-EXP(-LN(2)/25))/(LN(2)/25)*Calculateur!GH100*Calculateur!GJ100*VLOOKUP('Données projet'!$B$17,Paramètres!$A$1:$I$89,3,0)*0.475*44/12</f>
        <v>2.5315301026389494</v>
      </c>
      <c r="GN100" s="21">
        <f>EXP(-LN(2)/2)*GN99+(1-EXP(-LN(2)/2))/(LN(2)/2)*GH100*GK100*VLOOKUP('Données projet'!$B$17,Paramètres!$A$1:$I$89,3,0)*0.475*44/12</f>
        <v>1.5729885921559932E-9</v>
      </c>
      <c r="GO100" s="21">
        <f t="shared" si="81"/>
        <v>4.2139061449215314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5.6843418860808015E-14</v>
      </c>
      <c r="GV100" s="17">
        <f>GU100*VLOOKUP('Données projet'!$B$18,Paramètres!$A$1:$I$89,3,0)*VLOOKUP('Données projet'!$B$18,Paramètres!$A$1:$I$89,5,0)</f>
        <v>4.9658410716801891E-14</v>
      </c>
      <c r="GW100" s="13">
        <f t="shared" si="105"/>
        <v>8.0934058173791862E-13</v>
      </c>
      <c r="GX100" s="20">
        <f t="shared" si="82"/>
        <v>1.4960899118586383E-12</v>
      </c>
      <c r="GY100" s="59">
        <f t="shared" si="83"/>
        <v>293.33333333333479</v>
      </c>
      <c r="GZ100" s="59">
        <f ca="1">AVERAGE(OFFSET($GY$3,0,0,'Données projet'!$E$18+1,1))-AVERAGE(OFFSET($H$3,0,0,'Données projet'!$E$18+1,1))</f>
        <v>226.35975611953359</v>
      </c>
      <c r="HA100" s="59">
        <f t="shared" si="106"/>
        <v>271.65876694892461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1.7618799141729913</v>
      </c>
      <c r="HI100" s="21">
        <f>EXP(-LN(2)/2)*HI99+(1-EXP(-LN(2)/2))/(LN(2)/2)*HC100*HF100*VLOOKUP('Données projet'!$B$18,Paramètres!$A$1:$I$89,3,0)*0.475*44/12</f>
        <v>9.7272071059477511E-10</v>
      </c>
      <c r="HJ100" s="22">
        <f t="shared" si="84"/>
        <v>1.7618799151457121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7.5871794871794922</v>
      </c>
      <c r="N101" s="13">
        <f>IF('Données projet'!$A$36&gt;35,N100+M101-V100,IF(A101&lt;'Données projet'!$A$36,$K$205^A101,IF(A101='Données projet'!$A$36,'Données projet'!$B$36,N100+M101-V100)))</f>
        <v>338.27435897435873</v>
      </c>
      <c r="O101" s="13">
        <f>N101*VLOOKUP('Données projet'!$B$9,Paramètres!$A$1:$I$89,3,0)*VLOOKUP('Données projet'!$B$9,Paramètres!$A$1:$I$89,5,0)</f>
        <v>306.0706399999998</v>
      </c>
      <c r="P101" s="13">
        <f t="shared" si="87"/>
        <v>72.44761516993232</v>
      </c>
      <c r="Q101" s="20">
        <f t="shared" si="107"/>
        <v>659.25262775429837</v>
      </c>
      <c r="R101" s="59">
        <f t="shared" si="55"/>
        <v>952.58596108763163</v>
      </c>
      <c r="S101" s="59">
        <f ca="1">AVERAGE(OFFSET($R$3,0,0,'Données projet'!$E$9+1,1))-AVERAGE(OFFSET($H$3,0,0,'Données projet'!$E$9+1,1))</f>
        <v>309.07357540707869</v>
      </c>
      <c r="T101" s="59">
        <f t="shared" si="88"/>
        <v>155.9593924683299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2.9</v>
      </c>
      <c r="AI101" s="13">
        <f>IF('Données projet'!$A$62&gt;35,AI100+AH101-AQ100,IF(A101&lt;'Données projet'!$A$62,$AF$205^A101,IF(A101='Données projet'!$A$62,'Données projet'!$B$62,AI100+AH101-AQ100)))</f>
        <v>245.19999999999985</v>
      </c>
      <c r="AJ101" s="13">
        <f>AI101*VLOOKUP('Données projet'!$B$10,Paramètres!$A$1:$I$89,3,0)*VLOOKUP('Données projet'!$B$10,Paramètres!$A$1:$I$89,5,0)</f>
        <v>214.2067199999999</v>
      </c>
      <c r="AK101" s="13">
        <f t="shared" si="89"/>
        <v>52.853796016439418</v>
      </c>
      <c r="AL101" s="20">
        <f t="shared" si="58"/>
        <v>465.13039872863186</v>
      </c>
      <c r="AM101" s="59">
        <f t="shared" si="59"/>
        <v>758.46373206196517</v>
      </c>
      <c r="AN101" s="59">
        <f ca="1">AVERAGE(OFFSET($AM$3,0,0,'Données projet'!$E$10+1,1))-AVERAGE(OFFSET($H$3,0,0,'Données projet'!$E$10+1,1))</f>
        <v>210.07838338464626</v>
      </c>
      <c r="AO101" s="59">
        <f t="shared" si="90"/>
        <v>241.76003724236273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1.3785910100173577</v>
      </c>
      <c r="AV101" s="21">
        <f>EXP(-LN(2)/25)*AV100+(1-EXP(-LN(2)/25))/(LN(2)/25)*Calculateur!AQ101*Calculateur!AS101*VLOOKUP('Données projet'!$B$10,Paramètres!$A$1:$I$89,3,0)*0.475*44/12</f>
        <v>2.0580462032220099</v>
      </c>
      <c r="AW101" s="21">
        <f>EXP(-LN(2)/2)*AW100+(1-EXP(-LN(2)/2))/(LN(2)/2)*AQ101*AT101*VLOOKUP('Données projet'!$B$10,Paramètres!$A$1:$I$89,3,0)*0.475*44/12</f>
        <v>9.29659259904253E-10</v>
      </c>
      <c r="AX101" s="21">
        <f t="shared" si="60"/>
        <v>3.4366372141690271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2.2737367544323206E-13</v>
      </c>
      <c r="BE101" s="13">
        <f>BD101*VLOOKUP('Données projet'!$B$11,Paramètres!$A$1:$I$89,3,0)*VLOOKUP('Données projet'!$B$11,Paramètres!$A$1:$I$89,5,0)</f>
        <v>1.2414602679200471E-13</v>
      </c>
      <c r="BF101" s="13">
        <f t="shared" si="91"/>
        <v>1.8186582995804361E-12</v>
      </c>
      <c r="BG101" s="20">
        <f t="shared" si="61"/>
        <v>3.3837175350986671E-12</v>
      </c>
      <c r="BH101" s="59">
        <f t="shared" si="62"/>
        <v>293.33333333333672</v>
      </c>
      <c r="BI101" s="59">
        <f ca="1">AVERAGE(OFFSET($BH$3,0,0,'Données projet'!$E$11+1,1))-AVERAGE(OFFSET($H$3,0,0,'Données projet'!$E$11+1,1))</f>
        <v>168.72306536277267</v>
      </c>
      <c r="BJ101" s="59">
        <f t="shared" si="92"/>
        <v>203.35476578922339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0.79124688311045555</v>
      </c>
      <c r="BQ101" s="21">
        <f>EXP(-LN(2)/25)*BQ100+(1-EXP(-LN(2)/25))/(LN(2)/25)*Calculateur!BL101*Calculateur!BN101*VLOOKUP('Données projet'!$B$11,Paramètres!$A$1:$I$89,3,0)*0.475*44/12</f>
        <v>3.4885369474167796</v>
      </c>
      <c r="BR101" s="21">
        <f>EXP(-LN(2)/2)*BR100+(1-EXP(-LN(2)/2))/(LN(2)/2)*BL101*BO101*VLOOKUP('Données projet'!$B$11,Paramètres!$A$1:$I$89,3,0)*0.475*44/12</f>
        <v>1.1655412743618517E-9</v>
      </c>
      <c r="BS101" s="22">
        <f t="shared" si="63"/>
        <v>4.2797838316927761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7.5015384615384617</v>
      </c>
      <c r="BY101" s="12">
        <f>IF('Données projet'!$A$114&gt;35,BY100+BX101-CG100,IF(A101&lt;'Données projet'!$A$114,$BV$205^A101,IF(A101='Données projet'!$A$114,'Données projet'!$B$114,BY100+BX101-CG100)))</f>
        <v>257.20461538461564</v>
      </c>
      <c r="BZ101" s="13">
        <f>BY101*VLOOKUP('Données projet'!$B$12,Paramètres!$A$1:$I$89,3,0)*VLOOKUP('Données projet'!$B$12,Paramètres!$A$1:$I$89,5,0)</f>
        <v>120.37176000000012</v>
      </c>
      <c r="CA101" s="13">
        <f t="shared" si="93"/>
        <v>31.761690593555869</v>
      </c>
      <c r="CB101" s="20">
        <f t="shared" si="64"/>
        <v>264.96575978377672</v>
      </c>
      <c r="CC101" s="59">
        <f t="shared" si="65"/>
        <v>558.29909311711003</v>
      </c>
      <c r="CD101" s="59">
        <f ca="1">AVERAGE(OFFSET($CC$3,0,0,'Données projet'!$E$12+1,1))-AVERAGE(OFFSET($H$3,0,0,'Données projet'!$E$12+1,1))</f>
        <v>158.58786357608489</v>
      </c>
      <c r="CE101" s="59">
        <f t="shared" si="94"/>
        <v>163.20074068819849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4.1677594708744434E-14</v>
      </c>
      <c r="CV101" s="13">
        <f t="shared" si="95"/>
        <v>6.9326303456159188E-13</v>
      </c>
      <c r="CW101" s="20">
        <f t="shared" si="67"/>
        <v>1.2800215959791691E-12</v>
      </c>
      <c r="CX101" s="59">
        <f t="shared" si="68"/>
        <v>293.33333333333462</v>
      </c>
      <c r="CY101" s="59">
        <f ca="1">AVERAGE(OFFSET($CX$3,0,0,'Données projet'!$E$13+1,1))-AVERAGE(OFFSET($H$3,0,0,'Données projet'!$E$13+1,1))</f>
        <v>178.12968684094687</v>
      </c>
      <c r="CZ101" s="59">
        <f t="shared" si="96"/>
        <v>219.36004077210373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1.1669104299373265</v>
      </c>
      <c r="DH101" s="21">
        <f>EXP(-LN(2)/2)*DH100+(1-EXP(-LN(2)/2))/(LN(2)/2)*DB101*DE101*VLOOKUP('Données projet'!$B$13,Paramètres!$A$1:$I$89,3,0)*0.475*44/12</f>
        <v>5.7727532680574381E-10</v>
      </c>
      <c r="DI101" s="22">
        <f t="shared" si="69"/>
        <v>1.1669104305146019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-8.5265128291212022E-14</v>
      </c>
      <c r="DP101" s="17">
        <f>DO101*VLOOKUP('Données projet'!$B$14,Paramètres!$A$1:$I$89,3,0)*VLOOKUP('Données projet'!$B$14,Paramètres!$A$1:$I$89,5,0)</f>
        <v>-7.7147888077888636E-14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225.28075317732998</v>
      </c>
      <c r="DU101" s="59">
        <f t="shared" si="98"/>
        <v>358.43407531256207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0.58354245603940291</v>
      </c>
      <c r="EB101" s="21">
        <f>EXP(-LN(2)/25)*EB100+(1-EXP(-LN(2)/25))/(LN(2)/25)*Calculateur!DW101*Calculateur!DY101*VLOOKUP('Données projet'!$B$14,Paramètres!$A$1:$I$89,3,0)*0.475*44/12</f>
        <v>1.2554861130445274</v>
      </c>
      <c r="EC101" s="21">
        <f>EXP(-LN(2)/2)*EC100+(1-EXP(-LN(2)/2))/(LN(2)/2)*DW101*DZ101*VLOOKUP('Données projet'!$B$14,Paramètres!$A$1:$I$89,3,0)*0.475*44/12</f>
        <v>2.5692984432503137E-10</v>
      </c>
      <c r="ED101" s="22">
        <f t="shared" si="72"/>
        <v>1.8390285693408601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7.5871794871794922</v>
      </c>
      <c r="EJ101" s="12">
        <f>IF('Données projet'!$A$192&gt;35,EJ100+EI101-ER100,IF(A101&lt;'Données projet'!$A$192,$EG$205^A101,IF(A101='Données projet'!$A$192,'Données projet'!$B$192,EJ100+EI101-ER100)))</f>
        <v>338.27435897435873</v>
      </c>
      <c r="EK101" s="17">
        <f>EJ101*VLOOKUP('Données projet'!$B$15,Paramètres!$A$1:$I$89,3,0)*VLOOKUP('Données projet'!$B$15,Paramètres!$A$1:$I$89,5,0)</f>
        <v>343.01019999999977</v>
      </c>
      <c r="EL101" s="13">
        <f t="shared" si="99"/>
        <v>80.121553387957832</v>
      </c>
      <c r="EM101" s="20">
        <f t="shared" si="73"/>
        <v>736.95447048402605</v>
      </c>
      <c r="EN101" s="59">
        <f t="shared" si="74"/>
        <v>1030.2878038173594</v>
      </c>
      <c r="EO101" s="59">
        <f ca="1">AVERAGE(OFFSET($EN$3,0,0,'Données projet'!$E$15+1,1))-AVERAGE(OFFSET($H$3,0,0,'Données projet'!$E$15+1,1))</f>
        <v>363.98308691765931</v>
      </c>
      <c r="EP101" s="59">
        <f t="shared" si="100"/>
        <v>181.47089407988187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7.5871794871794922</v>
      </c>
      <c r="FE101" s="12">
        <f>IF('Données projet'!$A$218&gt;35,FE100+FD101-FM100,IF(A101&lt;'Données projet'!$A$218,$FB$205^A101,IF(A101='Données projet'!$A$218,'Données projet'!$B$218,FE100+FD101-FM100)))</f>
        <v>338.27435897435873</v>
      </c>
      <c r="FF101" s="17">
        <f>FE101*VLOOKUP('Données projet'!$B$16,Paramètres!$A$1:$I$89,3,0)*VLOOKUP('Données projet'!$B$16,Paramètres!$A$1:$I$89,5,0)</f>
        <v>364.11851999999976</v>
      </c>
      <c r="FG101" s="13">
        <f t="shared" si="101"/>
        <v>84.462936315887859</v>
      </c>
      <c r="FH101" s="20">
        <f t="shared" si="76"/>
        <v>781.27936975017099</v>
      </c>
      <c r="FI101" s="59">
        <f t="shared" si="77"/>
        <v>1074.6127030835044</v>
      </c>
      <c r="FJ101" s="59">
        <f ca="1">AVERAGE(OFFSET($FI$3,0,0,'Données projet'!$E$16+1,1))-AVERAGE(OFFSET($H$3,0,0,'Données projet'!$E$16+1,1))</f>
        <v>395.30533160963489</v>
      </c>
      <c r="FK101" s="59">
        <f t="shared" si="102"/>
        <v>196.02102977695085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2.9</v>
      </c>
      <c r="FZ101" s="12">
        <f>IF('Données projet'!$A$244&gt;35,FZ100+FY101-GH100,IF(A101&lt;'Données projet'!$A$244,$FW$205^A101,IF(A101='Données projet'!$A$244,'Données projet'!$B$244,FZ100+FY101-GH100)))</f>
        <v>245.19999999999985</v>
      </c>
      <c r="GA101" s="17">
        <f>FZ101*VLOOKUP('Données projet'!$B$17,Paramètres!$A$1:$I$89,3,0)*VLOOKUP('Données projet'!$B$17,Paramètres!$A$1:$I$89,5,0)</f>
        <v>256.28303999999986</v>
      </c>
      <c r="GB101" s="13">
        <f t="shared" si="103"/>
        <v>61.929409536224902</v>
      </c>
      <c r="GC101" s="20">
        <f t="shared" si="79"/>
        <v>554.22001627559155</v>
      </c>
      <c r="GD101" s="59">
        <f t="shared" si="80"/>
        <v>847.55334960892492</v>
      </c>
      <c r="GE101" s="59">
        <f ca="1">AVERAGE(OFFSET($GD$3,0,0,'Données projet'!$E$17+1,1))-AVERAGE(OFFSET($H$3,0,0,'Données projet'!$E$17+1,1))</f>
        <v>269.41185214595805</v>
      </c>
      <c r="GF101" s="59">
        <f t="shared" si="104"/>
        <v>299.70148160580993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1.6493856726993392</v>
      </c>
      <c r="GM101" s="21">
        <f>EXP(-LN(2)/25)*GM100+(1-EXP(-LN(2)/25))/(LN(2)/25)*Calculateur!GH101*Calculateur!GJ101*VLOOKUP('Données projet'!$B$17,Paramètres!$A$1:$I$89,3,0)*0.475*44/12</f>
        <v>2.4623052788549051</v>
      </c>
      <c r="GN101" s="21">
        <f>EXP(-LN(2)/2)*GN100+(1-EXP(-LN(2)/2))/(LN(2)/2)*GH101*GK101*VLOOKUP('Données projet'!$B$17,Paramètres!$A$1:$I$89,3,0)*0.475*44/12</f>
        <v>1.1122709002425833E-9</v>
      </c>
      <c r="GO101" s="21">
        <f t="shared" si="81"/>
        <v>4.1116909526665157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5.6843418860808015E-14</v>
      </c>
      <c r="GV101" s="17">
        <f>GU101*VLOOKUP('Données projet'!$B$18,Paramètres!$A$1:$I$89,3,0)*VLOOKUP('Données projet'!$B$18,Paramètres!$A$1:$I$89,5,0)</f>
        <v>4.9658410716801891E-14</v>
      </c>
      <c r="GW101" s="13">
        <f t="shared" si="105"/>
        <v>8.0934058173791862E-13</v>
      </c>
      <c r="GX101" s="20">
        <f t="shared" si="82"/>
        <v>1.4960899118586383E-12</v>
      </c>
      <c r="GY101" s="59">
        <f t="shared" si="83"/>
        <v>293.33333333333479</v>
      </c>
      <c r="GZ101" s="59">
        <f ca="1">AVERAGE(OFFSET($GY$3,0,0,'Données projet'!$E$18+1,1))-AVERAGE(OFFSET($H$3,0,0,'Données projet'!$E$18+1,1))</f>
        <v>226.35975611953359</v>
      </c>
      <c r="HA101" s="59">
        <f t="shared" si="106"/>
        <v>271.65876694892461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1.7137012152666931</v>
      </c>
      <c r="HI101" s="21">
        <f>EXP(-LN(2)/2)*HI100+(1-EXP(-LN(2)/2))/(LN(2)/2)*HC101*HF101*VLOOKUP('Données projet'!$B$18,Paramètres!$A$1:$I$89,3,0)*0.475*44/12</f>
        <v>6.8781741066216268E-10</v>
      </c>
      <c r="HJ101" s="22">
        <f t="shared" si="84"/>
        <v>1.7137012159545104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7.5871794871794922</v>
      </c>
      <c r="N102" s="13">
        <f>IF('Données projet'!$A$36&gt;35,N101+M102-V101,IF(A102&lt;'Données projet'!$A$36,$K$205^A102,IF(A102='Données projet'!$A$36,'Données projet'!$B$36,N101+M102-V101)))</f>
        <v>345.8615384615382</v>
      </c>
      <c r="O102" s="13">
        <f>N102*VLOOKUP('Données projet'!$B$9,Paramètres!$A$1:$I$89,3,0)*VLOOKUP('Données projet'!$B$9,Paramètres!$A$1:$I$89,5,0)</f>
        <v>312.93551999999977</v>
      </c>
      <c r="P102" s="13">
        <f t="shared" si="87"/>
        <v>73.881546903242409</v>
      </c>
      <c r="Q102" s="20">
        <f t="shared" si="107"/>
        <v>673.70639152314664</v>
      </c>
      <c r="R102" s="59">
        <f t="shared" si="55"/>
        <v>967.03972485648001</v>
      </c>
      <c r="S102" s="59">
        <f ca="1">AVERAGE(OFFSET($R$3,0,0,'Données projet'!$E$9+1,1))-AVERAGE(OFFSET($H$3,0,0,'Données projet'!$E$9+1,1))</f>
        <v>309.07357540707869</v>
      </c>
      <c r="T102" s="59">
        <f t="shared" si="88"/>
        <v>155.9593924683299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2.9</v>
      </c>
      <c r="AI102" s="13">
        <f>IF('Données projet'!$A$62&gt;35,AI101+AH102-AQ101,IF(A102&lt;'Données projet'!$A$62,$AF$205^A102,IF(A102='Données projet'!$A$62,'Données projet'!$B$62,AI101+AH102-AQ101)))</f>
        <v>248.09999999999985</v>
      </c>
      <c r="AJ102" s="13">
        <f>AI102*VLOOKUP('Données projet'!$B$10,Paramètres!$A$1:$I$89,3,0)*VLOOKUP('Données projet'!$B$10,Paramètres!$A$1:$I$89,5,0)</f>
        <v>216.74015999999989</v>
      </c>
      <c r="AK102" s="13">
        <f t="shared" si="89"/>
        <v>53.405761205047057</v>
      </c>
      <c r="AL102" s="20">
        <f t="shared" si="58"/>
        <v>470.50414609878999</v>
      </c>
      <c r="AM102" s="59">
        <f t="shared" si="59"/>
        <v>763.83747943212325</v>
      </c>
      <c r="AN102" s="59">
        <f ca="1">AVERAGE(OFFSET($AM$3,0,0,'Données projet'!$E$10+1,1))-AVERAGE(OFFSET($H$3,0,0,'Données projet'!$E$10+1,1))</f>
        <v>210.07838338464626</v>
      </c>
      <c r="AO102" s="59">
        <f t="shared" si="90"/>
        <v>241.76003724236273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1.3515576811684056</v>
      </c>
      <c r="AV102" s="21">
        <f>EXP(-LN(2)/25)*AV101+(1-EXP(-LN(2)/25))/(LN(2)/25)*Calculateur!AQ102*Calculateur!AS102*VLOOKUP('Données projet'!$B$10,Paramètres!$A$1:$I$89,3,0)*0.475*44/12</f>
        <v>2.0017688215669578</v>
      </c>
      <c r="AW102" s="21">
        <f>EXP(-LN(2)/2)*AW101+(1-EXP(-LN(2)/2))/(LN(2)/2)*AQ102*AT102*VLOOKUP('Données projet'!$B$10,Paramètres!$A$1:$I$89,3,0)*0.475*44/12</f>
        <v>6.5736836687116437E-10</v>
      </c>
      <c r="AX102" s="21">
        <f t="shared" si="60"/>
        <v>3.353326503392732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2.2737367544323206E-13</v>
      </c>
      <c r="BE102" s="13">
        <f>BD102*VLOOKUP('Données projet'!$B$11,Paramètres!$A$1:$I$89,3,0)*VLOOKUP('Données projet'!$B$11,Paramètres!$A$1:$I$89,5,0)</f>
        <v>1.2414602679200471E-13</v>
      </c>
      <c r="BF102" s="13">
        <f t="shared" si="91"/>
        <v>1.8186582995804361E-12</v>
      </c>
      <c r="BG102" s="20">
        <f t="shared" si="61"/>
        <v>3.3837175350986671E-12</v>
      </c>
      <c r="BH102" s="59">
        <f t="shared" si="62"/>
        <v>293.33333333333672</v>
      </c>
      <c r="BI102" s="59">
        <f ca="1">AVERAGE(OFFSET($BH$3,0,0,'Données projet'!$E$11+1,1))-AVERAGE(OFFSET($H$3,0,0,'Données projet'!$E$11+1,1))</f>
        <v>168.72306536277267</v>
      </c>
      <c r="BJ102" s="59">
        <f t="shared" si="92"/>
        <v>203.35476578922339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0.7757310143456041</v>
      </c>
      <c r="BQ102" s="21">
        <f>EXP(-LN(2)/25)*BQ101+(1-EXP(-LN(2)/25))/(LN(2)/25)*Calculateur!BL102*Calculateur!BN102*VLOOKUP('Données projet'!$B$11,Paramètres!$A$1:$I$89,3,0)*0.475*44/12</f>
        <v>3.393142721135483</v>
      </c>
      <c r="BR102" s="21">
        <f>EXP(-LN(2)/2)*BR101+(1-EXP(-LN(2)/2))/(LN(2)/2)*BL102*BO102*VLOOKUP('Données projet'!$B$11,Paramètres!$A$1:$I$89,3,0)*0.475*44/12</f>
        <v>8.2416213885407567E-10</v>
      </c>
      <c r="BS102" s="22">
        <f t="shared" si="63"/>
        <v>4.1688737363052493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7.5015384615384617</v>
      </c>
      <c r="BY102" s="12">
        <f>IF('Données projet'!$A$114&gt;35,BY101+BX102-CG101,IF(A102&lt;'Données projet'!$A$114,$BV$205^A102,IF(A102='Données projet'!$A$114,'Données projet'!$B$114,BY101+BX102-CG101)))</f>
        <v>264.70615384615411</v>
      </c>
      <c r="BZ102" s="13">
        <f>BY102*VLOOKUP('Données projet'!$B$12,Paramètres!$A$1:$I$89,3,0)*VLOOKUP('Données projet'!$B$12,Paramètres!$A$1:$I$89,5,0)</f>
        <v>123.88248000000011</v>
      </c>
      <c r="CA102" s="13">
        <f t="shared" si="93"/>
        <v>32.578839075986679</v>
      </c>
      <c r="CB102" s="20">
        <f t="shared" si="64"/>
        <v>272.50346405734365</v>
      </c>
      <c r="CC102" s="59">
        <f t="shared" si="65"/>
        <v>565.83679739067702</v>
      </c>
      <c r="CD102" s="59">
        <f ca="1">AVERAGE(OFFSET($CC$3,0,0,'Données projet'!$E$12+1,1))-AVERAGE(OFFSET($H$3,0,0,'Données projet'!$E$12+1,1))</f>
        <v>158.58786357608489</v>
      </c>
      <c r="CE102" s="59">
        <f t="shared" si="94"/>
        <v>163.20074068819849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4.1677594708744434E-14</v>
      </c>
      <c r="CV102" s="13">
        <f t="shared" si="95"/>
        <v>6.9326303456159188E-13</v>
      </c>
      <c r="CW102" s="20">
        <f t="shared" si="67"/>
        <v>1.2800215959791691E-12</v>
      </c>
      <c r="CX102" s="59">
        <f t="shared" si="68"/>
        <v>293.33333333333462</v>
      </c>
      <c r="CY102" s="59">
        <f ca="1">AVERAGE(OFFSET($CX$3,0,0,'Données projet'!$E$13+1,1))-AVERAGE(OFFSET($H$3,0,0,'Données projet'!$E$13+1,1))</f>
        <v>178.12968684094687</v>
      </c>
      <c r="CZ102" s="59">
        <f t="shared" si="96"/>
        <v>219.36004077210373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1.1350012028655379</v>
      </c>
      <c r="DH102" s="21">
        <f>EXP(-LN(2)/2)*DH101+(1-EXP(-LN(2)/2))/(LN(2)/2)*DB102*DE102*VLOOKUP('Données projet'!$B$13,Paramètres!$A$1:$I$89,3,0)*0.475*44/12</f>
        <v>4.0819529819602181E-10</v>
      </c>
      <c r="DI102" s="22">
        <f t="shared" si="69"/>
        <v>1.1350012032737331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-8.5265128291212022E-14</v>
      </c>
      <c r="DP102" s="17">
        <f>DO102*VLOOKUP('Données projet'!$B$14,Paramètres!$A$1:$I$89,3,0)*VLOOKUP('Données projet'!$B$14,Paramètres!$A$1:$I$89,5,0)</f>
        <v>-7.7147888077888636E-14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225.28075317732998</v>
      </c>
      <c r="DU102" s="59">
        <f t="shared" si="98"/>
        <v>358.43407531256207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0.57209954440222366</v>
      </c>
      <c r="EB102" s="21">
        <f>EXP(-LN(2)/25)*EB101+(1-EXP(-LN(2)/25))/(LN(2)/25)*Calculateur!DW102*Calculateur!DY102*VLOOKUP('Données projet'!$B$14,Paramètres!$A$1:$I$89,3,0)*0.475*44/12</f>
        <v>1.2211547792601796</v>
      </c>
      <c r="EC102" s="21">
        <f>EXP(-LN(2)/2)*EC101+(1-EXP(-LN(2)/2))/(LN(2)/2)*DW102*DZ102*VLOOKUP('Données projet'!$B$14,Paramètres!$A$1:$I$89,3,0)*0.475*44/12</f>
        <v>1.8167683521143367E-10</v>
      </c>
      <c r="ED102" s="22">
        <f t="shared" si="72"/>
        <v>1.7932543238440801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7.5871794871794922</v>
      </c>
      <c r="EJ102" s="12">
        <f>IF('Données projet'!$A$192&gt;35,EJ101+EI102-ER101,IF(A102&lt;'Données projet'!$A$192,$EG$205^A102,IF(A102='Données projet'!$A$192,'Données projet'!$B$192,EJ101+EI102-ER101)))</f>
        <v>345.8615384615382</v>
      </c>
      <c r="EK102" s="17">
        <f>EJ102*VLOOKUP('Données projet'!$B$15,Paramètres!$A$1:$I$89,3,0)*VLOOKUP('Données projet'!$B$15,Paramètres!$A$1:$I$89,5,0)</f>
        <v>350.70359999999977</v>
      </c>
      <c r="EL102" s="13">
        <f t="shared" si="99"/>
        <v>81.707372847378466</v>
      </c>
      <c r="EM102" s="20">
        <f t="shared" si="73"/>
        <v>753.11577770918359</v>
      </c>
      <c r="EN102" s="59">
        <f t="shared" si="74"/>
        <v>1046.449111042517</v>
      </c>
      <c r="EO102" s="59">
        <f ca="1">AVERAGE(OFFSET($EN$3,0,0,'Données projet'!$E$15+1,1))-AVERAGE(OFFSET($H$3,0,0,'Données projet'!$E$15+1,1))</f>
        <v>363.98308691765931</v>
      </c>
      <c r="EP102" s="59">
        <f t="shared" si="100"/>
        <v>181.47089407988187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7.5871794871794922</v>
      </c>
      <c r="FE102" s="12">
        <f>IF('Données projet'!$A$218&gt;35,FE101+FD102-FM101,IF(A102&lt;'Données projet'!$A$218,$FB$205^A102,IF(A102='Données projet'!$A$218,'Données projet'!$B$218,FE101+FD102-FM101)))</f>
        <v>345.8615384615382</v>
      </c>
      <c r="FF102" s="17">
        <f>FE102*VLOOKUP('Données projet'!$B$16,Paramètres!$A$1:$I$89,3,0)*VLOOKUP('Données projet'!$B$16,Paramètres!$A$1:$I$89,5,0)</f>
        <v>372.28535999999968</v>
      </c>
      <c r="FG102" s="13">
        <f t="shared" si="101"/>
        <v>86.134683334582917</v>
      </c>
      <c r="FH102" s="20">
        <f t="shared" si="76"/>
        <v>798.41490880773142</v>
      </c>
      <c r="FI102" s="59">
        <f t="shared" si="77"/>
        <v>1091.7482421410648</v>
      </c>
      <c r="FJ102" s="59">
        <f ca="1">AVERAGE(OFFSET($FI$3,0,0,'Données projet'!$E$16+1,1))-AVERAGE(OFFSET($H$3,0,0,'Données projet'!$E$16+1,1))</f>
        <v>395.30533160963489</v>
      </c>
      <c r="FK102" s="59">
        <f t="shared" si="102"/>
        <v>196.02102977695085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2.9</v>
      </c>
      <c r="FZ102" s="12">
        <f>IF('Données projet'!$A$244&gt;35,FZ101+FY102-GH101,IF(A102&lt;'Données projet'!$A$244,$FW$205^A102,IF(A102='Données projet'!$A$244,'Données projet'!$B$244,FZ101+FY102-GH101)))</f>
        <v>248.09999999999985</v>
      </c>
      <c r="GA102" s="17">
        <f>FZ102*VLOOKUP('Données projet'!$B$17,Paramètres!$A$1:$I$89,3,0)*VLOOKUP('Données projet'!$B$17,Paramètres!$A$1:$I$89,5,0)</f>
        <v>259.31411999999989</v>
      </c>
      <c r="GB102" s="13">
        <f t="shared" si="103"/>
        <v>62.576153588523304</v>
      </c>
      <c r="GC102" s="20">
        <f t="shared" si="79"/>
        <v>560.62555983334448</v>
      </c>
      <c r="GD102" s="59">
        <f t="shared" si="80"/>
        <v>853.95889316667785</v>
      </c>
      <c r="GE102" s="59">
        <f ca="1">AVERAGE(OFFSET($GD$3,0,0,'Données projet'!$E$17+1,1))-AVERAGE(OFFSET($H$3,0,0,'Données projet'!$E$17+1,1))</f>
        <v>269.41185214595805</v>
      </c>
      <c r="GF102" s="59">
        <f t="shared" si="104"/>
        <v>299.70148160580993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1.6170422256836288</v>
      </c>
      <c r="GM102" s="21">
        <f>EXP(-LN(2)/25)*GM101+(1-EXP(-LN(2)/25))/(LN(2)/25)*Calculateur!GH102*Calculateur!GJ102*VLOOKUP('Données projet'!$B$17,Paramètres!$A$1:$I$89,3,0)*0.475*44/12</f>
        <v>2.3949734115176109</v>
      </c>
      <c r="GN102" s="21">
        <f>EXP(-LN(2)/2)*GN101+(1-EXP(-LN(2)/2))/(LN(2)/2)*GH102*GK102*VLOOKUP('Données projet'!$B$17,Paramètres!$A$1:$I$89,3,0)*0.475*44/12</f>
        <v>7.8649429607799661E-10</v>
      </c>
      <c r="GO102" s="21">
        <f t="shared" si="81"/>
        <v>4.0120156379877336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5.6843418860808015E-14</v>
      </c>
      <c r="GV102" s="17">
        <f>GU102*VLOOKUP('Données projet'!$B$18,Paramètres!$A$1:$I$89,3,0)*VLOOKUP('Données projet'!$B$18,Paramètres!$A$1:$I$89,5,0)</f>
        <v>4.9658410716801891E-14</v>
      </c>
      <c r="GW102" s="13">
        <f t="shared" si="105"/>
        <v>8.0934058173791862E-13</v>
      </c>
      <c r="GX102" s="20">
        <f t="shared" si="82"/>
        <v>1.4960899118586383E-12</v>
      </c>
      <c r="GY102" s="59">
        <f t="shared" si="83"/>
        <v>293.33333333333479</v>
      </c>
      <c r="GZ102" s="59">
        <f ca="1">AVERAGE(OFFSET($GY$3,0,0,'Données projet'!$E$18+1,1))-AVERAGE(OFFSET($H$3,0,0,'Données projet'!$E$18+1,1))</f>
        <v>226.35975611953359</v>
      </c>
      <c r="HA102" s="59">
        <f t="shared" si="106"/>
        <v>271.65876694892461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1.6668399654155952</v>
      </c>
      <c r="HI102" s="21">
        <f>EXP(-LN(2)/2)*HI101+(1-EXP(-LN(2)/2))/(LN(2)/2)*HC102*HF102*VLOOKUP('Données projet'!$B$18,Paramètres!$A$1:$I$89,3,0)*0.475*44/12</f>
        <v>4.8636035529738755E-10</v>
      </c>
      <c r="HJ102" s="22">
        <f t="shared" si="84"/>
        <v>1.6668399659019555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353.44871794871796</v>
      </c>
      <c r="L103" s="12">
        <f>VLOOKUP(A103,'Données projet'!$A$35:$I$55,9,0)</f>
        <v>7.5871794871794922</v>
      </c>
      <c r="M103" s="12">
        <f t="array" ref="M103">INDEX(L:L,MIN(IF(ISNUMBER(L103:L299),ROW(L103:L299),"")))</f>
        <v>7.5871794871794922</v>
      </c>
      <c r="N103" s="13">
        <f>IF('Données projet'!$A$36&gt;35,N102+M103-V102,IF(A103&lt;'Données projet'!$A$36,$K$205^A103,IF(A103='Données projet'!$A$36,'Données projet'!$B$36,N102+M103-V102)))</f>
        <v>353.44871794871767</v>
      </c>
      <c r="O103" s="13">
        <f>N103*VLOOKUP('Données projet'!$B$9,Paramètres!$A$1:$I$89,3,0)*VLOOKUP('Données projet'!$B$9,Paramètres!$A$1:$I$89,5,0)</f>
        <v>319.80039999999974</v>
      </c>
      <c r="P103" s="13">
        <f t="shared" si="87"/>
        <v>75.31182149304135</v>
      </c>
      <c r="Q103" s="20">
        <f t="shared" si="107"/>
        <v>688.15378576704654</v>
      </c>
      <c r="R103" s="59">
        <f t="shared" si="55"/>
        <v>981.48711910037991</v>
      </c>
      <c r="S103" s="59">
        <f ca="1">AVERAGE(OFFSET($R$3,0,0,'Données projet'!$E$9+1,1))-AVERAGE(OFFSET($H$3,0,0,'Données projet'!$E$9+1,1))</f>
        <v>309.07357540707869</v>
      </c>
      <c r="T103" s="59">
        <f t="shared" si="88"/>
        <v>155.9593924683299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63.801282051282051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251</v>
      </c>
      <c r="AG103" s="12">
        <f>VLOOKUP(A103,'Données projet'!$A$61:$I$81,9,0)</f>
        <v>2.9</v>
      </c>
      <c r="AH103" s="12">
        <f t="array" ref="AH103">INDEX(AG:AG,MIN(IF(ISNUMBER(AG103:AG299),ROW(AG103:AG299),"")))</f>
        <v>2.9</v>
      </c>
      <c r="AI103" s="13">
        <f>IF('Données projet'!$A$62&gt;35,AI102+AH103-AQ102,IF(A103&lt;'Données projet'!$A$62,$AF$205^A103,IF(A103='Données projet'!$A$62,'Données projet'!$B$62,AI102+AH103-AQ102)))</f>
        <v>250.99999999999986</v>
      </c>
      <c r="AJ103" s="13">
        <f>AI103*VLOOKUP('Données projet'!$B$10,Paramètres!$A$1:$I$89,3,0)*VLOOKUP('Données projet'!$B$10,Paramètres!$A$1:$I$89,5,0)</f>
        <v>219.27359999999993</v>
      </c>
      <c r="AK103" s="13">
        <f t="shared" si="89"/>
        <v>53.956975893220125</v>
      </c>
      <c r="AL103" s="20">
        <f t="shared" si="58"/>
        <v>475.87658634735823</v>
      </c>
      <c r="AM103" s="59">
        <f t="shared" si="59"/>
        <v>769.20991968069154</v>
      </c>
      <c r="AN103" s="59">
        <f ca="1">AVERAGE(OFFSET($AM$3,0,0,'Données projet'!$E$10+1,1))-AVERAGE(OFFSET($H$3,0,0,'Données projet'!$E$10+1,1))</f>
        <v>210.07838338464626</v>
      </c>
      <c r="AO103" s="59">
        <f t="shared" si="90"/>
        <v>241.76003724236273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23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1.3250544594094791</v>
      </c>
      <c r="AV103" s="21">
        <f>EXP(-LN(2)/25)*AV102+(1-EXP(-LN(2)/25))/(LN(2)/25)*Calculateur!AQ103*Calculateur!AS103*VLOOKUP('Données projet'!$B$10,Paramètres!$A$1:$I$89,3,0)*0.475*44/12</f>
        <v>1.9470303478727622</v>
      </c>
      <c r="AW103" s="21">
        <f>EXP(-LN(2)/2)*AW102+(1-EXP(-LN(2)/2))/(LN(2)/2)*AQ103*AT103*VLOOKUP('Données projet'!$B$10,Paramètres!$A$1:$I$89,3,0)*0.475*44/12</f>
        <v>4.6482962995212655E-10</v>
      </c>
      <c r="AX103" s="21">
        <f t="shared" si="60"/>
        <v>3.272084807747071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2.2737367544323206E-13</v>
      </c>
      <c r="BE103" s="13">
        <f>BD103*VLOOKUP('Données projet'!$B$11,Paramètres!$A$1:$I$89,3,0)*VLOOKUP('Données projet'!$B$11,Paramètres!$A$1:$I$89,5,0)</f>
        <v>1.2414602679200471E-13</v>
      </c>
      <c r="BF103" s="13">
        <f t="shared" si="91"/>
        <v>1.8186582995804361E-12</v>
      </c>
      <c r="BG103" s="20">
        <f t="shared" si="61"/>
        <v>3.3837175350986671E-12</v>
      </c>
      <c r="BH103" s="59">
        <f t="shared" si="62"/>
        <v>293.33333333333672</v>
      </c>
      <c r="BI103" s="59">
        <f ca="1">AVERAGE(OFFSET($BH$3,0,0,'Données projet'!$E$11+1,1))-AVERAGE(OFFSET($H$3,0,0,'Données projet'!$E$11+1,1))</f>
        <v>168.72306536277267</v>
      </c>
      <c r="BJ103" s="59">
        <f t="shared" si="92"/>
        <v>203.35476578922339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0.76051940230348591</v>
      </c>
      <c r="BQ103" s="21">
        <f>EXP(-LN(2)/25)*BQ102+(1-EXP(-LN(2)/25))/(LN(2)/25)*Calculateur!BL103*Calculateur!BN103*VLOOKUP('Données projet'!$B$11,Paramètres!$A$1:$I$89,3,0)*0.475*44/12</f>
        <v>3.3003570549884125</v>
      </c>
      <c r="BR103" s="21">
        <f>EXP(-LN(2)/2)*BR102+(1-EXP(-LN(2)/2))/(LN(2)/2)*BL103*BO103*VLOOKUP('Données projet'!$B$11,Paramètres!$A$1:$I$89,3,0)*0.475*44/12</f>
        <v>5.8277063718092587E-10</v>
      </c>
      <c r="BS103" s="22">
        <f t="shared" si="63"/>
        <v>4.0608764578746683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7.5015384615384617</v>
      </c>
      <c r="BY103" s="12">
        <f>IF('Données projet'!$A$114&gt;35,BY102+BX103-CG102,IF(A103&lt;'Données projet'!$A$114,$BV$205^A103,IF(A103='Données projet'!$A$114,'Données projet'!$B$114,BY102+BX103-CG102)))</f>
        <v>272.20769230769258</v>
      </c>
      <c r="BZ103" s="13">
        <f>BY103*VLOOKUP('Données projet'!$B$12,Paramètres!$A$1:$I$89,3,0)*VLOOKUP('Données projet'!$B$12,Paramètres!$A$1:$I$89,5,0)</f>
        <v>127.39320000000012</v>
      </c>
      <c r="CA103" s="13">
        <f t="shared" si="93"/>
        <v>33.393296112922592</v>
      </c>
      <c r="CB103" s="20">
        <f t="shared" si="64"/>
        <v>280.03648073000704</v>
      </c>
      <c r="CC103" s="59">
        <f t="shared" si="65"/>
        <v>573.3698140633403</v>
      </c>
      <c r="CD103" s="59">
        <f ca="1">AVERAGE(OFFSET($CC$3,0,0,'Données projet'!$E$12+1,1))-AVERAGE(OFFSET($H$3,0,0,'Données projet'!$E$12+1,1))</f>
        <v>158.58786357608489</v>
      </c>
      <c r="CE103" s="59">
        <f t="shared" si="94"/>
        <v>163.20074068819849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4.1677594708744434E-14</v>
      </c>
      <c r="CV103" s="13">
        <f t="shared" si="95"/>
        <v>6.9326303456159188E-13</v>
      </c>
      <c r="CW103" s="20">
        <f t="shared" si="67"/>
        <v>1.2800215959791691E-12</v>
      </c>
      <c r="CX103" s="59">
        <f t="shared" si="68"/>
        <v>293.33333333333462</v>
      </c>
      <c r="CY103" s="59">
        <f ca="1">AVERAGE(OFFSET($CX$3,0,0,'Données projet'!$E$13+1,1))-AVERAGE(OFFSET($H$3,0,0,'Données projet'!$E$13+1,1))</f>
        <v>178.12968684094687</v>
      </c>
      <c r="CZ103" s="59">
        <f t="shared" si="96"/>
        <v>219.36004077210373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1.1039645352860605</v>
      </c>
      <c r="DH103" s="21">
        <f>EXP(-LN(2)/2)*DH102+(1-EXP(-LN(2)/2))/(LN(2)/2)*DB103*DE103*VLOOKUP('Données projet'!$B$13,Paramètres!$A$1:$I$89,3,0)*0.475*44/12</f>
        <v>2.8863766340287191E-10</v>
      </c>
      <c r="DI103" s="22">
        <f t="shared" si="69"/>
        <v>1.1039645355746981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-8.5265128291212022E-14</v>
      </c>
      <c r="DP103" s="17">
        <f>DO103*VLOOKUP('Données projet'!$B$14,Paramètres!$A$1:$I$89,3,0)*VLOOKUP('Données projet'!$B$14,Paramètres!$A$1:$I$89,5,0)</f>
        <v>-7.7147888077888636E-14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225.28075317732998</v>
      </c>
      <c r="DU103" s="59">
        <f t="shared" si="98"/>
        <v>358.43407531256207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0.56088102128276252</v>
      </c>
      <c r="EB103" s="21">
        <f>EXP(-LN(2)/25)*EB102+(1-EXP(-LN(2)/25))/(LN(2)/25)*Calculateur!DW103*Calculateur!DY103*VLOOKUP('Données projet'!$B$14,Paramètres!$A$1:$I$89,3,0)*0.475*44/12</f>
        <v>1.187762237603571</v>
      </c>
      <c r="EC103" s="21">
        <f>EXP(-LN(2)/2)*EC102+(1-EXP(-LN(2)/2))/(LN(2)/2)*DW103*DZ103*VLOOKUP('Données projet'!$B$14,Paramètres!$A$1:$I$89,3,0)*0.475*44/12</f>
        <v>1.2846492216251568E-10</v>
      </c>
      <c r="ED103" s="22">
        <f t="shared" si="72"/>
        <v>1.7486432590147987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353.44871794871796</v>
      </c>
      <c r="EH103" s="12">
        <f>VLOOKUP(A103,'Données projet'!$A$191:$I$211,9,0)</f>
        <v>7.5871794871794922</v>
      </c>
      <c r="EI103" s="12">
        <f t="array" ref="EI103">INDEX(EH:EH,MIN(IF(ISNUMBER(EH103:EH299),ROW(EH103:EH299),"")))</f>
        <v>7.5871794871794922</v>
      </c>
      <c r="EJ103" s="12">
        <f>IF('Données projet'!$A$192&gt;35,EJ102+EI103-ER102,IF(A103&lt;'Données projet'!$A$192,$EG$205^A103,IF(A103='Données projet'!$A$192,'Données projet'!$B$192,EJ102+EI103-ER102)))</f>
        <v>353.44871794871767</v>
      </c>
      <c r="EK103" s="17">
        <f>EJ103*VLOOKUP('Données projet'!$B$15,Paramètres!$A$1:$I$89,3,0)*VLOOKUP('Données projet'!$B$15,Paramètres!$A$1:$I$89,5,0)</f>
        <v>358.39699999999976</v>
      </c>
      <c r="EL103" s="13">
        <f t="shared" si="99"/>
        <v>83.28914778416862</v>
      </c>
      <c r="EM103" s="20">
        <f t="shared" si="73"/>
        <v>769.27004072409318</v>
      </c>
      <c r="EN103" s="59">
        <f t="shared" si="74"/>
        <v>1062.6033740574264</v>
      </c>
      <c r="EO103" s="59">
        <f ca="1">AVERAGE(OFFSET($EN$3,0,0,'Données projet'!$E$15+1,1))-AVERAGE(OFFSET($H$3,0,0,'Données projet'!$E$15+1,1))</f>
        <v>363.98308691765931</v>
      </c>
      <c r="EP103" s="59">
        <f t="shared" si="100"/>
        <v>181.47089407988187</v>
      </c>
      <c r="EQ103" s="15">
        <f>IF(ISNA(VLOOKUP(A103,'Données projet'!$A$191:$I$211,3,0)),0,VLOOKUP(A103,'Données projet'!$A$191:$I$211,3,0))</f>
        <v>9</v>
      </c>
      <c r="ER103" s="15">
        <f>IF(ISNA(VLOOKUP(A103,'Données projet'!$A$191:$I$211,4,0)),0,VLOOKUP(A103,'Données projet'!$A$191:$I$211,4,0))</f>
        <v>63.801282051282051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353.44871794871796</v>
      </c>
      <c r="FC103" s="12">
        <f>VLOOKUP(A103,'Données projet'!$A$217:$I$237,9,0)</f>
        <v>7.5871794871794922</v>
      </c>
      <c r="FD103" s="12">
        <f t="array" ref="FD103">INDEX(FC:FC,MIN(IF(ISNUMBER(FC103:FC299),ROW(FC103:FC299),"")))</f>
        <v>7.5871794871794922</v>
      </c>
      <c r="FE103" s="12">
        <f>IF('Données projet'!$A$218&gt;35,FE102+FD103-FM102,IF(A103&lt;'Données projet'!$A$218,$FB$205^A103,IF(A103='Données projet'!$A$218,'Données projet'!$B$218,FE102+FD103-FM102)))</f>
        <v>353.44871794871767</v>
      </c>
      <c r="FF103" s="17">
        <f>FE103*VLOOKUP('Données projet'!$B$16,Paramètres!$A$1:$I$89,3,0)*VLOOKUP('Données projet'!$B$16,Paramètres!$A$1:$I$89,5,0)</f>
        <v>380.45219999999966</v>
      </c>
      <c r="FG103" s="13">
        <f t="shared" si="101"/>
        <v>87.802166678362582</v>
      </c>
      <c r="FH103" s="20">
        <f t="shared" si="76"/>
        <v>815.54302196481422</v>
      </c>
      <c r="FI103" s="59">
        <f t="shared" si="77"/>
        <v>1108.8763552981475</v>
      </c>
      <c r="FJ103" s="59">
        <f ca="1">AVERAGE(OFFSET($FI$3,0,0,'Données projet'!$E$16+1,1))-AVERAGE(OFFSET($H$3,0,0,'Données projet'!$E$16+1,1))</f>
        <v>395.30533160963489</v>
      </c>
      <c r="FK103" s="59">
        <f t="shared" si="102"/>
        <v>196.02102977695085</v>
      </c>
      <c r="FL103" s="15">
        <f>IF(ISNA(VLOOKUP(A103,'Données projet'!$A$217:$I$237,3,0)),0,VLOOKUP(A103,'Données projet'!$A$217:$I$237,3,0))</f>
        <v>9</v>
      </c>
      <c r="FM103" s="15">
        <f>IF(ISNA(VLOOKUP(A103,'Données projet'!$A$217:$I$237,4,0)),0,VLOOKUP(A103,'Données projet'!$A$217:$I$237,4,0))</f>
        <v>63.801282051282051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251</v>
      </c>
      <c r="FX103" s="12">
        <f>VLOOKUP(A103,'Données projet'!$A$243:$I$263,9,0)</f>
        <v>2.9</v>
      </c>
      <c r="FY103" s="12">
        <f t="array" ref="FY103">INDEX(FX:FX,MIN(IF(ISNUMBER(FX103:FX299),ROW(FX103:FX299),"")))</f>
        <v>2.9</v>
      </c>
      <c r="FZ103" s="12">
        <f>IF('Données projet'!$A$244&gt;35,FZ102+FY103-GH102,IF(A103&lt;'Données projet'!$A$244,$FW$205^A103,IF(A103='Données projet'!$A$244,'Données projet'!$B$244,FZ102+FY103-GH102)))</f>
        <v>250.99999999999986</v>
      </c>
      <c r="GA103" s="17">
        <f>FZ103*VLOOKUP('Données projet'!$B$17,Paramètres!$A$1:$I$89,3,0)*VLOOKUP('Données projet'!$B$17,Paramètres!$A$1:$I$89,5,0)</f>
        <v>262.34519999999986</v>
      </c>
      <c r="GB103" s="13">
        <f t="shared" si="103"/>
        <v>63.222018270704915</v>
      </c>
      <c r="GC103" s="20">
        <f t="shared" si="79"/>
        <v>567.02957182147736</v>
      </c>
      <c r="GD103" s="59">
        <f t="shared" si="80"/>
        <v>860.36290515481073</v>
      </c>
      <c r="GE103" s="59">
        <f ca="1">AVERAGE(OFFSET($GD$3,0,0,'Données projet'!$E$17+1,1))-AVERAGE(OFFSET($H$3,0,0,'Données projet'!$E$17+1,1))</f>
        <v>269.41185214595805</v>
      </c>
      <c r="GF103" s="59">
        <f t="shared" si="104"/>
        <v>299.70148160580993</v>
      </c>
      <c r="GG103" s="15">
        <f>IF(ISNA(VLOOKUP(A103,'Données projet'!$A$243:$I$263,3,0)),0,VLOOKUP(A103,'Données projet'!$A$243:$I$263,3,0))</f>
        <v>9</v>
      </c>
      <c r="GH103" s="15">
        <f>IF(ISNA(VLOOKUP(A103,'Données projet'!$A$243:$I$263,4,0)),0,VLOOKUP(A103,'Données projet'!$A$243:$I$263,4,0))</f>
        <v>23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1.5853330139363415</v>
      </c>
      <c r="GM103" s="21">
        <f>EXP(-LN(2)/25)*GM102+(1-EXP(-LN(2)/25))/(LN(2)/25)*Calculateur!GH103*Calculateur!GJ103*VLOOKUP('Données projet'!$B$17,Paramètres!$A$1:$I$89,3,0)*0.475*44/12</f>
        <v>2.3294827376334837</v>
      </c>
      <c r="GN103" s="21">
        <f>EXP(-LN(2)/2)*GN102+(1-EXP(-LN(2)/2))/(LN(2)/2)*GH103*GK103*VLOOKUP('Données projet'!$B$17,Paramètres!$A$1:$I$89,3,0)*0.475*44/12</f>
        <v>5.5613545012129167E-10</v>
      </c>
      <c r="GO103" s="21">
        <f t="shared" si="81"/>
        <v>3.9148157521259606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5.6843418860808015E-14</v>
      </c>
      <c r="GV103" s="17">
        <f>GU103*VLOOKUP('Données projet'!$B$18,Paramètres!$A$1:$I$89,3,0)*VLOOKUP('Données projet'!$B$18,Paramètres!$A$1:$I$89,5,0)</f>
        <v>4.9658410716801891E-14</v>
      </c>
      <c r="GW103" s="13">
        <f t="shared" si="105"/>
        <v>8.0934058173791862E-13</v>
      </c>
      <c r="GX103" s="20">
        <f t="shared" si="82"/>
        <v>1.4960899118586383E-12</v>
      </c>
      <c r="GY103" s="59">
        <f t="shared" si="83"/>
        <v>293.33333333333479</v>
      </c>
      <c r="GZ103" s="59">
        <f ca="1">AVERAGE(OFFSET($GY$3,0,0,'Données projet'!$E$18+1,1))-AVERAGE(OFFSET($H$3,0,0,'Données projet'!$E$18+1,1))</f>
        <v>226.35975611953359</v>
      </c>
      <c r="HA103" s="59">
        <f t="shared" si="106"/>
        <v>271.65876694892461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1.6212601389060015</v>
      </c>
      <c r="HI103" s="21">
        <f>EXP(-LN(2)/2)*HI102+(1-EXP(-LN(2)/2))/(LN(2)/2)*HC103*HF103*VLOOKUP('Données projet'!$B$18,Paramètres!$A$1:$I$89,3,0)*0.475*44/12</f>
        <v>3.4390870533108134E-10</v>
      </c>
      <c r="HJ103" s="22">
        <f t="shared" si="84"/>
        <v>1.6212601392499102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7.2711538461538394</v>
      </c>
      <c r="N104" s="13">
        <f>IF('Données projet'!$A$36&gt;35,N103+M104-V103,IF(A104&lt;'Données projet'!$A$36,$K$205^A104,IF(A104='Données projet'!$A$36,'Données projet'!$B$36,N103+M104-V103)))</f>
        <v>296.91858974358945</v>
      </c>
      <c r="O104" s="13">
        <f>N104*VLOOKUP('Données projet'!$B$9,Paramètres!$A$1:$I$89,3,0)*VLOOKUP('Données projet'!$B$9,Paramètres!$A$1:$I$89,5,0)</f>
        <v>268.65193999999974</v>
      </c>
      <c r="P104" s="13">
        <f t="shared" si="87"/>
        <v>64.563093644979261</v>
      </c>
      <c r="Q104" s="20">
        <f t="shared" si="107"/>
        <v>580.3495169316717</v>
      </c>
      <c r="R104" s="59">
        <f t="shared" si="55"/>
        <v>873.68285026500507</v>
      </c>
      <c r="S104" s="59">
        <f ca="1">AVERAGE(OFFSET($R$3,0,0,'Données projet'!$E$9+1,1))-AVERAGE(OFFSET($H$3,0,0,'Données projet'!$E$9+1,1))</f>
        <v>309.07357540707869</v>
      </c>
      <c r="T104" s="59">
        <f t="shared" si="88"/>
        <v>155.9593924683299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227.99999999999986</v>
      </c>
      <c r="AJ104" s="13">
        <f>AI104*VLOOKUP('Données projet'!$B$10,Paramètres!$A$1:$I$89,3,0)*VLOOKUP('Données projet'!$B$10,Paramètres!$A$1:$I$89,5,0)</f>
        <v>199.18079999999992</v>
      </c>
      <c r="AK104" s="13">
        <f t="shared" si="89"/>
        <v>49.564089376413683</v>
      </c>
      <c r="AL104" s="20">
        <f t="shared" si="58"/>
        <v>433.23068233058694</v>
      </c>
      <c r="AM104" s="59">
        <f t="shared" si="59"/>
        <v>726.56401566392026</v>
      </c>
      <c r="AN104" s="59">
        <f ca="1">AVERAGE(OFFSET($AM$3,0,0,'Données projet'!$E$10+1,1))-AVERAGE(OFFSET($H$3,0,0,'Données projet'!$E$10+1,1))</f>
        <v>210.07838338464626</v>
      </c>
      <c r="AO104" s="59">
        <f t="shared" si="90"/>
        <v>241.76003724236273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1.2990709496638759</v>
      </c>
      <c r="AV104" s="21">
        <f>EXP(-LN(2)/25)*AV103+(1-EXP(-LN(2)/25))/(LN(2)/25)*Calculateur!AQ104*Calculateur!AS104*VLOOKUP('Données projet'!$B$10,Paramètres!$A$1:$I$89,3,0)*0.475*44/12</f>
        <v>1.8937887006203056</v>
      </c>
      <c r="AW104" s="21">
        <f>EXP(-LN(2)/2)*AW103+(1-EXP(-LN(2)/2))/(LN(2)/2)*AQ104*AT104*VLOOKUP('Données projet'!$B$10,Paramètres!$A$1:$I$89,3,0)*0.475*44/12</f>
        <v>3.2868418343558223E-10</v>
      </c>
      <c r="AX104" s="21">
        <f t="shared" si="60"/>
        <v>3.1928596506128657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2.2737367544323206E-13</v>
      </c>
      <c r="BE104" s="13">
        <f>BD104*VLOOKUP('Données projet'!$B$11,Paramètres!$A$1:$I$89,3,0)*VLOOKUP('Données projet'!$B$11,Paramètres!$A$1:$I$89,5,0)</f>
        <v>1.2414602679200471E-13</v>
      </c>
      <c r="BF104" s="13">
        <f t="shared" si="91"/>
        <v>1.8186582995804361E-12</v>
      </c>
      <c r="BG104" s="20">
        <f t="shared" si="61"/>
        <v>3.3837175350986671E-12</v>
      </c>
      <c r="BH104" s="59">
        <f t="shared" si="62"/>
        <v>293.33333333333672</v>
      </c>
      <c r="BI104" s="59">
        <f ca="1">AVERAGE(OFFSET($BH$3,0,0,'Données projet'!$E$11+1,1))-AVERAGE(OFFSET($H$3,0,0,'Données projet'!$E$11+1,1))</f>
        <v>168.72306536277267</v>
      </c>
      <c r="BJ104" s="59">
        <f t="shared" si="92"/>
        <v>203.35476578922339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0.74560608069534651</v>
      </c>
      <c r="BQ104" s="21">
        <f>EXP(-LN(2)/25)*BQ103+(1-EXP(-LN(2)/25))/(LN(2)/25)*Calculateur!BL104*Calculateur!BN104*VLOOKUP('Données projet'!$B$11,Paramètres!$A$1:$I$89,3,0)*0.475*44/12</f>
        <v>3.2101086177615197</v>
      </c>
      <c r="BR104" s="21">
        <f>EXP(-LN(2)/2)*BR103+(1-EXP(-LN(2)/2))/(LN(2)/2)*BL104*BO104*VLOOKUP('Données projet'!$B$11,Paramètres!$A$1:$I$89,3,0)*0.475*44/12</f>
        <v>4.1208106942703784E-10</v>
      </c>
      <c r="BS104" s="22">
        <f t="shared" si="63"/>
        <v>3.9557146988689471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7.5015384615384617</v>
      </c>
      <c r="BY104" s="12">
        <f>IF('Données projet'!$A$114&gt;35,BY103+BX104-CG103,IF(A104&lt;'Données projet'!$A$114,$BV$205^A104,IF(A104='Données projet'!$A$114,'Données projet'!$B$114,BY103+BX104-CG103)))</f>
        <v>279.70923076923106</v>
      </c>
      <c r="BZ104" s="13">
        <f>BY104*VLOOKUP('Données projet'!$B$12,Paramètres!$A$1:$I$89,3,0)*VLOOKUP('Données projet'!$B$12,Paramètres!$A$1:$I$89,5,0)</f>
        <v>130.90392000000014</v>
      </c>
      <c r="CA104" s="13">
        <f t="shared" si="93"/>
        <v>34.205144397668505</v>
      </c>
      <c r="CB104" s="20">
        <f t="shared" si="64"/>
        <v>287.56495382593954</v>
      </c>
      <c r="CC104" s="59">
        <f t="shared" si="65"/>
        <v>580.89828715927285</v>
      </c>
      <c r="CD104" s="59">
        <f ca="1">AVERAGE(OFFSET($CC$3,0,0,'Données projet'!$E$12+1,1))-AVERAGE(OFFSET($H$3,0,0,'Données projet'!$E$12+1,1))</f>
        <v>158.58786357608489</v>
      </c>
      <c r="CE104" s="59">
        <f t="shared" si="94"/>
        <v>163.20074068819849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4.1677594708744434E-14</v>
      </c>
      <c r="CV104" s="13">
        <f t="shared" si="95"/>
        <v>6.9326303456159188E-13</v>
      </c>
      <c r="CW104" s="20">
        <f t="shared" si="67"/>
        <v>1.2800215959791691E-12</v>
      </c>
      <c r="CX104" s="59">
        <f t="shared" si="68"/>
        <v>293.33333333333462</v>
      </c>
      <c r="CY104" s="59">
        <f ca="1">AVERAGE(OFFSET($CX$3,0,0,'Données projet'!$E$13+1,1))-AVERAGE(OFFSET($H$3,0,0,'Données projet'!$E$13+1,1))</f>
        <v>178.12968684094687</v>
      </c>
      <c r="CZ104" s="59">
        <f t="shared" si="96"/>
        <v>219.36004077210373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1.0737765670136914</v>
      </c>
      <c r="DH104" s="21">
        <f>EXP(-LN(2)/2)*DH103+(1-EXP(-LN(2)/2))/(LN(2)/2)*DB104*DE104*VLOOKUP('Données projet'!$B$13,Paramètres!$A$1:$I$89,3,0)*0.475*44/12</f>
        <v>2.040976490980109E-10</v>
      </c>
      <c r="DI104" s="22">
        <f t="shared" si="69"/>
        <v>1.073776567217789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-8.5265128291212022E-14</v>
      </c>
      <c r="DP104" s="17">
        <f>DO104*VLOOKUP('Données projet'!$B$14,Paramètres!$A$1:$I$89,3,0)*VLOOKUP('Données projet'!$B$14,Paramètres!$A$1:$I$89,5,0)</f>
        <v>-7.7147888077888636E-14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225.28075317732998</v>
      </c>
      <c r="DU104" s="59">
        <f t="shared" si="98"/>
        <v>358.43407531256207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0.54988248655905059</v>
      </c>
      <c r="EB104" s="21">
        <f>EXP(-LN(2)/25)*EB103+(1-EXP(-LN(2)/25))/(LN(2)/25)*Calculateur!DW104*Calculateur!DY104*VLOOKUP('Données projet'!$B$14,Paramètres!$A$1:$I$89,3,0)*0.475*44/12</f>
        <v>1.1552828167545999</v>
      </c>
      <c r="EC104" s="21">
        <f>EXP(-LN(2)/2)*EC103+(1-EXP(-LN(2)/2))/(LN(2)/2)*DW104*DZ104*VLOOKUP('Données projet'!$B$14,Paramètres!$A$1:$I$89,3,0)*0.475*44/12</f>
        <v>9.0838417605716837E-11</v>
      </c>
      <c r="ED104" s="22">
        <f t="shared" si="72"/>
        <v>1.7051653034044889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7.2711538461538394</v>
      </c>
      <c r="EJ104" s="12">
        <f>IF('Données projet'!$A$192&gt;35,EJ103+EI104-ER103,IF(A104&lt;'Données projet'!$A$192,$EG$205^A104,IF(A104='Données projet'!$A$192,'Données projet'!$B$192,EJ103+EI104-ER103)))</f>
        <v>296.91858974358945</v>
      </c>
      <c r="EK104" s="17">
        <f>EJ104*VLOOKUP('Données projet'!$B$15,Paramètres!$A$1:$I$89,3,0)*VLOOKUP('Données projet'!$B$15,Paramètres!$A$1:$I$89,5,0)</f>
        <v>301.07544999999971</v>
      </c>
      <c r="EL104" s="13">
        <f t="shared" si="99"/>
        <v>71.401872128357041</v>
      </c>
      <c r="EM104" s="20">
        <f t="shared" si="73"/>
        <v>648.73133604022132</v>
      </c>
      <c r="EN104" s="59">
        <f t="shared" si="74"/>
        <v>942.06466937355458</v>
      </c>
      <c r="EO104" s="59">
        <f ca="1">AVERAGE(OFFSET($EN$3,0,0,'Données projet'!$E$15+1,1))-AVERAGE(OFFSET($H$3,0,0,'Données projet'!$E$15+1,1))</f>
        <v>363.98308691765931</v>
      </c>
      <c r="EP104" s="59">
        <f t="shared" si="100"/>
        <v>181.47089407988187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7.2711538461538394</v>
      </c>
      <c r="FE104" s="12">
        <f>IF('Données projet'!$A$218&gt;35,FE103+FD104-FM103,IF(A104&lt;'Données projet'!$A$218,$FB$205^A104,IF(A104='Données projet'!$A$218,'Données projet'!$B$218,FE103+FD104-FM103)))</f>
        <v>296.91858974358945</v>
      </c>
      <c r="FF104" s="17">
        <f>FE104*VLOOKUP('Données projet'!$B$16,Paramètres!$A$1:$I$89,3,0)*VLOOKUP('Données projet'!$B$16,Paramètres!$A$1:$I$89,5,0)</f>
        <v>319.60316999999969</v>
      </c>
      <c r="FG104" s="13">
        <f t="shared" si="101"/>
        <v>75.270779501873804</v>
      </c>
      <c r="FH104" s="20">
        <f t="shared" si="76"/>
        <v>687.73879538242954</v>
      </c>
      <c r="FI104" s="59">
        <f t="shared" si="77"/>
        <v>981.0721287157628</v>
      </c>
      <c r="FJ104" s="59">
        <f ca="1">AVERAGE(OFFSET($FI$3,0,0,'Données projet'!$E$16+1,1))-AVERAGE(OFFSET($H$3,0,0,'Données projet'!$E$16+1,1))</f>
        <v>395.30533160963489</v>
      </c>
      <c r="FK104" s="59">
        <f t="shared" si="102"/>
        <v>196.02102977695085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227.99999999999986</v>
      </c>
      <c r="GA104" s="17">
        <f>FZ104*VLOOKUP('Données projet'!$B$17,Paramètres!$A$1:$I$89,3,0)*VLOOKUP('Données projet'!$B$17,Paramètres!$A$1:$I$89,5,0)</f>
        <v>238.30559999999986</v>
      </c>
      <c r="GB104" s="13">
        <f t="shared" si="103"/>
        <v>58.074821878967043</v>
      </c>
      <c r="GC104" s="20">
        <f t="shared" si="79"/>
        <v>516.19590143920061</v>
      </c>
      <c r="GD104" s="59">
        <f t="shared" si="80"/>
        <v>809.52923477253398</v>
      </c>
      <c r="GE104" s="59">
        <f ca="1">AVERAGE(OFFSET($GD$3,0,0,'Données projet'!$E$17+1,1))-AVERAGE(OFFSET($H$3,0,0,'Données projet'!$E$17+1,1))</f>
        <v>269.41185214595805</v>
      </c>
      <c r="GF104" s="59">
        <f t="shared" si="104"/>
        <v>299.70148160580993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1.5542456004907093</v>
      </c>
      <c r="GM104" s="21">
        <f>EXP(-LN(2)/25)*GM103+(1-EXP(-LN(2)/25))/(LN(2)/25)*Calculateur!GH104*Calculateur!GJ104*VLOOKUP('Données projet'!$B$17,Paramètres!$A$1:$I$89,3,0)*0.475*44/12</f>
        <v>2.2657829096707229</v>
      </c>
      <c r="GN104" s="21">
        <f>EXP(-LN(2)/2)*GN103+(1-EXP(-LN(2)/2))/(LN(2)/2)*GH104*GK104*VLOOKUP('Données projet'!$B$17,Paramètres!$A$1:$I$89,3,0)*0.475*44/12</f>
        <v>3.932471480389983E-10</v>
      </c>
      <c r="GO104" s="21">
        <f t="shared" si="81"/>
        <v>3.8200285105546792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5.6843418860808015E-14</v>
      </c>
      <c r="GV104" s="17">
        <f>GU104*VLOOKUP('Données projet'!$B$18,Paramètres!$A$1:$I$89,3,0)*VLOOKUP('Données projet'!$B$18,Paramètres!$A$1:$I$89,5,0)</f>
        <v>4.9658410716801891E-14</v>
      </c>
      <c r="GW104" s="13">
        <f t="shared" si="105"/>
        <v>8.0934058173791862E-13</v>
      </c>
      <c r="GX104" s="20">
        <f t="shared" si="82"/>
        <v>1.4960899118586383E-12</v>
      </c>
      <c r="GY104" s="59">
        <f t="shared" si="83"/>
        <v>293.33333333333479</v>
      </c>
      <c r="GZ104" s="59">
        <f ca="1">AVERAGE(OFFSET($GY$3,0,0,'Données projet'!$E$18+1,1))-AVERAGE(OFFSET($H$3,0,0,'Données projet'!$E$18+1,1))</f>
        <v>226.35975611953359</v>
      </c>
      <c r="HA104" s="59">
        <f t="shared" si="106"/>
        <v>271.65876694892461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1.5769266951492515</v>
      </c>
      <c r="HI104" s="21">
        <f>EXP(-LN(2)/2)*HI103+(1-EXP(-LN(2)/2))/(LN(2)/2)*HC104*HF104*VLOOKUP('Données projet'!$B$18,Paramètres!$A$1:$I$89,3,0)*0.475*44/12</f>
        <v>2.4318017764869378E-10</v>
      </c>
      <c r="HJ104" s="22">
        <f t="shared" si="84"/>
        <v>1.5769266953924317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7.2711538461538394</v>
      </c>
      <c r="N105" s="13">
        <f>IF('Données projet'!$A$36&gt;35,N104+M105-V104,IF(A105&lt;'Données projet'!$A$36,$K$205^A105,IF(A105='Données projet'!$A$36,'Données projet'!$B$36,N104+M105-V104)))</f>
        <v>304.18974358974327</v>
      </c>
      <c r="O105" s="13">
        <f>N105*VLOOKUP('Données projet'!$B$9,Paramètres!$A$1:$I$89,3,0)*VLOOKUP('Données projet'!$B$9,Paramètres!$A$1:$I$89,5,0)</f>
        <v>275.23087999999973</v>
      </c>
      <c r="P105" s="13">
        <f t="shared" si="87"/>
        <v>65.958151259438324</v>
      </c>
      <c r="Q105" s="20">
        <f t="shared" si="107"/>
        <v>594.23756277685459</v>
      </c>
      <c r="R105" s="59">
        <f t="shared" si="55"/>
        <v>887.57089611018796</v>
      </c>
      <c r="S105" s="59">
        <f ca="1">AVERAGE(OFFSET($R$3,0,0,'Données projet'!$E$9+1,1))-AVERAGE(OFFSET($H$3,0,0,'Données projet'!$E$9+1,1))</f>
        <v>309.07357540707869</v>
      </c>
      <c r="T105" s="59">
        <f t="shared" si="88"/>
        <v>155.9593924683299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227.99999999999986</v>
      </c>
      <c r="AJ105" s="13">
        <f>AI105*VLOOKUP('Données projet'!$B$10,Paramètres!$A$1:$I$89,3,0)*VLOOKUP('Données projet'!$B$10,Paramètres!$A$1:$I$89,5,0)</f>
        <v>199.18079999999992</v>
      </c>
      <c r="AK105" s="13">
        <f t="shared" si="89"/>
        <v>49.564089376413683</v>
      </c>
      <c r="AL105" s="20">
        <f t="shared" si="58"/>
        <v>433.23068233058694</v>
      </c>
      <c r="AM105" s="59">
        <f t="shared" si="59"/>
        <v>726.56401566392026</v>
      </c>
      <c r="AN105" s="59">
        <f ca="1">AVERAGE(OFFSET($AM$3,0,0,'Données projet'!$E$10+1,1))-AVERAGE(OFFSET($H$3,0,0,'Données projet'!$E$10+1,1))</f>
        <v>210.07838338464626</v>
      </c>
      <c r="AO105" s="59">
        <f t="shared" si="90"/>
        <v>241.76003724236273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1.273596960696008</v>
      </c>
      <c r="AV105" s="21">
        <f>EXP(-LN(2)/25)*AV104+(1-EXP(-LN(2)/25))/(LN(2)/25)*Calculateur!AQ105*Calculateur!AS105*VLOOKUP('Données projet'!$B$10,Paramètres!$A$1:$I$89,3,0)*0.475*44/12</f>
        <v>1.8420029490118239</v>
      </c>
      <c r="AW105" s="21">
        <f>EXP(-LN(2)/2)*AW104+(1-EXP(-LN(2)/2))/(LN(2)/2)*AQ105*AT105*VLOOKUP('Données projet'!$B$10,Paramètres!$A$1:$I$89,3,0)*0.475*44/12</f>
        <v>2.324148149760633E-10</v>
      </c>
      <c r="AX105" s="21">
        <f t="shared" si="60"/>
        <v>3.1155999099402472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2.2737367544323206E-13</v>
      </c>
      <c r="BE105" s="13">
        <f>BD105*VLOOKUP('Données projet'!$B$11,Paramètres!$A$1:$I$89,3,0)*VLOOKUP('Données projet'!$B$11,Paramètres!$A$1:$I$89,5,0)</f>
        <v>1.2414602679200471E-13</v>
      </c>
      <c r="BF105" s="13">
        <f t="shared" si="91"/>
        <v>1.8186582995804361E-12</v>
      </c>
      <c r="BG105" s="20">
        <f t="shared" si="61"/>
        <v>3.3837175350986671E-12</v>
      </c>
      <c r="BH105" s="59">
        <f t="shared" si="62"/>
        <v>293.33333333333672</v>
      </c>
      <c r="BI105" s="59">
        <f ca="1">AVERAGE(OFFSET($BH$3,0,0,'Données projet'!$E$11+1,1))-AVERAGE(OFFSET($H$3,0,0,'Données projet'!$E$11+1,1))</f>
        <v>168.72306536277267</v>
      </c>
      <c r="BJ105" s="59">
        <f t="shared" si="92"/>
        <v>203.35476578922339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0.73098520022771474</v>
      </c>
      <c r="BQ105" s="21">
        <f>EXP(-LN(2)/25)*BQ104+(1-EXP(-LN(2)/25))/(LN(2)/25)*Calculateur!BL105*Calculateur!BN105*VLOOKUP('Données projet'!$B$11,Paramètres!$A$1:$I$89,3,0)*0.475*44/12</f>
        <v>3.1223280287965554</v>
      </c>
      <c r="BR105" s="21">
        <f>EXP(-LN(2)/2)*BR104+(1-EXP(-LN(2)/2))/(LN(2)/2)*BL105*BO105*VLOOKUP('Données projet'!$B$11,Paramètres!$A$1:$I$89,3,0)*0.475*44/12</f>
        <v>2.9138531859046294E-10</v>
      </c>
      <c r="BS105" s="22">
        <f t="shared" si="63"/>
        <v>3.8533132293156553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7.5015384615384617</v>
      </c>
      <c r="BY105" s="12">
        <f>IF('Données projet'!$A$114&gt;35,BY104+BX105-CG104,IF(A105&lt;'Données projet'!$A$114,$BV$205^A105,IF(A105='Données projet'!$A$114,'Données projet'!$B$114,BY104+BX105-CG104)))</f>
        <v>287.21076923076953</v>
      </c>
      <c r="BZ105" s="13">
        <f>BY105*VLOOKUP('Données projet'!$B$12,Paramètres!$A$1:$I$89,3,0)*VLOOKUP('Données projet'!$B$12,Paramètres!$A$1:$I$89,5,0)</f>
        <v>134.41464000000013</v>
      </c>
      <c r="CA105" s="13">
        <f t="shared" si="93"/>
        <v>35.014461935490388</v>
      </c>
      <c r="CB105" s="20">
        <f t="shared" si="64"/>
        <v>295.08901920431265</v>
      </c>
      <c r="CC105" s="59">
        <f t="shared" si="65"/>
        <v>588.42235253764602</v>
      </c>
      <c r="CD105" s="59">
        <f ca="1">AVERAGE(OFFSET($CC$3,0,0,'Données projet'!$E$12+1,1))-AVERAGE(OFFSET($H$3,0,0,'Données projet'!$E$12+1,1))</f>
        <v>158.58786357608489</v>
      </c>
      <c r="CE105" s="59">
        <f t="shared" si="94"/>
        <v>163.20074068819849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4.1677594708744434E-14</v>
      </c>
      <c r="CV105" s="13">
        <f t="shared" si="95"/>
        <v>6.9326303456159188E-13</v>
      </c>
      <c r="CW105" s="20">
        <f t="shared" si="67"/>
        <v>1.2800215959791691E-12</v>
      </c>
      <c r="CX105" s="59">
        <f t="shared" si="68"/>
        <v>293.33333333333462</v>
      </c>
      <c r="CY105" s="59">
        <f ca="1">AVERAGE(OFFSET($CX$3,0,0,'Données projet'!$E$13+1,1))-AVERAGE(OFFSET($H$3,0,0,'Données projet'!$E$13+1,1))</f>
        <v>178.12968684094687</v>
      </c>
      <c r="CZ105" s="59">
        <f t="shared" si="96"/>
        <v>219.36004077210373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1.0444140903212464</v>
      </c>
      <c r="DH105" s="21">
        <f>EXP(-LN(2)/2)*DH104+(1-EXP(-LN(2)/2))/(LN(2)/2)*DB105*DE105*VLOOKUP('Données projet'!$B$13,Paramètres!$A$1:$I$89,3,0)*0.475*44/12</f>
        <v>1.4431883170143595E-10</v>
      </c>
      <c r="DI105" s="22">
        <f t="shared" si="69"/>
        <v>1.0444140904655652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-8.5265128291212022E-14</v>
      </c>
      <c r="DP105" s="17">
        <f>DO105*VLOOKUP('Données projet'!$B$14,Paramètres!$A$1:$I$89,3,0)*VLOOKUP('Données projet'!$B$14,Paramètres!$A$1:$I$89,5,0)</f>
        <v>-7.7147888077888636E-14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225.28075317732998</v>
      </c>
      <c r="DU105" s="59">
        <f t="shared" si="98"/>
        <v>358.43407531256207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0.53909962639282694</v>
      </c>
      <c r="EB105" s="21">
        <f>EXP(-LN(2)/25)*EB104+(1-EXP(-LN(2)/25))/(LN(2)/25)*Calculateur!DW105*Calculateur!DY105*VLOOKUP('Données projet'!$B$14,Paramètres!$A$1:$I$89,3,0)*0.475*44/12</f>
        <v>1.1236915473767624</v>
      </c>
      <c r="EC105" s="21">
        <f>EXP(-LN(2)/2)*EC104+(1-EXP(-LN(2)/2))/(LN(2)/2)*DW105*DZ105*VLOOKUP('Données projet'!$B$14,Paramètres!$A$1:$I$89,3,0)*0.475*44/12</f>
        <v>6.4232461081257842E-11</v>
      </c>
      <c r="ED105" s="22">
        <f t="shared" si="72"/>
        <v>1.6627911738338217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7.2711538461538394</v>
      </c>
      <c r="EJ105" s="12">
        <f>IF('Données projet'!$A$192&gt;35,EJ104+EI105-ER104,IF(A105&lt;'Données projet'!$A$192,$EG$205^A105,IF(A105='Données projet'!$A$192,'Données projet'!$B$192,EJ104+EI105-ER104)))</f>
        <v>304.18974358974327</v>
      </c>
      <c r="EK105" s="17">
        <f>EJ105*VLOOKUP('Données projet'!$B$15,Paramètres!$A$1:$I$89,3,0)*VLOOKUP('Données projet'!$B$15,Paramètres!$A$1:$I$89,5,0)</f>
        <v>308.44839999999971</v>
      </c>
      <c r="EL105" s="13">
        <f t="shared" si="99"/>
        <v>72.944699768355846</v>
      </c>
      <c r="EM105" s="20">
        <f t="shared" si="73"/>
        <v>664.25964876321927</v>
      </c>
      <c r="EN105" s="59">
        <f t="shared" si="74"/>
        <v>957.59298209655253</v>
      </c>
      <c r="EO105" s="59">
        <f ca="1">AVERAGE(OFFSET($EN$3,0,0,'Données projet'!$E$15+1,1))-AVERAGE(OFFSET($H$3,0,0,'Données projet'!$E$15+1,1))</f>
        <v>363.98308691765931</v>
      </c>
      <c r="EP105" s="59">
        <f t="shared" si="100"/>
        <v>181.47089407988187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7.2711538461538394</v>
      </c>
      <c r="FE105" s="12">
        <f>IF('Données projet'!$A$218&gt;35,FE104+FD105-FM104,IF(A105&lt;'Données projet'!$A$218,$FB$205^A105,IF(A105='Données projet'!$A$218,'Données projet'!$B$218,FE104+FD105-FM104)))</f>
        <v>304.18974358974327</v>
      </c>
      <c r="FF105" s="17">
        <f>FE105*VLOOKUP('Données projet'!$B$16,Paramètres!$A$1:$I$89,3,0)*VLOOKUP('Données projet'!$B$16,Paramètres!$A$1:$I$89,5,0)</f>
        <v>327.42983999999961</v>
      </c>
      <c r="FG105" s="13">
        <f t="shared" si="101"/>
        <v>76.897205191258777</v>
      </c>
      <c r="FH105" s="20">
        <f t="shared" si="76"/>
        <v>704.2029370414416</v>
      </c>
      <c r="FI105" s="59">
        <f t="shared" si="77"/>
        <v>997.53627037477486</v>
      </c>
      <c r="FJ105" s="59">
        <f ca="1">AVERAGE(OFFSET($FI$3,0,0,'Données projet'!$E$16+1,1))-AVERAGE(OFFSET($H$3,0,0,'Données projet'!$E$16+1,1))</f>
        <v>395.30533160963489</v>
      </c>
      <c r="FK105" s="59">
        <f t="shared" si="102"/>
        <v>196.02102977695085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227.99999999999986</v>
      </c>
      <c r="GA105" s="17">
        <f>FZ105*VLOOKUP('Données projet'!$B$17,Paramètres!$A$1:$I$89,3,0)*VLOOKUP('Données projet'!$B$17,Paramètres!$A$1:$I$89,5,0)</f>
        <v>238.30559999999986</v>
      </c>
      <c r="GB105" s="13">
        <f t="shared" si="103"/>
        <v>58.074821878967043</v>
      </c>
      <c r="GC105" s="20">
        <f t="shared" si="79"/>
        <v>516.19590143920061</v>
      </c>
      <c r="GD105" s="59">
        <f t="shared" si="80"/>
        <v>809.52923477253398</v>
      </c>
      <c r="GE105" s="59">
        <f ca="1">AVERAGE(OFFSET($GD$3,0,0,'Données projet'!$E$17+1,1))-AVERAGE(OFFSET($H$3,0,0,'Données projet'!$E$17+1,1))</f>
        <v>269.41185214595805</v>
      </c>
      <c r="GF105" s="59">
        <f t="shared" si="104"/>
        <v>299.70148160580993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1.523767792261296</v>
      </c>
      <c r="GM105" s="21">
        <f>EXP(-LN(2)/25)*GM104+(1-EXP(-LN(2)/25))/(LN(2)/25)*Calculateur!GH105*Calculateur!GJ105*VLOOKUP('Données projet'!$B$17,Paramètres!$A$1:$I$89,3,0)*0.475*44/12</f>
        <v>2.2038249568534325</v>
      </c>
      <c r="GN105" s="21">
        <f>EXP(-LN(2)/2)*GN104+(1-EXP(-LN(2)/2))/(LN(2)/2)*GH105*GK105*VLOOKUP('Données projet'!$B$17,Paramètres!$A$1:$I$89,3,0)*0.475*44/12</f>
        <v>2.7806772506064583E-10</v>
      </c>
      <c r="GO105" s="21">
        <f t="shared" si="81"/>
        <v>3.7275927493927963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5.6843418860808015E-14</v>
      </c>
      <c r="GV105" s="17">
        <f>GU105*VLOOKUP('Données projet'!$B$18,Paramètres!$A$1:$I$89,3,0)*VLOOKUP('Données projet'!$B$18,Paramètres!$A$1:$I$89,5,0)</f>
        <v>4.9658410716801891E-14</v>
      </c>
      <c r="GW105" s="13">
        <f t="shared" si="105"/>
        <v>8.0934058173791862E-13</v>
      </c>
      <c r="GX105" s="20">
        <f t="shared" si="82"/>
        <v>1.4960899118586383E-12</v>
      </c>
      <c r="GY105" s="59">
        <f t="shared" si="83"/>
        <v>293.33333333333479</v>
      </c>
      <c r="GZ105" s="59">
        <f ca="1">AVERAGE(OFFSET($GY$3,0,0,'Données projet'!$E$18+1,1))-AVERAGE(OFFSET($H$3,0,0,'Données projet'!$E$18+1,1))</f>
        <v>226.35975611953359</v>
      </c>
      <c r="HA105" s="59">
        <f t="shared" si="106"/>
        <v>271.65876694892461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1.5338055517434246</v>
      </c>
      <c r="HI105" s="21">
        <f>EXP(-LN(2)/2)*HI104+(1-EXP(-LN(2)/2))/(LN(2)/2)*HC105*HF105*VLOOKUP('Données projet'!$B$18,Paramètres!$A$1:$I$89,3,0)*0.475*44/12</f>
        <v>1.7195435266554067E-10</v>
      </c>
      <c r="HJ105" s="22">
        <f t="shared" si="84"/>
        <v>1.533805551915379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7.2711538461538394</v>
      </c>
      <c r="N106" s="13">
        <f>IF('Données projet'!$A$36&gt;35,N105+M106-V105,IF(A106&lt;'Données projet'!$A$36,$K$205^A106,IF(A106='Données projet'!$A$36,'Données projet'!$B$36,N105+M106-V105)))</f>
        <v>311.4608974358971</v>
      </c>
      <c r="O106" s="13">
        <f>N106*VLOOKUP('Données projet'!$B$9,Paramètres!$A$1:$I$89,3,0)*VLOOKUP('Données projet'!$B$9,Paramètres!$A$1:$I$89,5,0)</f>
        <v>281.80981999999966</v>
      </c>
      <c r="P106" s="13">
        <f t="shared" si="87"/>
        <v>67.349332340203063</v>
      </c>
      <c r="Q106" s="20">
        <f t="shared" si="107"/>
        <v>608.11885699251968</v>
      </c>
      <c r="R106" s="59">
        <f t="shared" si="55"/>
        <v>901.45219032585305</v>
      </c>
      <c r="S106" s="59">
        <f ca="1">AVERAGE(OFFSET($R$3,0,0,'Données projet'!$E$9+1,1))-AVERAGE(OFFSET($H$3,0,0,'Données projet'!$E$9+1,1))</f>
        <v>309.07357540707869</v>
      </c>
      <c r="T106" s="59">
        <f t="shared" si="88"/>
        <v>155.9593924683299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227.99999999999986</v>
      </c>
      <c r="AJ106" s="13">
        <f>AI106*VLOOKUP('Données projet'!$B$10,Paramètres!$A$1:$I$89,3,0)*VLOOKUP('Données projet'!$B$10,Paramètres!$A$1:$I$89,5,0)</f>
        <v>199.18079999999992</v>
      </c>
      <c r="AK106" s="13">
        <f t="shared" si="89"/>
        <v>49.564089376413683</v>
      </c>
      <c r="AL106" s="20">
        <f t="shared" si="58"/>
        <v>433.23068233058694</v>
      </c>
      <c r="AM106" s="59">
        <f t="shared" si="59"/>
        <v>726.56401566392026</v>
      </c>
      <c r="AN106" s="59">
        <f ca="1">AVERAGE(OFFSET($AM$3,0,0,'Données projet'!$E$10+1,1))-AVERAGE(OFFSET($H$3,0,0,'Données projet'!$E$10+1,1))</f>
        <v>210.07838338464626</v>
      </c>
      <c r="AO106" s="59">
        <f t="shared" si="90"/>
        <v>241.76003724236273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1.2486225011142009</v>
      </c>
      <c r="AV106" s="21">
        <f>EXP(-LN(2)/25)*AV105+(1-EXP(-LN(2)/25))/(LN(2)/25)*Calculateur!AQ106*Calculateur!AS106*VLOOKUP('Données projet'!$B$10,Paramètres!$A$1:$I$89,3,0)*0.475*44/12</f>
        <v>1.7916332815043705</v>
      </c>
      <c r="AW106" s="21">
        <f>EXP(-LN(2)/2)*AW105+(1-EXP(-LN(2)/2))/(LN(2)/2)*AQ106*AT106*VLOOKUP('Données projet'!$B$10,Paramètres!$A$1:$I$89,3,0)*0.475*44/12</f>
        <v>1.6434209171779114E-10</v>
      </c>
      <c r="AX106" s="21">
        <f t="shared" si="60"/>
        <v>3.0402557827829133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2.2737367544323206E-13</v>
      </c>
      <c r="BE106" s="13">
        <f>BD106*VLOOKUP('Données projet'!$B$11,Paramètres!$A$1:$I$89,3,0)*VLOOKUP('Données projet'!$B$11,Paramètres!$A$1:$I$89,5,0)</f>
        <v>1.2414602679200471E-13</v>
      </c>
      <c r="BF106" s="13">
        <f t="shared" si="91"/>
        <v>1.8186582995804361E-12</v>
      </c>
      <c r="BG106" s="20">
        <f t="shared" si="61"/>
        <v>3.3837175350986671E-12</v>
      </c>
      <c r="BH106" s="59">
        <f t="shared" si="62"/>
        <v>293.33333333333672</v>
      </c>
      <c r="BI106" s="59">
        <f ca="1">AVERAGE(OFFSET($BH$3,0,0,'Données projet'!$E$11+1,1))-AVERAGE(OFFSET($H$3,0,0,'Données projet'!$E$11+1,1))</f>
        <v>168.72306536277267</v>
      </c>
      <c r="BJ106" s="59">
        <f t="shared" si="92"/>
        <v>203.35476578922339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0.71665102630819666</v>
      </c>
      <c r="BQ106" s="21">
        <f>EXP(-LN(2)/25)*BQ105+(1-EXP(-LN(2)/25))/(LN(2)/25)*Calculateur!BL106*Calculateur!BN106*VLOOKUP('Données projet'!$B$11,Paramètres!$A$1:$I$89,3,0)*0.475*44/12</f>
        <v>3.0369478046530185</v>
      </c>
      <c r="BR106" s="21">
        <f>EXP(-LN(2)/2)*BR105+(1-EXP(-LN(2)/2))/(LN(2)/2)*BL106*BO106*VLOOKUP('Données projet'!$B$11,Paramètres!$A$1:$I$89,3,0)*0.475*44/12</f>
        <v>2.0604053471351892E-10</v>
      </c>
      <c r="BS106" s="22">
        <f t="shared" si="63"/>
        <v>3.7535988311672557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7.5015384615384617</v>
      </c>
      <c r="BY106" s="12">
        <f>IF('Données projet'!$A$114&gt;35,BY105+BX106-CG105,IF(A106&lt;'Données projet'!$A$114,$BV$205^A106,IF(A106='Données projet'!$A$114,'Données projet'!$B$114,BY105+BX106-CG105)))</f>
        <v>294.712307692308</v>
      </c>
      <c r="BZ106" s="13">
        <f>BY106*VLOOKUP('Données projet'!$B$12,Paramètres!$A$1:$I$89,3,0)*VLOOKUP('Données projet'!$B$12,Paramètres!$A$1:$I$89,5,0)</f>
        <v>137.92536000000015</v>
      </c>
      <c r="CA106" s="13">
        <f t="shared" si="93"/>
        <v>35.82132242479814</v>
      </c>
      <c r="CB106" s="20">
        <f t="shared" si="64"/>
        <v>302.6088052231903</v>
      </c>
      <c r="CC106" s="59">
        <f t="shared" si="65"/>
        <v>595.94213855652356</v>
      </c>
      <c r="CD106" s="59">
        <f ca="1">AVERAGE(OFFSET($CC$3,0,0,'Données projet'!$E$12+1,1))-AVERAGE(OFFSET($H$3,0,0,'Données projet'!$E$12+1,1))</f>
        <v>158.58786357608489</v>
      </c>
      <c r="CE106" s="59">
        <f t="shared" si="94"/>
        <v>163.20074068819849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4.1677594708744434E-14</v>
      </c>
      <c r="CV106" s="13">
        <f t="shared" si="95"/>
        <v>6.9326303456159188E-13</v>
      </c>
      <c r="CW106" s="20">
        <f t="shared" si="67"/>
        <v>1.2800215959791691E-12</v>
      </c>
      <c r="CX106" s="59">
        <f t="shared" si="68"/>
        <v>293.33333333333462</v>
      </c>
      <c r="CY106" s="59">
        <f ca="1">AVERAGE(OFFSET($CX$3,0,0,'Données projet'!$E$13+1,1))-AVERAGE(OFFSET($H$3,0,0,'Données projet'!$E$13+1,1))</f>
        <v>178.12968684094687</v>
      </c>
      <c r="CZ106" s="59">
        <f t="shared" si="96"/>
        <v>219.36004077210373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1.0158545320980621</v>
      </c>
      <c r="DH106" s="21">
        <f>EXP(-LN(2)/2)*DH105+(1-EXP(-LN(2)/2))/(LN(2)/2)*DB106*DE106*VLOOKUP('Données projet'!$B$13,Paramètres!$A$1:$I$89,3,0)*0.475*44/12</f>
        <v>1.0204882454900545E-10</v>
      </c>
      <c r="DI106" s="22">
        <f t="shared" si="69"/>
        <v>1.0158545322001109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-8.5265128291212022E-14</v>
      </c>
      <c r="DP106" s="17">
        <f>DO106*VLOOKUP('Données projet'!$B$14,Paramètres!$A$1:$I$89,3,0)*VLOOKUP('Données projet'!$B$14,Paramètres!$A$1:$I$89,5,0)</f>
        <v>-7.7147888077888636E-14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225.28075317732998</v>
      </c>
      <c r="DU106" s="59">
        <f t="shared" si="98"/>
        <v>358.43407531256207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0.52852821153756757</v>
      </c>
      <c r="EB106" s="21">
        <f>EXP(-LN(2)/25)*EB105+(1-EXP(-LN(2)/25))/(LN(2)/25)*Calculateur!DW106*Calculateur!DY106*VLOOKUP('Données projet'!$B$14,Paramètres!$A$1:$I$89,3,0)*0.475*44/12</f>
        <v>1.0929641429213746</v>
      </c>
      <c r="EC106" s="21">
        <f>EXP(-LN(2)/2)*EC105+(1-EXP(-LN(2)/2))/(LN(2)/2)*DW106*DZ106*VLOOKUP('Données projet'!$B$14,Paramètres!$A$1:$I$89,3,0)*0.475*44/12</f>
        <v>4.5419208802858418E-11</v>
      </c>
      <c r="ED106" s="22">
        <f t="shared" si="72"/>
        <v>1.6214923545043614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7.2711538461538394</v>
      </c>
      <c r="EJ106" s="12">
        <f>IF('Données projet'!$A$192&gt;35,EJ105+EI106-ER105,IF(A106&lt;'Données projet'!$A$192,$EG$205^A106,IF(A106='Données projet'!$A$192,'Données projet'!$B$192,EJ105+EI106-ER105)))</f>
        <v>311.4608974358971</v>
      </c>
      <c r="EK106" s="17">
        <f>EJ106*VLOOKUP('Données projet'!$B$15,Paramètres!$A$1:$I$89,3,0)*VLOOKUP('Données projet'!$B$15,Paramètres!$A$1:$I$89,5,0)</f>
        <v>315.82134999999971</v>
      </c>
      <c r="EL106" s="13">
        <f t="shared" si="99"/>
        <v>74.483240256864079</v>
      </c>
      <c r="EM106" s="20">
        <f t="shared" si="73"/>
        <v>679.78049469737095</v>
      </c>
      <c r="EN106" s="59">
        <f t="shared" si="74"/>
        <v>973.11382803070433</v>
      </c>
      <c r="EO106" s="59">
        <f ca="1">AVERAGE(OFFSET($EN$3,0,0,'Données projet'!$E$15+1,1))-AVERAGE(OFFSET($H$3,0,0,'Données projet'!$E$15+1,1))</f>
        <v>363.98308691765931</v>
      </c>
      <c r="EP106" s="59">
        <f t="shared" si="100"/>
        <v>181.47089407988187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7.2711538461538394</v>
      </c>
      <c r="FE106" s="12">
        <f>IF('Données projet'!$A$218&gt;35,FE105+FD106-FM105,IF(A106&lt;'Données projet'!$A$218,$FB$205^A106,IF(A106='Données projet'!$A$218,'Données projet'!$B$218,FE105+FD106-FM105)))</f>
        <v>311.4608974358971</v>
      </c>
      <c r="FF106" s="17">
        <f>FE106*VLOOKUP('Données projet'!$B$16,Paramètres!$A$1:$I$89,3,0)*VLOOKUP('Données projet'!$B$16,Paramètres!$A$1:$I$89,5,0)</f>
        <v>335.25650999999965</v>
      </c>
      <c r="FG106" s="13">
        <f t="shared" si="101"/>
        <v>78.519111430033945</v>
      </c>
      <c r="FH106" s="20">
        <f t="shared" si="76"/>
        <v>720.65920732397524</v>
      </c>
      <c r="FI106" s="59">
        <f t="shared" si="77"/>
        <v>1013.9925406573086</v>
      </c>
      <c r="FJ106" s="59">
        <f ca="1">AVERAGE(OFFSET($FI$3,0,0,'Données projet'!$E$16+1,1))-AVERAGE(OFFSET($H$3,0,0,'Données projet'!$E$16+1,1))</f>
        <v>395.30533160963489</v>
      </c>
      <c r="FK106" s="59">
        <f t="shared" si="102"/>
        <v>196.02102977695085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227.99999999999986</v>
      </c>
      <c r="GA106" s="17">
        <f>FZ106*VLOOKUP('Données projet'!$B$17,Paramètres!$A$1:$I$89,3,0)*VLOOKUP('Données projet'!$B$17,Paramètres!$A$1:$I$89,5,0)</f>
        <v>238.30559999999986</v>
      </c>
      <c r="GB106" s="13">
        <f t="shared" si="103"/>
        <v>58.074821878967043</v>
      </c>
      <c r="GC106" s="20">
        <f t="shared" si="79"/>
        <v>516.19590143920061</v>
      </c>
      <c r="GD106" s="59">
        <f t="shared" si="80"/>
        <v>809.52923477253398</v>
      </c>
      <c r="GE106" s="59">
        <f ca="1">AVERAGE(OFFSET($GD$3,0,0,'Données projet'!$E$17+1,1))-AVERAGE(OFFSET($H$3,0,0,'Données projet'!$E$17+1,1))</f>
        <v>269.41185214595805</v>
      </c>
      <c r="GF106" s="59">
        <f t="shared" si="104"/>
        <v>299.70148160580993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1.4938876352616339</v>
      </c>
      <c r="GM106" s="21">
        <f>EXP(-LN(2)/25)*GM105+(1-EXP(-LN(2)/25))/(LN(2)/25)*Calculateur!GH106*Calculateur!GJ106*VLOOKUP('Données projet'!$B$17,Paramètres!$A$1:$I$89,3,0)*0.475*44/12</f>
        <v>2.1435612475141577</v>
      </c>
      <c r="GN106" s="21">
        <f>EXP(-LN(2)/2)*GN105+(1-EXP(-LN(2)/2))/(LN(2)/2)*GH106*GK106*VLOOKUP('Données projet'!$B$17,Paramètres!$A$1:$I$89,3,0)*0.475*44/12</f>
        <v>1.9662357401949915E-10</v>
      </c>
      <c r="GO106" s="21">
        <f t="shared" si="81"/>
        <v>3.6374488829724152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5.6843418860808015E-14</v>
      </c>
      <c r="GV106" s="17">
        <f>GU106*VLOOKUP('Données projet'!$B$18,Paramètres!$A$1:$I$89,3,0)*VLOOKUP('Données projet'!$B$18,Paramètres!$A$1:$I$89,5,0)</f>
        <v>4.9658410716801891E-14</v>
      </c>
      <c r="GW106" s="13">
        <f t="shared" si="105"/>
        <v>8.0934058173791862E-13</v>
      </c>
      <c r="GX106" s="20">
        <f t="shared" si="82"/>
        <v>1.4960899118586383E-12</v>
      </c>
      <c r="GY106" s="59">
        <f t="shared" si="83"/>
        <v>293.33333333333479</v>
      </c>
      <c r="GZ106" s="59">
        <f ca="1">AVERAGE(OFFSET($GY$3,0,0,'Données projet'!$E$18+1,1))-AVERAGE(OFFSET($H$3,0,0,'Données projet'!$E$18+1,1))</f>
        <v>226.35975611953359</v>
      </c>
      <c r="HA106" s="59">
        <f t="shared" si="106"/>
        <v>271.65876694892461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1.4918635582716722</v>
      </c>
      <c r="HI106" s="21">
        <f>EXP(-LN(2)/2)*HI105+(1-EXP(-LN(2)/2))/(LN(2)/2)*HC106*HF106*VLOOKUP('Données projet'!$B$18,Paramètres!$A$1:$I$89,3,0)*0.475*44/12</f>
        <v>1.2159008882434689E-10</v>
      </c>
      <c r="HJ106" s="22">
        <f t="shared" si="84"/>
        <v>1.4918635583932622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7.2711538461538394</v>
      </c>
      <c r="N107" s="13">
        <f>IF('Données projet'!$A$36&gt;35,N106+M107-V106,IF(A107&lt;'Données projet'!$A$36,$K$205^A107,IF(A107='Données projet'!$A$36,'Données projet'!$B$36,N106+M107-V106)))</f>
        <v>318.73205128205092</v>
      </c>
      <c r="O107" s="13">
        <f>N107*VLOOKUP('Données projet'!$B$9,Paramètres!$A$1:$I$89,3,0)*VLOOKUP('Données projet'!$B$9,Paramètres!$A$1:$I$89,5,0)</f>
        <v>288.38875999999971</v>
      </c>
      <c r="P107" s="13">
        <f t="shared" si="87"/>
        <v>68.736737801641027</v>
      </c>
      <c r="Q107" s="20">
        <f t="shared" si="107"/>
        <v>621.99357533785758</v>
      </c>
      <c r="R107" s="59">
        <f t="shared" si="55"/>
        <v>915.32690867119095</v>
      </c>
      <c r="S107" s="59">
        <f ca="1">AVERAGE(OFFSET($R$3,0,0,'Données projet'!$E$9+1,1))-AVERAGE(OFFSET($H$3,0,0,'Données projet'!$E$9+1,1))</f>
        <v>309.07357540707869</v>
      </c>
      <c r="T107" s="59">
        <f t="shared" si="88"/>
        <v>155.9593924683299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227.99999999999986</v>
      </c>
      <c r="AJ107" s="13">
        <f>AI107*VLOOKUP('Données projet'!$B$10,Paramètres!$A$1:$I$89,3,0)*VLOOKUP('Données projet'!$B$10,Paramètres!$A$1:$I$89,5,0)</f>
        <v>199.18079999999992</v>
      </c>
      <c r="AK107" s="13">
        <f t="shared" si="89"/>
        <v>49.564089376413683</v>
      </c>
      <c r="AL107" s="20">
        <f t="shared" si="58"/>
        <v>433.23068233058694</v>
      </c>
      <c r="AM107" s="59">
        <f t="shared" si="59"/>
        <v>726.56401566392026</v>
      </c>
      <c r="AN107" s="59">
        <f ca="1">AVERAGE(OFFSET($AM$3,0,0,'Données projet'!$E$10+1,1))-AVERAGE(OFFSET($H$3,0,0,'Données projet'!$E$10+1,1))</f>
        <v>210.07838338464626</v>
      </c>
      <c r="AO107" s="59">
        <f t="shared" si="90"/>
        <v>241.76003724236273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1.224137775451877</v>
      </c>
      <c r="AV107" s="21">
        <f>EXP(-LN(2)/25)*AV106+(1-EXP(-LN(2)/25))/(LN(2)/25)*Calculateur!AQ107*Calculateur!AS107*VLOOKUP('Données projet'!$B$10,Paramètres!$A$1:$I$89,3,0)*0.475*44/12</f>
        <v>1.742640975203734</v>
      </c>
      <c r="AW107" s="21">
        <f>EXP(-LN(2)/2)*AW106+(1-EXP(-LN(2)/2))/(LN(2)/2)*AQ107*AT107*VLOOKUP('Données projet'!$B$10,Paramètres!$A$1:$I$89,3,0)*0.475*44/12</f>
        <v>1.1620740748803168E-10</v>
      </c>
      <c r="AX107" s="21">
        <f t="shared" si="60"/>
        <v>2.9667787507718186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2.2737367544323206E-13</v>
      </c>
      <c r="BE107" s="13">
        <f>BD107*VLOOKUP('Données projet'!$B$11,Paramètres!$A$1:$I$89,3,0)*VLOOKUP('Données projet'!$B$11,Paramètres!$A$1:$I$89,5,0)</f>
        <v>1.2414602679200471E-13</v>
      </c>
      <c r="BF107" s="13">
        <f t="shared" si="91"/>
        <v>1.8186582995804361E-12</v>
      </c>
      <c r="BG107" s="20">
        <f t="shared" si="61"/>
        <v>3.3837175350986671E-12</v>
      </c>
      <c r="BH107" s="59">
        <f t="shared" si="62"/>
        <v>293.33333333333672</v>
      </c>
      <c r="BI107" s="59">
        <f ca="1">AVERAGE(OFFSET($BH$3,0,0,'Données projet'!$E$11+1,1))-AVERAGE(OFFSET($H$3,0,0,'Données projet'!$E$11+1,1))</f>
        <v>168.72306536277267</v>
      </c>
      <c r="BJ107" s="59">
        <f t="shared" si="92"/>
        <v>203.35476578922339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0.70259793679625759</v>
      </c>
      <c r="BQ107" s="21">
        <f>EXP(-LN(2)/25)*BQ106+(1-EXP(-LN(2)/25))/(LN(2)/25)*Calculateur!BL107*Calculateur!BN107*VLOOKUP('Données projet'!$B$11,Paramètres!$A$1:$I$89,3,0)*0.475*44/12</f>
        <v>2.9539023072286379</v>
      </c>
      <c r="BR107" s="21">
        <f>EXP(-LN(2)/2)*BR106+(1-EXP(-LN(2)/2))/(LN(2)/2)*BL107*BO107*VLOOKUP('Données projet'!$B$11,Paramètres!$A$1:$I$89,3,0)*0.475*44/12</f>
        <v>1.4569265929523147E-10</v>
      </c>
      <c r="BS107" s="22">
        <f t="shared" si="63"/>
        <v>3.6565002441705885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7.5015384615384617</v>
      </c>
      <c r="BY107" s="12">
        <f>IF('Données projet'!$A$114&gt;35,BY106+BX107-CG106,IF(A107&lt;'Données projet'!$A$114,$BV$205^A107,IF(A107='Données projet'!$A$114,'Données projet'!$B$114,BY106+BX107-CG106)))</f>
        <v>302.21384615384648</v>
      </c>
      <c r="BZ107" s="13">
        <f>BY107*VLOOKUP('Données projet'!$B$12,Paramètres!$A$1:$I$89,3,0)*VLOOKUP('Données projet'!$B$12,Paramètres!$A$1:$I$89,5,0)</f>
        <v>141.43608000000015</v>
      </c>
      <c r="CA107" s="13">
        <f t="shared" si="93"/>
        <v>36.625795598426585</v>
      </c>
      <c r="CB107" s="20">
        <f t="shared" si="64"/>
        <v>310.12443333392656</v>
      </c>
      <c r="CC107" s="59">
        <f t="shared" si="65"/>
        <v>603.45776666725988</v>
      </c>
      <c r="CD107" s="59">
        <f ca="1">AVERAGE(OFFSET($CC$3,0,0,'Données projet'!$E$12+1,1))-AVERAGE(OFFSET($H$3,0,0,'Données projet'!$E$12+1,1))</f>
        <v>158.58786357608489</v>
      </c>
      <c r="CE107" s="59">
        <f t="shared" si="94"/>
        <v>163.20074068819849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4.1677594708744434E-14</v>
      </c>
      <c r="CV107" s="13">
        <f t="shared" si="95"/>
        <v>6.9326303456159188E-13</v>
      </c>
      <c r="CW107" s="20">
        <f t="shared" si="67"/>
        <v>1.2800215959791691E-12</v>
      </c>
      <c r="CX107" s="59">
        <f t="shared" si="68"/>
        <v>293.33333333333462</v>
      </c>
      <c r="CY107" s="59">
        <f ca="1">AVERAGE(OFFSET($CX$3,0,0,'Données projet'!$E$13+1,1))-AVERAGE(OFFSET($H$3,0,0,'Données projet'!$E$13+1,1))</f>
        <v>178.12968684094687</v>
      </c>
      <c r="CZ107" s="59">
        <f t="shared" si="96"/>
        <v>219.36004077210373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0.98807593649637249</v>
      </c>
      <c r="DH107" s="21">
        <f>EXP(-LN(2)/2)*DH106+(1-EXP(-LN(2)/2))/(LN(2)/2)*DB107*DE107*VLOOKUP('Données projet'!$B$13,Paramètres!$A$1:$I$89,3,0)*0.475*44/12</f>
        <v>7.2159415850717977E-11</v>
      </c>
      <c r="DI107" s="22">
        <f t="shared" si="69"/>
        <v>0.98807593656853188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-8.5265128291212022E-14</v>
      </c>
      <c r="DP107" s="17">
        <f>DO107*VLOOKUP('Données projet'!$B$14,Paramètres!$A$1:$I$89,3,0)*VLOOKUP('Données projet'!$B$14,Paramètres!$A$1:$I$89,5,0)</f>
        <v>-7.7147888077888636E-14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225.28075317732998</v>
      </c>
      <c r="DU107" s="59">
        <f t="shared" si="98"/>
        <v>358.43407531256207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0.51816409567969346</v>
      </c>
      <c r="EB107" s="21">
        <f>EXP(-LN(2)/25)*EB106+(1-EXP(-LN(2)/25))/(LN(2)/25)*Calculateur!DW107*Calculateur!DY107*VLOOKUP('Données projet'!$B$14,Paramètres!$A$1:$I$89,3,0)*0.475*44/12</f>
        <v>1.0630769809567033</v>
      </c>
      <c r="EC107" s="21">
        <f>EXP(-LN(2)/2)*EC106+(1-EXP(-LN(2)/2))/(LN(2)/2)*DW107*DZ107*VLOOKUP('Données projet'!$B$14,Paramètres!$A$1:$I$89,3,0)*0.475*44/12</f>
        <v>3.2116230540628921E-11</v>
      </c>
      <c r="ED107" s="22">
        <f t="shared" si="72"/>
        <v>1.581241076668513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7.2711538461538394</v>
      </c>
      <c r="EJ107" s="12">
        <f>IF('Données projet'!$A$192&gt;35,EJ106+EI107-ER106,IF(A107&lt;'Données projet'!$A$192,$EG$205^A107,IF(A107='Données projet'!$A$192,'Données projet'!$B$192,EJ106+EI107-ER106)))</f>
        <v>318.73205128205092</v>
      </c>
      <c r="EK107" s="17">
        <f>EJ107*VLOOKUP('Données projet'!$B$15,Paramètres!$A$1:$I$89,3,0)*VLOOKUP('Données projet'!$B$15,Paramètres!$A$1:$I$89,5,0)</f>
        <v>323.19429999999966</v>
      </c>
      <c r="EL107" s="13">
        <f t="shared" si="99"/>
        <v>76.017605197498824</v>
      </c>
      <c r="EM107" s="20">
        <f t="shared" si="73"/>
        <v>695.29406821897646</v>
      </c>
      <c r="EN107" s="59">
        <f t="shared" si="74"/>
        <v>988.62740155230972</v>
      </c>
      <c r="EO107" s="59">
        <f ca="1">AVERAGE(OFFSET($EN$3,0,0,'Données projet'!$E$15+1,1))-AVERAGE(OFFSET($H$3,0,0,'Données projet'!$E$15+1,1))</f>
        <v>363.98308691765931</v>
      </c>
      <c r="EP107" s="59">
        <f t="shared" si="100"/>
        <v>181.47089407988187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7.2711538461538394</v>
      </c>
      <c r="FE107" s="12">
        <f>IF('Données projet'!$A$218&gt;35,FE106+FD107-FM106,IF(A107&lt;'Données projet'!$A$218,$FB$205^A107,IF(A107='Données projet'!$A$218,'Données projet'!$B$218,FE106+FD107-FM106)))</f>
        <v>318.73205128205092</v>
      </c>
      <c r="FF107" s="17">
        <f>FE107*VLOOKUP('Données projet'!$B$16,Paramètres!$A$1:$I$89,3,0)*VLOOKUP('Données projet'!$B$16,Paramètres!$A$1:$I$89,5,0)</f>
        <v>343.08317999999957</v>
      </c>
      <c r="FG107" s="13">
        <f t="shared" si="101"/>
        <v>80.136615869053557</v>
      </c>
      <c r="FH107" s="20">
        <f t="shared" si="76"/>
        <v>737.10781113860082</v>
      </c>
      <c r="FI107" s="59">
        <f t="shared" si="77"/>
        <v>1030.4411444719342</v>
      </c>
      <c r="FJ107" s="59">
        <f ca="1">AVERAGE(OFFSET($FI$3,0,0,'Données projet'!$E$16+1,1))-AVERAGE(OFFSET($H$3,0,0,'Données projet'!$E$16+1,1))</f>
        <v>395.30533160963489</v>
      </c>
      <c r="FK107" s="59">
        <f t="shared" si="102"/>
        <v>196.02102977695085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227.99999999999986</v>
      </c>
      <c r="GA107" s="17">
        <f>FZ107*VLOOKUP('Données projet'!$B$17,Paramètres!$A$1:$I$89,3,0)*VLOOKUP('Données projet'!$B$17,Paramètres!$A$1:$I$89,5,0)</f>
        <v>238.30559999999986</v>
      </c>
      <c r="GB107" s="13">
        <f t="shared" si="103"/>
        <v>58.074821878967043</v>
      </c>
      <c r="GC107" s="20">
        <f t="shared" si="79"/>
        <v>516.19590143920061</v>
      </c>
      <c r="GD107" s="59">
        <f t="shared" si="80"/>
        <v>809.52923477253398</v>
      </c>
      <c r="GE107" s="59">
        <f ca="1">AVERAGE(OFFSET($GD$3,0,0,'Données projet'!$E$17+1,1))-AVERAGE(OFFSET($H$3,0,0,'Données projet'!$E$17+1,1))</f>
        <v>269.41185214595805</v>
      </c>
      <c r="GF107" s="59">
        <f t="shared" si="104"/>
        <v>299.70148160580993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1.464593409915639</v>
      </c>
      <c r="GM107" s="21">
        <f>EXP(-LN(2)/25)*GM106+(1-EXP(-LN(2)/25))/(LN(2)/25)*Calculateur!GH107*Calculateur!GJ107*VLOOKUP('Données projet'!$B$17,Paramètres!$A$1:$I$89,3,0)*0.475*44/12</f>
        <v>2.0849454524758961</v>
      </c>
      <c r="GN107" s="21">
        <f>EXP(-LN(2)/2)*GN106+(1-EXP(-LN(2)/2))/(LN(2)/2)*GH107*GK107*VLOOKUP('Données projet'!$B$17,Paramètres!$A$1:$I$89,3,0)*0.475*44/12</f>
        <v>1.3903386253032292E-10</v>
      </c>
      <c r="GO107" s="21">
        <f t="shared" si="81"/>
        <v>3.5495388625305688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5.6843418860808015E-14</v>
      </c>
      <c r="GV107" s="17">
        <f>GU107*VLOOKUP('Données projet'!$B$18,Paramètres!$A$1:$I$89,3,0)*VLOOKUP('Données projet'!$B$18,Paramètres!$A$1:$I$89,5,0)</f>
        <v>4.9658410716801891E-14</v>
      </c>
      <c r="GW107" s="13">
        <f t="shared" si="105"/>
        <v>8.0934058173791862E-13</v>
      </c>
      <c r="GX107" s="20">
        <f t="shared" si="82"/>
        <v>1.4960899118586383E-12</v>
      </c>
      <c r="GY107" s="59">
        <f t="shared" si="83"/>
        <v>293.33333333333479</v>
      </c>
      <c r="GZ107" s="59">
        <f ca="1">AVERAGE(OFFSET($GY$3,0,0,'Données projet'!$E$18+1,1))-AVERAGE(OFFSET($H$3,0,0,'Données projet'!$E$18+1,1))</f>
        <v>226.35975611953359</v>
      </c>
      <c r="HA107" s="59">
        <f t="shared" si="106"/>
        <v>271.65876694892461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1.4510684708170385</v>
      </c>
      <c r="HI107" s="21">
        <f>EXP(-LN(2)/2)*HI106+(1-EXP(-LN(2)/2))/(LN(2)/2)*HC107*HF107*VLOOKUP('Données projet'!$B$18,Paramètres!$A$1:$I$89,3,0)*0.475*44/12</f>
        <v>8.5977176332770335E-11</v>
      </c>
      <c r="HJ107" s="22">
        <f t="shared" si="84"/>
        <v>1.4510684709030157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7.2711538461538394</v>
      </c>
      <c r="N108" s="13">
        <f>IF('Données projet'!$A$36&gt;35,N107+M108-V107,IF(A108&lt;'Données projet'!$A$36,$K$205^A108,IF(A108='Données projet'!$A$36,'Données projet'!$B$36,N107+M108-V107)))</f>
        <v>326.00320512820474</v>
      </c>
      <c r="O108" s="13">
        <f>N108*VLOOKUP('Données projet'!$B$9,Paramètres!$A$1:$I$89,3,0)*VLOOKUP('Données projet'!$B$9,Paramètres!$A$1:$I$89,5,0)</f>
        <v>294.96769999999964</v>
      </c>
      <c r="P108" s="13">
        <f t="shared" si="87"/>
        <v>70.120463691076594</v>
      </c>
      <c r="Q108" s="20">
        <f t="shared" si="107"/>
        <v>635.86188509529109</v>
      </c>
      <c r="R108" s="59">
        <f t="shared" si="55"/>
        <v>929.19521842862446</v>
      </c>
      <c r="S108" s="59">
        <f ca="1">AVERAGE(OFFSET($R$3,0,0,'Données projet'!$E$9+1,1))-AVERAGE(OFFSET($H$3,0,0,'Données projet'!$E$9+1,1))</f>
        <v>309.07357540707869</v>
      </c>
      <c r="T108" s="59">
        <f t="shared" si="88"/>
        <v>155.9593924683299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227.99999999999986</v>
      </c>
      <c r="AJ108" s="13">
        <f>AI108*VLOOKUP('Données projet'!$B$10,Paramètres!$A$1:$I$89,3,0)*VLOOKUP('Données projet'!$B$10,Paramètres!$A$1:$I$89,5,0)</f>
        <v>199.18079999999992</v>
      </c>
      <c r="AK108" s="13">
        <f t="shared" si="89"/>
        <v>49.564089376413683</v>
      </c>
      <c r="AL108" s="20">
        <f t="shared" si="58"/>
        <v>433.23068233058694</v>
      </c>
      <c r="AM108" s="59">
        <f t="shared" si="59"/>
        <v>726.56401566392026</v>
      </c>
      <c r="AN108" s="59">
        <f ca="1">AVERAGE(OFFSET($AM$3,0,0,'Données projet'!$E$10+1,1))-AVERAGE(OFFSET($H$3,0,0,'Données projet'!$E$10+1,1))</f>
        <v>210.07838338464626</v>
      </c>
      <c r="AO108" s="59">
        <f t="shared" si="90"/>
        <v>241.76003724236273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1.200133180325583</v>
      </c>
      <c r="AV108" s="21">
        <f>EXP(-LN(2)/25)*AV107+(1-EXP(-LN(2)/25))/(LN(2)/25)*Calculateur!AQ108*Calculateur!AS108*VLOOKUP('Données projet'!$B$10,Paramètres!$A$1:$I$89,3,0)*0.475*44/12</f>
        <v>1.6949883660952818</v>
      </c>
      <c r="AW108" s="21">
        <f>EXP(-LN(2)/2)*AW107+(1-EXP(-LN(2)/2))/(LN(2)/2)*AQ108*AT108*VLOOKUP('Données projet'!$B$10,Paramètres!$A$1:$I$89,3,0)*0.475*44/12</f>
        <v>8.2171045858895584E-11</v>
      </c>
      <c r="AX108" s="21">
        <f t="shared" si="60"/>
        <v>2.8951215465030358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2.2737367544323206E-13</v>
      </c>
      <c r="BE108" s="13">
        <f>BD108*VLOOKUP('Données projet'!$B$11,Paramètres!$A$1:$I$89,3,0)*VLOOKUP('Données projet'!$B$11,Paramètres!$A$1:$I$89,5,0)</f>
        <v>1.2414602679200471E-13</v>
      </c>
      <c r="BF108" s="13">
        <f t="shared" si="91"/>
        <v>1.8186582995804361E-12</v>
      </c>
      <c r="BG108" s="20">
        <f t="shared" si="61"/>
        <v>3.3837175350986671E-12</v>
      </c>
      <c r="BH108" s="59">
        <f t="shared" si="62"/>
        <v>293.33333333333672</v>
      </c>
      <c r="BI108" s="59">
        <f ca="1">AVERAGE(OFFSET($BH$3,0,0,'Données projet'!$E$11+1,1))-AVERAGE(OFFSET($H$3,0,0,'Données projet'!$E$11+1,1))</f>
        <v>168.72306536277267</v>
      </c>
      <c r="BJ108" s="59">
        <f t="shared" si="92"/>
        <v>203.35476578922339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0.68882041979810937</v>
      </c>
      <c r="BQ108" s="21">
        <f>EXP(-LN(2)/25)*BQ107+(1-EXP(-LN(2)/25))/(LN(2)/25)*Calculateur!BL108*Calculateur!BN108*VLOOKUP('Données projet'!$B$11,Paramètres!$A$1:$I$89,3,0)*0.475*44/12</f>
        <v>2.8731276932984997</v>
      </c>
      <c r="BR108" s="21">
        <f>EXP(-LN(2)/2)*BR107+(1-EXP(-LN(2)/2))/(LN(2)/2)*BL108*BO108*VLOOKUP('Données projet'!$B$11,Paramètres!$A$1:$I$89,3,0)*0.475*44/12</f>
        <v>1.0302026735675946E-10</v>
      </c>
      <c r="BS108" s="22">
        <f t="shared" si="63"/>
        <v>3.5619481131996293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309.71538461538461</v>
      </c>
      <c r="BW108" s="12">
        <f>VLOOKUP(A108,'Données projet'!$A$113:$I$133,9,0)</f>
        <v>7.5015384615384617</v>
      </c>
      <c r="BX108" s="12">
        <f t="array" ref="BX108">INDEX(BW:BW,MIN(IF(ISNUMBER(BW108:BW304),ROW(BW108:BW304),"")))</f>
        <v>7.5015384615384617</v>
      </c>
      <c r="BY108" s="12">
        <f>IF('Données projet'!$A$114&gt;35,BY107+BX108-CG107,IF(A108&lt;'Données projet'!$A$114,$BV$205^A108,IF(A108='Données projet'!$A$114,'Données projet'!$B$114,BY107+BX108-CG107)))</f>
        <v>309.71538461538495</v>
      </c>
      <c r="BZ108" s="13">
        <f>BY108*VLOOKUP('Données projet'!$B$12,Paramètres!$A$1:$I$89,3,0)*VLOOKUP('Données projet'!$B$12,Paramètres!$A$1:$I$89,5,0)</f>
        <v>144.94680000000017</v>
      </c>
      <c r="CA108" s="13">
        <f t="shared" si="93"/>
        <v>37.427947530076956</v>
      </c>
      <c r="CB108" s="20">
        <f t="shared" si="64"/>
        <v>317.63601861488428</v>
      </c>
      <c r="CC108" s="59">
        <f t="shared" si="65"/>
        <v>610.96935194821754</v>
      </c>
      <c r="CD108" s="59">
        <f ca="1">AVERAGE(OFFSET($CC$3,0,0,'Données projet'!$E$12+1,1))-AVERAGE(OFFSET($H$3,0,0,'Données projet'!$E$12+1,1))</f>
        <v>158.58786357608489</v>
      </c>
      <c r="CE108" s="59">
        <f t="shared" si="94"/>
        <v>163.20074068819849</v>
      </c>
      <c r="CF108" s="15">
        <f>IF(ISNA(VLOOKUP(A108,'Données projet'!$A$113:$I$133,3,0)),0,VLOOKUP(A108,'Données projet'!$A$113:$I$133,3,0))</f>
        <v>9</v>
      </c>
      <c r="CG108" s="15">
        <f>IF(ISNA(VLOOKUP(A108,'Données projet'!$A$113:$I$133,4,0)),0,VLOOKUP(A108,'Données projet'!$A$113:$I$133,4,0))</f>
        <v>309.71538461538461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4.1677594708744434E-14</v>
      </c>
      <c r="CV108" s="13">
        <f t="shared" si="95"/>
        <v>6.9326303456159188E-13</v>
      </c>
      <c r="CW108" s="20">
        <f t="shared" si="67"/>
        <v>1.2800215959791691E-12</v>
      </c>
      <c r="CX108" s="59">
        <f t="shared" si="68"/>
        <v>293.33333333333462</v>
      </c>
      <c r="CY108" s="59">
        <f ca="1">AVERAGE(OFFSET($CX$3,0,0,'Données projet'!$E$13+1,1))-AVERAGE(OFFSET($H$3,0,0,'Données projet'!$E$13+1,1))</f>
        <v>178.12968684094687</v>
      </c>
      <c r="CZ108" s="59">
        <f t="shared" si="96"/>
        <v>219.36004077210373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0.96105694805222397</v>
      </c>
      <c r="DH108" s="21">
        <f>EXP(-LN(2)/2)*DH107+(1-EXP(-LN(2)/2))/(LN(2)/2)*DB108*DE108*VLOOKUP('Données projet'!$B$13,Paramètres!$A$1:$I$89,3,0)*0.475*44/12</f>
        <v>5.1024412274502726E-11</v>
      </c>
      <c r="DI108" s="22">
        <f t="shared" si="69"/>
        <v>0.96105694810324838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-8.5265128291212022E-14</v>
      </c>
      <c r="DP108" s="17">
        <f>DO108*VLOOKUP('Données projet'!$B$14,Paramètres!$A$1:$I$89,3,0)*VLOOKUP('Données projet'!$B$14,Paramètres!$A$1:$I$89,5,0)</f>
        <v>-7.7147888077888636E-14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225.28075317732998</v>
      </c>
      <c r="DU108" s="59">
        <f t="shared" si="98"/>
        <v>358.43407531256207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0.50800321381230584</v>
      </c>
      <c r="EB108" s="21">
        <f>EXP(-LN(2)/25)*EB107+(1-EXP(-LN(2)/25))/(LN(2)/25)*Calculateur!DW108*Calculateur!DY108*VLOOKUP('Données projet'!$B$14,Paramètres!$A$1:$I$89,3,0)*0.475*44/12</f>
        <v>1.0340070850076535</v>
      </c>
      <c r="EC108" s="21">
        <f>EXP(-LN(2)/2)*EC107+(1-EXP(-LN(2)/2))/(LN(2)/2)*DW108*DZ108*VLOOKUP('Données projet'!$B$14,Paramètres!$A$1:$I$89,3,0)*0.475*44/12</f>
        <v>2.2709604401429209E-11</v>
      </c>
      <c r="ED108" s="22">
        <f t="shared" si="72"/>
        <v>1.5420102988426689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7.2711538461538394</v>
      </c>
      <c r="EJ108" s="12">
        <f>IF('Données projet'!$A$192&gt;35,EJ107+EI108-ER107,IF(A108&lt;'Données projet'!$A$192,$EG$205^A108,IF(A108='Données projet'!$A$192,'Données projet'!$B$192,EJ107+EI108-ER107)))</f>
        <v>326.00320512820474</v>
      </c>
      <c r="EK108" s="17">
        <f>EJ108*VLOOKUP('Données projet'!$B$15,Paramètres!$A$1:$I$89,3,0)*VLOOKUP('Données projet'!$B$15,Paramètres!$A$1:$I$89,5,0)</f>
        <v>330.5672499999996</v>
      </c>
      <c r="EL108" s="13">
        <f t="shared" si="99"/>
        <v>77.547900811297424</v>
      </c>
      <c r="EM108" s="20">
        <f t="shared" si="73"/>
        <v>710.80055432967572</v>
      </c>
      <c r="EN108" s="59">
        <f t="shared" si="74"/>
        <v>1004.1338876630091</v>
      </c>
      <c r="EO108" s="59">
        <f ca="1">AVERAGE(OFFSET($EN$3,0,0,'Données projet'!$E$15+1,1))-AVERAGE(OFFSET($H$3,0,0,'Données projet'!$E$15+1,1))</f>
        <v>363.98308691765931</v>
      </c>
      <c r="EP108" s="59">
        <f t="shared" si="100"/>
        <v>181.47089407988187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7.2711538461538394</v>
      </c>
      <c r="FE108" s="12">
        <f>IF('Données projet'!$A$218&gt;35,FE107+FD108-FM107,IF(A108&lt;'Données projet'!$A$218,$FB$205^A108,IF(A108='Données projet'!$A$218,'Données projet'!$B$218,FE107+FD108-FM107)))</f>
        <v>326.00320512820474</v>
      </c>
      <c r="FF108" s="17">
        <f>FE108*VLOOKUP('Données projet'!$B$16,Paramètres!$A$1:$I$89,3,0)*VLOOKUP('Données projet'!$B$16,Paramètres!$A$1:$I$89,5,0)</f>
        <v>350.90984999999961</v>
      </c>
      <c r="FG108" s="13">
        <f t="shared" si="101"/>
        <v>81.749830484937107</v>
      </c>
      <c r="FH108" s="20">
        <f t="shared" si="76"/>
        <v>753.54894351126461</v>
      </c>
      <c r="FI108" s="59">
        <f t="shared" si="77"/>
        <v>1046.882276844598</v>
      </c>
      <c r="FJ108" s="59">
        <f ca="1">AVERAGE(OFFSET($FI$3,0,0,'Données projet'!$E$16+1,1))-AVERAGE(OFFSET($H$3,0,0,'Données projet'!$E$16+1,1))</f>
        <v>395.30533160963489</v>
      </c>
      <c r="FK108" s="59">
        <f t="shared" si="102"/>
        <v>196.02102977695085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227.99999999999986</v>
      </c>
      <c r="GA108" s="17">
        <f>FZ108*VLOOKUP('Données projet'!$B$17,Paramètres!$A$1:$I$89,3,0)*VLOOKUP('Données projet'!$B$17,Paramètres!$A$1:$I$89,5,0)</f>
        <v>238.30559999999986</v>
      </c>
      <c r="GB108" s="13">
        <f t="shared" si="103"/>
        <v>58.074821878967043</v>
      </c>
      <c r="GC108" s="20">
        <f t="shared" si="79"/>
        <v>516.19590143920061</v>
      </c>
      <c r="GD108" s="59">
        <f t="shared" si="80"/>
        <v>809.52923477253398</v>
      </c>
      <c r="GE108" s="59">
        <f ca="1">AVERAGE(OFFSET($GD$3,0,0,'Données projet'!$E$17+1,1))-AVERAGE(OFFSET($H$3,0,0,'Données projet'!$E$17+1,1))</f>
        <v>269.41185214595805</v>
      </c>
      <c r="GF108" s="59">
        <f t="shared" si="104"/>
        <v>299.70148160580993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1.4358736264609659</v>
      </c>
      <c r="GM108" s="21">
        <f>EXP(-LN(2)/25)*GM107+(1-EXP(-LN(2)/25))/(LN(2)/25)*Calculateur!GH108*Calculateur!GJ108*VLOOKUP('Données projet'!$B$17,Paramètres!$A$1:$I$89,3,0)*0.475*44/12</f>
        <v>2.0279325094354266</v>
      </c>
      <c r="GN108" s="21">
        <f>EXP(-LN(2)/2)*GN107+(1-EXP(-LN(2)/2))/(LN(2)/2)*GH108*GK108*VLOOKUP('Données projet'!$B$17,Paramètres!$A$1:$I$89,3,0)*0.475*44/12</f>
        <v>9.8311787009749576E-11</v>
      </c>
      <c r="GO108" s="21">
        <f t="shared" si="81"/>
        <v>3.4638061359947043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5.6843418860808015E-14</v>
      </c>
      <c r="GV108" s="17">
        <f>GU108*VLOOKUP('Données projet'!$B$18,Paramètres!$A$1:$I$89,3,0)*VLOOKUP('Données projet'!$B$18,Paramètres!$A$1:$I$89,5,0)</f>
        <v>4.9658410716801891E-14</v>
      </c>
      <c r="GW108" s="13">
        <f t="shared" si="105"/>
        <v>8.0934058173791862E-13</v>
      </c>
      <c r="GX108" s="20">
        <f t="shared" si="82"/>
        <v>1.4960899118586383E-12</v>
      </c>
      <c r="GY108" s="59">
        <f t="shared" si="83"/>
        <v>293.33333333333479</v>
      </c>
      <c r="GZ108" s="59">
        <f ca="1">AVERAGE(OFFSET($GY$3,0,0,'Données projet'!$E$18+1,1))-AVERAGE(OFFSET($H$3,0,0,'Données projet'!$E$18+1,1))</f>
        <v>226.35975611953359</v>
      </c>
      <c r="HA108" s="59">
        <f t="shared" si="106"/>
        <v>271.65876694892461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1.4113889271741722</v>
      </c>
      <c r="HI108" s="21">
        <f>EXP(-LN(2)/2)*HI107+(1-EXP(-LN(2)/2))/(LN(2)/2)*HC108*HF108*VLOOKUP('Données projet'!$B$18,Paramètres!$A$1:$I$89,3,0)*0.475*44/12</f>
        <v>6.0795044412173444E-11</v>
      </c>
      <c r="HJ108" s="22">
        <f t="shared" si="84"/>
        <v>1.4113889272349673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7.2711538461538394</v>
      </c>
      <c r="N109" s="13">
        <f>IF('Données projet'!$A$36&gt;35,N108+M109-V108,IF(A109&lt;'Données projet'!$A$36,$K$205^A109,IF(A109='Données projet'!$A$36,'Données projet'!$B$36,N108+M109-V108)))</f>
        <v>333.27435897435856</v>
      </c>
      <c r="O109" s="13">
        <f>N109*VLOOKUP('Données projet'!$B$9,Paramètres!$A$1:$I$89,3,0)*VLOOKUP('Données projet'!$B$9,Paramètres!$A$1:$I$89,5,0)</f>
        <v>301.54663999999963</v>
      </c>
      <c r="P109" s="13">
        <f t="shared" si="87"/>
        <v>71.500601526763546</v>
      </c>
      <c r="Q109" s="20">
        <f t="shared" si="107"/>
        <v>649.72394565911247</v>
      </c>
      <c r="R109" s="59">
        <f t="shared" si="55"/>
        <v>943.05727899244584</v>
      </c>
      <c r="S109" s="59">
        <f ca="1">AVERAGE(OFFSET($R$3,0,0,'Données projet'!$E$9+1,1))-AVERAGE(OFFSET($H$3,0,0,'Données projet'!$E$9+1,1))</f>
        <v>309.07357540707869</v>
      </c>
      <c r="T109" s="59">
        <f t="shared" si="88"/>
        <v>155.9593924683299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227.99999999999986</v>
      </c>
      <c r="AJ109" s="13">
        <f>AI109*VLOOKUP('Données projet'!$B$10,Paramètres!$A$1:$I$89,3,0)*VLOOKUP('Données projet'!$B$10,Paramètres!$A$1:$I$89,5,0)</f>
        <v>199.18079999999992</v>
      </c>
      <c r="AK109" s="13">
        <f t="shared" si="89"/>
        <v>49.564089376413683</v>
      </c>
      <c r="AL109" s="20">
        <f t="shared" si="58"/>
        <v>433.23068233058694</v>
      </c>
      <c r="AM109" s="59">
        <f t="shared" si="59"/>
        <v>726.56401566392026</v>
      </c>
      <c r="AN109" s="59">
        <f ca="1">AVERAGE(OFFSET($AM$3,0,0,'Données projet'!$E$10+1,1))-AVERAGE(OFFSET($H$3,0,0,'Données projet'!$E$10+1,1))</f>
        <v>210.07838338464626</v>
      </c>
      <c r="AO109" s="59">
        <f t="shared" si="90"/>
        <v>241.76003724236273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1.1765993006683584</v>
      </c>
      <c r="AV109" s="21">
        <f>EXP(-LN(2)/25)*AV108+(1-EXP(-LN(2)/25))/(LN(2)/25)*Calculateur!AQ109*Calculateur!AS109*VLOOKUP('Données projet'!$B$10,Paramètres!$A$1:$I$89,3,0)*0.475*44/12</f>
        <v>1.648638820088842</v>
      </c>
      <c r="AW109" s="21">
        <f>EXP(-LN(2)/2)*AW108+(1-EXP(-LN(2)/2))/(LN(2)/2)*AQ109*AT109*VLOOKUP('Données projet'!$B$10,Paramètres!$A$1:$I$89,3,0)*0.475*44/12</f>
        <v>5.8103703744015845E-11</v>
      </c>
      <c r="AX109" s="21">
        <f t="shared" si="60"/>
        <v>2.8252381208153041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2.2737367544323206E-13</v>
      </c>
      <c r="BE109" s="13">
        <f>BD109*VLOOKUP('Données projet'!$B$11,Paramètres!$A$1:$I$89,3,0)*VLOOKUP('Données projet'!$B$11,Paramètres!$A$1:$I$89,5,0)</f>
        <v>1.2414602679200471E-13</v>
      </c>
      <c r="BF109" s="13">
        <f t="shared" si="91"/>
        <v>1.8186582995804361E-12</v>
      </c>
      <c r="BG109" s="20">
        <f t="shared" si="61"/>
        <v>3.3837175350986671E-12</v>
      </c>
      <c r="BH109" s="59">
        <f t="shared" si="62"/>
        <v>293.33333333333672</v>
      </c>
      <c r="BI109" s="59">
        <f ca="1">AVERAGE(OFFSET($BH$3,0,0,'Données projet'!$E$11+1,1))-AVERAGE(OFFSET($H$3,0,0,'Données projet'!$E$11+1,1))</f>
        <v>168.72306536277267</v>
      </c>
      <c r="BJ109" s="59">
        <f t="shared" si="92"/>
        <v>203.35476578922339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0.67531307150483921</v>
      </c>
      <c r="BQ109" s="21">
        <f>EXP(-LN(2)/25)*BQ108+(1-EXP(-LN(2)/25))/(LN(2)/25)*Calculateur!BL109*Calculateur!BN109*VLOOKUP('Données projet'!$B$11,Paramètres!$A$1:$I$89,3,0)*0.475*44/12</f>
        <v>2.7945618654340336</v>
      </c>
      <c r="BR109" s="21">
        <f>EXP(-LN(2)/2)*BR108+(1-EXP(-LN(2)/2))/(LN(2)/2)*BL109*BO109*VLOOKUP('Données projet'!$B$11,Paramètres!$A$1:$I$89,3,0)*0.475*44/12</f>
        <v>7.2846329647615734E-11</v>
      </c>
      <c r="BS109" s="22">
        <f t="shared" si="63"/>
        <v>3.4698749370117192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3.4106051316484809E-13</v>
      </c>
      <c r="BZ109" s="13">
        <f>BY109*VLOOKUP('Données projet'!$B$12,Paramètres!$A$1:$I$89,3,0)*VLOOKUP('Données projet'!$B$12,Paramètres!$A$1:$I$89,5,0)</f>
        <v>1.5961632016114892E-13</v>
      </c>
      <c r="CA109" s="13">
        <f t="shared" si="93"/>
        <v>2.2708641912150958E-12</v>
      </c>
      <c r="CB109" s="20">
        <f t="shared" si="64"/>
        <v>4.2330868906469593E-12</v>
      </c>
      <c r="CC109" s="59">
        <f t="shared" si="65"/>
        <v>293.33333333333752</v>
      </c>
      <c r="CD109" s="59">
        <f ca="1">AVERAGE(OFFSET($CC$3,0,0,'Données projet'!$E$12+1,1))-AVERAGE(OFFSET($H$3,0,0,'Données projet'!$E$12+1,1))</f>
        <v>158.58786357608489</v>
      </c>
      <c r="CE109" s="59">
        <f t="shared" si="94"/>
        <v>163.20074068819849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4.1677594708744434E-14</v>
      </c>
      <c r="CV109" s="13">
        <f t="shared" si="95"/>
        <v>6.9326303456159188E-13</v>
      </c>
      <c r="CW109" s="20">
        <f t="shared" si="67"/>
        <v>1.2800215959791691E-12</v>
      </c>
      <c r="CX109" s="59">
        <f t="shared" si="68"/>
        <v>293.33333333333462</v>
      </c>
      <c r="CY109" s="59">
        <f ca="1">AVERAGE(OFFSET($CX$3,0,0,'Données projet'!$E$13+1,1))-AVERAGE(OFFSET($H$3,0,0,'Données projet'!$E$13+1,1))</f>
        <v>178.12968684094687</v>
      </c>
      <c r="CZ109" s="59">
        <f t="shared" si="96"/>
        <v>219.36004077210373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0.93477679526794755</v>
      </c>
      <c r="DH109" s="21">
        <f>EXP(-LN(2)/2)*DH108+(1-EXP(-LN(2)/2))/(LN(2)/2)*DB109*DE109*VLOOKUP('Données projet'!$B$13,Paramètres!$A$1:$I$89,3,0)*0.475*44/12</f>
        <v>3.6079707925358988E-11</v>
      </c>
      <c r="DI109" s="22">
        <f t="shared" si="69"/>
        <v>0.93477679530402724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-8.5265128291212022E-14</v>
      </c>
      <c r="DP109" s="17">
        <f>DO109*VLOOKUP('Données projet'!$B$14,Paramètres!$A$1:$I$89,3,0)*VLOOKUP('Données projet'!$B$14,Paramètres!$A$1:$I$89,5,0)</f>
        <v>-7.7147888077888636E-14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225.28075317732998</v>
      </c>
      <c r="DU109" s="59">
        <f t="shared" si="98"/>
        <v>358.43407531256207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0.49804158064081167</v>
      </c>
      <c r="EB109" s="21">
        <f>EXP(-LN(2)/25)*EB108+(1-EXP(-LN(2)/25))/(LN(2)/25)*Calculateur!DW109*Calculateur!DY109*VLOOKUP('Données projet'!$B$14,Paramètres!$A$1:$I$89,3,0)*0.475*44/12</f>
        <v>1.0057321068920499</v>
      </c>
      <c r="EC109" s="21">
        <f>EXP(-LN(2)/2)*EC108+(1-EXP(-LN(2)/2))/(LN(2)/2)*DW109*DZ109*VLOOKUP('Données projet'!$B$14,Paramètres!$A$1:$I$89,3,0)*0.475*44/12</f>
        <v>1.605811527031446E-11</v>
      </c>
      <c r="ED109" s="22">
        <f t="shared" si="72"/>
        <v>1.5037736875489196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7.2711538461538394</v>
      </c>
      <c r="EJ109" s="12">
        <f>IF('Données projet'!$A$192&gt;35,EJ108+EI109-ER108,IF(A109&lt;'Données projet'!$A$192,$EG$205^A109,IF(A109='Données projet'!$A$192,'Données projet'!$B$192,EJ108+EI109-ER108)))</f>
        <v>333.27435897435856</v>
      </c>
      <c r="EK109" s="17">
        <f>EJ109*VLOOKUP('Données projet'!$B$15,Paramètres!$A$1:$I$89,3,0)*VLOOKUP('Données projet'!$B$15,Paramètres!$A$1:$I$89,5,0)</f>
        <v>337.94019999999961</v>
      </c>
      <c r="EL109" s="13">
        <f t="shared" si="99"/>
        <v>79.074228310489147</v>
      </c>
      <c r="EM109" s="20">
        <f t="shared" si="73"/>
        <v>726.30012930743453</v>
      </c>
      <c r="EN109" s="59">
        <f t="shared" si="74"/>
        <v>1019.6334626407679</v>
      </c>
      <c r="EO109" s="59">
        <f ca="1">AVERAGE(OFFSET($EN$3,0,0,'Données projet'!$E$15+1,1))-AVERAGE(OFFSET($H$3,0,0,'Données projet'!$E$15+1,1))</f>
        <v>363.98308691765931</v>
      </c>
      <c r="EP109" s="59">
        <f t="shared" si="100"/>
        <v>181.47089407988187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7.2711538461538394</v>
      </c>
      <c r="FE109" s="12">
        <f>IF('Données projet'!$A$218&gt;35,FE108+FD109-FM108,IF(A109&lt;'Données projet'!$A$218,$FB$205^A109,IF(A109='Données projet'!$A$218,'Données projet'!$B$218,FE108+FD109-FM108)))</f>
        <v>333.27435897435856</v>
      </c>
      <c r="FF109" s="17">
        <f>FE109*VLOOKUP('Données projet'!$B$16,Paramètres!$A$1:$I$89,3,0)*VLOOKUP('Données projet'!$B$16,Paramètres!$A$1:$I$89,5,0)</f>
        <v>358.73651999999953</v>
      </c>
      <c r="FG109" s="13">
        <f t="shared" si="101"/>
        <v>83.358861974094438</v>
      </c>
      <c r="FH109" s="20">
        <f t="shared" si="76"/>
        <v>769.98279027154695</v>
      </c>
      <c r="FI109" s="59">
        <f t="shared" si="77"/>
        <v>1063.3161236048802</v>
      </c>
      <c r="FJ109" s="59">
        <f ca="1">AVERAGE(OFFSET($FI$3,0,0,'Données projet'!$E$16+1,1))-AVERAGE(OFFSET($H$3,0,0,'Données projet'!$E$16+1,1))</f>
        <v>395.30533160963489</v>
      </c>
      <c r="FK109" s="59">
        <f t="shared" si="102"/>
        <v>196.02102977695085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227.99999999999986</v>
      </c>
      <c r="GA109" s="17">
        <f>FZ109*VLOOKUP('Données projet'!$B$17,Paramètres!$A$1:$I$89,3,0)*VLOOKUP('Données projet'!$B$17,Paramètres!$A$1:$I$89,5,0)</f>
        <v>238.30559999999986</v>
      </c>
      <c r="GB109" s="13">
        <f t="shared" si="103"/>
        <v>58.074821878967043</v>
      </c>
      <c r="GC109" s="20">
        <f t="shared" si="79"/>
        <v>516.19590143920061</v>
      </c>
      <c r="GD109" s="59">
        <f t="shared" si="80"/>
        <v>809.52923477253398</v>
      </c>
      <c r="GE109" s="59">
        <f ca="1">AVERAGE(OFFSET($GD$3,0,0,'Données projet'!$E$17+1,1))-AVERAGE(OFFSET($H$3,0,0,'Données projet'!$E$17+1,1))</f>
        <v>269.41185214595805</v>
      </c>
      <c r="GF109" s="59">
        <f t="shared" si="104"/>
        <v>299.70148160580993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1.4077170204425009</v>
      </c>
      <c r="GM109" s="21">
        <f>EXP(-LN(2)/25)*GM108+(1-EXP(-LN(2)/25))/(LN(2)/25)*Calculateur!GH109*Calculateur!GJ109*VLOOKUP('Données projet'!$B$17,Paramètres!$A$1:$I$89,3,0)*0.475*44/12</f>
        <v>1.9724785883205791</v>
      </c>
      <c r="GN109" s="21">
        <f>EXP(-LN(2)/2)*GN108+(1-EXP(-LN(2)/2))/(LN(2)/2)*GH109*GK109*VLOOKUP('Données projet'!$B$17,Paramètres!$A$1:$I$89,3,0)*0.475*44/12</f>
        <v>6.9516931265161458E-11</v>
      </c>
      <c r="GO109" s="21">
        <f t="shared" si="81"/>
        <v>3.3801956088325968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5.6843418860808015E-14</v>
      </c>
      <c r="GV109" s="17">
        <f>GU109*VLOOKUP('Données projet'!$B$18,Paramètres!$A$1:$I$89,3,0)*VLOOKUP('Données projet'!$B$18,Paramètres!$A$1:$I$89,5,0)</f>
        <v>4.9658410716801891E-14</v>
      </c>
      <c r="GW109" s="13">
        <f t="shared" si="105"/>
        <v>8.0934058173791862E-13</v>
      </c>
      <c r="GX109" s="20">
        <f t="shared" si="82"/>
        <v>1.4960899118586383E-12</v>
      </c>
      <c r="GY109" s="59">
        <f t="shared" si="83"/>
        <v>293.33333333333479</v>
      </c>
      <c r="GZ109" s="59">
        <f ca="1">AVERAGE(OFFSET($GY$3,0,0,'Données projet'!$E$18+1,1))-AVERAGE(OFFSET($H$3,0,0,'Données projet'!$E$18+1,1))</f>
        <v>226.35975611953359</v>
      </c>
      <c r="HA109" s="59">
        <f t="shared" si="106"/>
        <v>271.65876694892461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1.3727944227388766</v>
      </c>
      <c r="HI109" s="21">
        <f>EXP(-LN(2)/2)*HI108+(1-EXP(-LN(2)/2))/(LN(2)/2)*HC109*HF109*VLOOKUP('Données projet'!$B$18,Paramètres!$A$1:$I$89,3,0)*0.475*44/12</f>
        <v>4.2988588166385168E-11</v>
      </c>
      <c r="HJ109" s="22">
        <f t="shared" si="84"/>
        <v>1.3727944227818651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7.2711538461538394</v>
      </c>
      <c r="N110" s="13">
        <f>IF('Données projet'!$A$36&gt;35,N109+M110-V109,IF(A110&lt;'Données projet'!$A$36,$K$205^A110,IF(A110='Données projet'!$A$36,'Données projet'!$B$36,N109+M110-V109)))</f>
        <v>340.54551282051239</v>
      </c>
      <c r="O110" s="13">
        <f>N110*VLOOKUP('Données projet'!$B$9,Paramètres!$A$1:$I$89,3,0)*VLOOKUP('Données projet'!$B$9,Paramètres!$A$1:$I$89,5,0)</f>
        <v>308.12557999999962</v>
      </c>
      <c r="P110" s="13">
        <f t="shared" si="87"/>
        <v>72.877238605529826</v>
      </c>
      <c r="Q110" s="20">
        <f t="shared" si="107"/>
        <v>663.57990907129715</v>
      </c>
      <c r="R110" s="59">
        <f t="shared" si="55"/>
        <v>956.91324240463041</v>
      </c>
      <c r="S110" s="59">
        <f ca="1">AVERAGE(OFFSET($R$3,0,0,'Données projet'!$E$9+1,1))-AVERAGE(OFFSET($H$3,0,0,'Données projet'!$E$9+1,1))</f>
        <v>309.07357540707869</v>
      </c>
      <c r="T110" s="59">
        <f t="shared" si="88"/>
        <v>155.9593924683299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227.99999999999986</v>
      </c>
      <c r="AJ110" s="13">
        <f>AI110*VLOOKUP('Données projet'!$B$10,Paramètres!$A$1:$I$89,3,0)*VLOOKUP('Données projet'!$B$10,Paramètres!$A$1:$I$89,5,0)</f>
        <v>199.18079999999992</v>
      </c>
      <c r="AK110" s="13">
        <f t="shared" si="89"/>
        <v>49.564089376413683</v>
      </c>
      <c r="AL110" s="20">
        <f t="shared" si="58"/>
        <v>433.23068233058694</v>
      </c>
      <c r="AM110" s="59">
        <f t="shared" si="59"/>
        <v>726.56401566392026</v>
      </c>
      <c r="AN110" s="59">
        <f ca="1">AVERAGE(OFFSET($AM$3,0,0,'Données projet'!$E$10+1,1))-AVERAGE(OFFSET($H$3,0,0,'Données projet'!$E$10+1,1))</f>
        <v>210.07838338464626</v>
      </c>
      <c r="AO110" s="59">
        <f t="shared" si="90"/>
        <v>241.76003724236273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1.1535269060369628</v>
      </c>
      <c r="AV110" s="21">
        <f>EXP(-LN(2)/25)*AV109+(1-EXP(-LN(2)/25))/(LN(2)/25)*Calculateur!AQ110*Calculateur!AS110*VLOOKUP('Données projet'!$B$10,Paramètres!$A$1:$I$89,3,0)*0.475*44/12</f>
        <v>1.6035567048553652</v>
      </c>
      <c r="AW110" s="21">
        <f>EXP(-LN(2)/2)*AW109+(1-EXP(-LN(2)/2))/(LN(2)/2)*AQ110*AT110*VLOOKUP('Données projet'!$B$10,Paramètres!$A$1:$I$89,3,0)*0.475*44/12</f>
        <v>4.1085522929447799E-11</v>
      </c>
      <c r="AX110" s="21">
        <f t="shared" si="60"/>
        <v>2.7570836109334134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2.2737367544323206E-13</v>
      </c>
      <c r="BE110" s="13">
        <f>BD110*VLOOKUP('Données projet'!$B$11,Paramètres!$A$1:$I$89,3,0)*VLOOKUP('Données projet'!$B$11,Paramètres!$A$1:$I$89,5,0)</f>
        <v>1.2414602679200471E-13</v>
      </c>
      <c r="BF110" s="13">
        <f t="shared" si="91"/>
        <v>1.8186582995804361E-12</v>
      </c>
      <c r="BG110" s="20">
        <f t="shared" si="61"/>
        <v>3.3837175350986671E-12</v>
      </c>
      <c r="BH110" s="59">
        <f t="shared" si="62"/>
        <v>293.33333333333672</v>
      </c>
      <c r="BI110" s="59">
        <f ca="1">AVERAGE(OFFSET($BH$3,0,0,'Données projet'!$E$11+1,1))-AVERAGE(OFFSET($H$3,0,0,'Données projet'!$E$11+1,1))</f>
        <v>168.72306536277267</v>
      </c>
      <c r="BJ110" s="59">
        <f t="shared" si="92"/>
        <v>203.35476578922339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0.66207059407293112</v>
      </c>
      <c r="BQ110" s="21">
        <f>EXP(-LN(2)/25)*BQ109+(1-EXP(-LN(2)/25))/(LN(2)/25)*Calculateur!BL110*Calculateur!BN110*VLOOKUP('Données projet'!$B$11,Paramètres!$A$1:$I$89,3,0)*0.475*44/12</f>
        <v>2.7181444242641186</v>
      </c>
      <c r="BR110" s="21">
        <f>EXP(-LN(2)/2)*BR109+(1-EXP(-LN(2)/2))/(LN(2)/2)*BL110*BO110*VLOOKUP('Données projet'!$B$11,Paramètres!$A$1:$I$89,3,0)*0.475*44/12</f>
        <v>5.151013367837973E-11</v>
      </c>
      <c r="BS110" s="22">
        <f t="shared" si="63"/>
        <v>3.3802150183885602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3.4106051316484809E-13</v>
      </c>
      <c r="BZ110" s="13">
        <f>BY110*VLOOKUP('Données projet'!$B$12,Paramètres!$A$1:$I$89,3,0)*VLOOKUP('Données projet'!$B$12,Paramètres!$A$1:$I$89,5,0)</f>
        <v>1.5961632016114892E-13</v>
      </c>
      <c r="CA110" s="13">
        <f t="shared" si="93"/>
        <v>2.2708641912150958E-12</v>
      </c>
      <c r="CB110" s="20">
        <f t="shared" si="64"/>
        <v>4.2330868906469593E-12</v>
      </c>
      <c r="CC110" s="59">
        <f t="shared" si="65"/>
        <v>293.33333333333752</v>
      </c>
      <c r="CD110" s="59">
        <f ca="1">AVERAGE(OFFSET($CC$3,0,0,'Données projet'!$E$12+1,1))-AVERAGE(OFFSET($H$3,0,0,'Données projet'!$E$12+1,1))</f>
        <v>158.58786357608489</v>
      </c>
      <c r="CE110" s="59">
        <f t="shared" si="94"/>
        <v>163.20074068819849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4.1677594708744434E-14</v>
      </c>
      <c r="CV110" s="13">
        <f t="shared" si="95"/>
        <v>6.9326303456159188E-13</v>
      </c>
      <c r="CW110" s="20">
        <f t="shared" si="67"/>
        <v>1.2800215959791691E-12</v>
      </c>
      <c r="CX110" s="59">
        <f t="shared" si="68"/>
        <v>293.33333333333462</v>
      </c>
      <c r="CY110" s="59">
        <f ca="1">AVERAGE(OFFSET($CX$3,0,0,'Données projet'!$E$13+1,1))-AVERAGE(OFFSET($H$3,0,0,'Données projet'!$E$13+1,1))</f>
        <v>178.12968684094687</v>
      </c>
      <c r="CZ110" s="59">
        <f t="shared" si="96"/>
        <v>219.36004077210373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0.90921527464357033</v>
      </c>
      <c r="DH110" s="21">
        <f>EXP(-LN(2)/2)*DH109+(1-EXP(-LN(2)/2))/(LN(2)/2)*DB110*DE110*VLOOKUP('Données projet'!$B$13,Paramètres!$A$1:$I$89,3,0)*0.475*44/12</f>
        <v>2.5512206137251363E-11</v>
      </c>
      <c r="DI110" s="22">
        <f t="shared" si="69"/>
        <v>0.90921527466908258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-8.5265128291212022E-14</v>
      </c>
      <c r="DP110" s="17">
        <f>DO110*VLOOKUP('Données projet'!$B$14,Paramètres!$A$1:$I$89,3,0)*VLOOKUP('Données projet'!$B$14,Paramètres!$A$1:$I$89,5,0)</f>
        <v>-7.7147888077888636E-14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225.28075317732998</v>
      </c>
      <c r="DU110" s="59">
        <f t="shared" si="98"/>
        <v>358.43407531256207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0.48827528901981421</v>
      </c>
      <c r="EB110" s="21">
        <f>EXP(-LN(2)/25)*EB109+(1-EXP(-LN(2)/25))/(LN(2)/25)*Calculateur!DW110*Calculateur!DY110*VLOOKUP('Données projet'!$B$14,Paramètres!$A$1:$I$89,3,0)*0.475*44/12</f>
        <v>0.97823030953993395</v>
      </c>
      <c r="EC110" s="21">
        <f>EXP(-LN(2)/2)*EC109+(1-EXP(-LN(2)/2))/(LN(2)/2)*DW110*DZ110*VLOOKUP('Données projet'!$B$14,Paramètres!$A$1:$I$89,3,0)*0.475*44/12</f>
        <v>1.1354802200714605E-11</v>
      </c>
      <c r="ED110" s="22">
        <f t="shared" si="72"/>
        <v>1.4665055985711029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7.2711538461538394</v>
      </c>
      <c r="EJ110" s="12">
        <f>IF('Données projet'!$A$192&gt;35,EJ109+EI110-ER109,IF(A110&lt;'Données projet'!$A$192,$EG$205^A110,IF(A110='Données projet'!$A$192,'Données projet'!$B$192,EJ109+EI110-ER109)))</f>
        <v>340.54551282051239</v>
      </c>
      <c r="EK110" s="17">
        <f>EJ110*VLOOKUP('Données projet'!$B$15,Paramètres!$A$1:$I$89,3,0)*VLOOKUP('Données projet'!$B$15,Paramètres!$A$1:$I$89,5,0)</f>
        <v>345.31314999999961</v>
      </c>
      <c r="EL110" s="13">
        <f t="shared" si="99"/>
        <v>80.596684238727846</v>
      </c>
      <c r="EM110" s="20">
        <f t="shared" si="73"/>
        <v>741.792961299117</v>
      </c>
      <c r="EN110" s="59">
        <f t="shared" si="74"/>
        <v>1035.1262946324503</v>
      </c>
      <c r="EO110" s="59">
        <f ca="1">AVERAGE(OFFSET($EN$3,0,0,'Données projet'!$E$15+1,1))-AVERAGE(OFFSET($H$3,0,0,'Données projet'!$E$15+1,1))</f>
        <v>363.98308691765931</v>
      </c>
      <c r="EP110" s="59">
        <f t="shared" si="100"/>
        <v>181.47089407988187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7.2711538461538394</v>
      </c>
      <c r="FE110" s="12">
        <f>IF('Données projet'!$A$218&gt;35,FE109+FD110-FM109,IF(A110&lt;'Données projet'!$A$218,$FB$205^A110,IF(A110='Données projet'!$A$218,'Données projet'!$B$218,FE109+FD110-FM109)))</f>
        <v>340.54551282051239</v>
      </c>
      <c r="FF110" s="17">
        <f>FE110*VLOOKUP('Données projet'!$B$16,Paramètres!$A$1:$I$89,3,0)*VLOOKUP('Données projet'!$B$16,Paramètres!$A$1:$I$89,5,0)</f>
        <v>366.56318999999951</v>
      </c>
      <c r="FG110" s="13">
        <f t="shared" si="101"/>
        <v>84.963812111392926</v>
      </c>
      <c r="FH110" s="20">
        <f t="shared" si="76"/>
        <v>786.40952867734177</v>
      </c>
      <c r="FI110" s="59">
        <f t="shared" si="77"/>
        <v>1079.742862010675</v>
      </c>
      <c r="FJ110" s="59">
        <f ca="1">AVERAGE(OFFSET($FI$3,0,0,'Données projet'!$E$16+1,1))-AVERAGE(OFFSET($H$3,0,0,'Données projet'!$E$16+1,1))</f>
        <v>395.30533160963489</v>
      </c>
      <c r="FK110" s="59">
        <f t="shared" si="102"/>
        <v>196.02102977695085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227.99999999999986</v>
      </c>
      <c r="GA110" s="17">
        <f>FZ110*VLOOKUP('Données projet'!$B$17,Paramètres!$A$1:$I$89,3,0)*VLOOKUP('Données projet'!$B$17,Paramètres!$A$1:$I$89,5,0)</f>
        <v>238.30559999999986</v>
      </c>
      <c r="GB110" s="13">
        <f t="shared" si="103"/>
        <v>58.074821878967043</v>
      </c>
      <c r="GC110" s="20">
        <f t="shared" si="79"/>
        <v>516.19590143920061</v>
      </c>
      <c r="GD110" s="59">
        <f t="shared" si="80"/>
        <v>809.52923477253398</v>
      </c>
      <c r="GE110" s="59">
        <f ca="1">AVERAGE(OFFSET($GD$3,0,0,'Données projet'!$E$17+1,1))-AVERAGE(OFFSET($H$3,0,0,'Données projet'!$E$17+1,1))</f>
        <v>269.41185214595805</v>
      </c>
      <c r="GF110" s="59">
        <f t="shared" si="104"/>
        <v>299.70148160580993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1.380112548294224</v>
      </c>
      <c r="GM110" s="21">
        <f>EXP(-LN(2)/25)*GM109+(1-EXP(-LN(2)/25))/(LN(2)/25)*Calculateur!GH110*Calculateur!GJ110*VLOOKUP('Données projet'!$B$17,Paramètres!$A$1:$I$89,3,0)*0.475*44/12</f>
        <v>1.9185410575948121</v>
      </c>
      <c r="GN110" s="21">
        <f>EXP(-LN(2)/2)*GN109+(1-EXP(-LN(2)/2))/(LN(2)/2)*GH110*GK110*VLOOKUP('Données projet'!$B$17,Paramètres!$A$1:$I$89,3,0)*0.475*44/12</f>
        <v>4.9155893504874788E-11</v>
      </c>
      <c r="GO110" s="21">
        <f t="shared" si="81"/>
        <v>3.2986536059381919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5.6843418860808015E-14</v>
      </c>
      <c r="GV110" s="17">
        <f>GU110*VLOOKUP('Données projet'!$B$18,Paramètres!$A$1:$I$89,3,0)*VLOOKUP('Données projet'!$B$18,Paramètres!$A$1:$I$89,5,0)</f>
        <v>4.9658410716801891E-14</v>
      </c>
      <c r="GW110" s="13">
        <f t="shared" si="105"/>
        <v>8.0934058173791862E-13</v>
      </c>
      <c r="GX110" s="20">
        <f t="shared" si="82"/>
        <v>1.4960899118586383E-12</v>
      </c>
      <c r="GY110" s="59">
        <f t="shared" si="83"/>
        <v>293.33333333333479</v>
      </c>
      <c r="GZ110" s="59">
        <f ca="1">AVERAGE(OFFSET($GY$3,0,0,'Données projet'!$E$18+1,1))-AVERAGE(OFFSET($H$3,0,0,'Données projet'!$E$18+1,1))</f>
        <v>226.35975611953359</v>
      </c>
      <c r="HA110" s="59">
        <f t="shared" si="106"/>
        <v>271.65876694892461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1.3352552870569609</v>
      </c>
      <c r="HI110" s="21">
        <f>EXP(-LN(2)/2)*HI109+(1-EXP(-LN(2)/2))/(LN(2)/2)*HC110*HF110*VLOOKUP('Données projet'!$B$18,Paramètres!$A$1:$I$89,3,0)*0.475*44/12</f>
        <v>3.0397522206086722E-11</v>
      </c>
      <c r="HJ110" s="22">
        <f t="shared" si="84"/>
        <v>1.3352552870873584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7.2711538461538394</v>
      </c>
      <c r="N111" s="13">
        <f>IF('Données projet'!$A$36&gt;35,N110+M111-V110,IF(A111&lt;'Données projet'!$A$36,$K$205^A111,IF(A111='Données projet'!$A$36,'Données projet'!$B$36,N110+M111-V110)))</f>
        <v>347.81666666666621</v>
      </c>
      <c r="O111" s="13">
        <f>N111*VLOOKUP('Données projet'!$B$9,Paramètres!$A$1:$I$89,3,0)*VLOOKUP('Données projet'!$B$9,Paramètres!$A$1:$I$89,5,0)</f>
        <v>314.70451999999955</v>
      </c>
      <c r="P111" s="13">
        <f t="shared" si="87"/>
        <v>74.250458283407895</v>
      </c>
      <c r="Q111" s="20">
        <f t="shared" si="107"/>
        <v>677.42992051026795</v>
      </c>
      <c r="R111" s="59">
        <f t="shared" si="55"/>
        <v>970.76325384360121</v>
      </c>
      <c r="S111" s="59">
        <f ca="1">AVERAGE(OFFSET($R$3,0,0,'Données projet'!$E$9+1,1))-AVERAGE(OFFSET($H$3,0,0,'Données projet'!$E$9+1,1))</f>
        <v>309.07357540707869</v>
      </c>
      <c r="T111" s="59">
        <f t="shared" si="88"/>
        <v>155.9593924683299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227.99999999999986</v>
      </c>
      <c r="AJ111" s="13">
        <f>AI111*VLOOKUP('Données projet'!$B$10,Paramètres!$A$1:$I$89,3,0)*VLOOKUP('Données projet'!$B$10,Paramètres!$A$1:$I$89,5,0)</f>
        <v>199.18079999999992</v>
      </c>
      <c r="AK111" s="13">
        <f t="shared" si="89"/>
        <v>49.564089376413683</v>
      </c>
      <c r="AL111" s="20">
        <f t="shared" si="58"/>
        <v>433.23068233058694</v>
      </c>
      <c r="AM111" s="59">
        <f t="shared" si="59"/>
        <v>726.56401566392026</v>
      </c>
      <c r="AN111" s="59">
        <f ca="1">AVERAGE(OFFSET($AM$3,0,0,'Données projet'!$E$10+1,1))-AVERAGE(OFFSET($H$3,0,0,'Données projet'!$E$10+1,1))</f>
        <v>210.07838338464626</v>
      </c>
      <c r="AO111" s="59">
        <f t="shared" si="90"/>
        <v>241.76003724236273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1.1309069469915178</v>
      </c>
      <c r="AV111" s="21">
        <f>EXP(-LN(2)/25)*AV110+(1-EXP(-LN(2)/25))/(LN(2)/25)*Calculateur!AQ111*Calculateur!AS111*VLOOKUP('Données projet'!$B$10,Paramètres!$A$1:$I$89,3,0)*0.475*44/12</f>
        <v>1.559707362433713</v>
      </c>
      <c r="AW111" s="21">
        <f>EXP(-LN(2)/2)*AW110+(1-EXP(-LN(2)/2))/(LN(2)/2)*AQ111*AT111*VLOOKUP('Données projet'!$B$10,Paramètres!$A$1:$I$89,3,0)*0.475*44/12</f>
        <v>2.9051851872007929E-11</v>
      </c>
      <c r="AX111" s="21">
        <f t="shared" si="60"/>
        <v>2.6906143094542827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2.2737367544323206E-13</v>
      </c>
      <c r="BE111" s="13">
        <f>BD111*VLOOKUP('Données projet'!$B$11,Paramètres!$A$1:$I$89,3,0)*VLOOKUP('Données projet'!$B$11,Paramètres!$A$1:$I$89,5,0)</f>
        <v>1.2414602679200471E-13</v>
      </c>
      <c r="BF111" s="13">
        <f t="shared" si="91"/>
        <v>1.8186582995804361E-12</v>
      </c>
      <c r="BG111" s="20">
        <f t="shared" si="61"/>
        <v>3.3837175350986671E-12</v>
      </c>
      <c r="BH111" s="59">
        <f t="shared" si="62"/>
        <v>293.33333333333672</v>
      </c>
      <c r="BI111" s="59">
        <f ca="1">AVERAGE(OFFSET($BH$3,0,0,'Données projet'!$E$11+1,1))-AVERAGE(OFFSET($H$3,0,0,'Données projet'!$E$11+1,1))</f>
        <v>168.72306536277267</v>
      </c>
      <c r="BJ111" s="59">
        <f t="shared" si="92"/>
        <v>203.35476578922339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0.64908779354634905</v>
      </c>
      <c r="BQ111" s="21">
        <f>EXP(-LN(2)/25)*BQ110+(1-EXP(-LN(2)/25))/(LN(2)/25)*Calculateur!BL111*Calculateur!BN111*VLOOKUP('Données projet'!$B$11,Paramètres!$A$1:$I$89,3,0)*0.475*44/12</f>
        <v>2.6438166220416135</v>
      </c>
      <c r="BR111" s="21">
        <f>EXP(-LN(2)/2)*BR110+(1-EXP(-LN(2)/2))/(LN(2)/2)*BL111*BO111*VLOOKUP('Données projet'!$B$11,Paramètres!$A$1:$I$89,3,0)*0.475*44/12</f>
        <v>3.6423164823807867E-11</v>
      </c>
      <c r="BS111" s="22">
        <f t="shared" si="63"/>
        <v>3.2929044156243856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3.4106051316484809E-13</v>
      </c>
      <c r="BZ111" s="13">
        <f>BY111*VLOOKUP('Données projet'!$B$12,Paramètres!$A$1:$I$89,3,0)*VLOOKUP('Données projet'!$B$12,Paramètres!$A$1:$I$89,5,0)</f>
        <v>1.5961632016114892E-13</v>
      </c>
      <c r="CA111" s="13">
        <f t="shared" si="93"/>
        <v>2.2708641912150958E-12</v>
      </c>
      <c r="CB111" s="20">
        <f t="shared" si="64"/>
        <v>4.2330868906469593E-12</v>
      </c>
      <c r="CC111" s="59">
        <f t="shared" si="65"/>
        <v>293.33333333333752</v>
      </c>
      <c r="CD111" s="59">
        <f ca="1">AVERAGE(OFFSET($CC$3,0,0,'Données projet'!$E$12+1,1))-AVERAGE(OFFSET($H$3,0,0,'Données projet'!$E$12+1,1))</f>
        <v>158.58786357608489</v>
      </c>
      <c r="CE111" s="59">
        <f t="shared" si="94"/>
        <v>163.20074068819849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4.1677594708744434E-14</v>
      </c>
      <c r="CV111" s="13">
        <f t="shared" si="95"/>
        <v>6.9326303456159188E-13</v>
      </c>
      <c r="CW111" s="20">
        <f t="shared" si="67"/>
        <v>1.2800215959791691E-12</v>
      </c>
      <c r="CX111" s="59">
        <f t="shared" si="68"/>
        <v>293.33333333333462</v>
      </c>
      <c r="CY111" s="59">
        <f ca="1">AVERAGE(OFFSET($CX$3,0,0,'Données projet'!$E$13+1,1))-AVERAGE(OFFSET($H$3,0,0,'Données projet'!$E$13+1,1))</f>
        <v>178.12968684094687</v>
      </c>
      <c r="CZ111" s="59">
        <f t="shared" si="96"/>
        <v>219.36004077210373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0.88435273514488866</v>
      </c>
      <c r="DH111" s="21">
        <f>EXP(-LN(2)/2)*DH110+(1-EXP(-LN(2)/2))/(LN(2)/2)*DB111*DE111*VLOOKUP('Données projet'!$B$13,Paramètres!$A$1:$I$89,3,0)*0.475*44/12</f>
        <v>1.8039853962679494E-11</v>
      </c>
      <c r="DI111" s="22">
        <f t="shared" si="69"/>
        <v>0.88435273516292856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-8.5265128291212022E-14</v>
      </c>
      <c r="DP111" s="17">
        <f>DO111*VLOOKUP('Données projet'!$B$14,Paramètres!$A$1:$I$89,3,0)*VLOOKUP('Données projet'!$B$14,Paramètres!$A$1:$I$89,5,0)</f>
        <v>-7.7147888077888636E-14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225.28075317732998</v>
      </c>
      <c r="DU111" s="59">
        <f t="shared" si="98"/>
        <v>358.43407531256207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0.47870050842065481</v>
      </c>
      <c r="EB111" s="21">
        <f>EXP(-LN(2)/25)*EB110+(1-EXP(-LN(2)/25))/(LN(2)/25)*Calculateur!DW111*Calculateur!DY111*VLOOKUP('Données projet'!$B$14,Paramètres!$A$1:$I$89,3,0)*0.475*44/12</f>
        <v>0.9514805502826682</v>
      </c>
      <c r="EC111" s="21">
        <f>EXP(-LN(2)/2)*EC110+(1-EXP(-LN(2)/2))/(LN(2)/2)*DW111*DZ111*VLOOKUP('Données projet'!$B$14,Paramètres!$A$1:$I$89,3,0)*0.475*44/12</f>
        <v>8.0290576351572302E-12</v>
      </c>
      <c r="ED111" s="22">
        <f t="shared" si="72"/>
        <v>1.4301810587113521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7.2711538461538394</v>
      </c>
      <c r="EJ111" s="12">
        <f>IF('Données projet'!$A$192&gt;35,EJ110+EI111-ER110,IF(A111&lt;'Données projet'!$A$192,$EG$205^A111,IF(A111='Données projet'!$A$192,'Données projet'!$B$192,EJ110+EI111-ER110)))</f>
        <v>347.81666666666621</v>
      </c>
      <c r="EK111" s="17">
        <f>EJ111*VLOOKUP('Données projet'!$B$15,Paramètres!$A$1:$I$89,3,0)*VLOOKUP('Données projet'!$B$15,Paramètres!$A$1:$I$89,5,0)</f>
        <v>352.68609999999956</v>
      </c>
      <c r="EL111" s="13">
        <f t="shared" si="99"/>
        <v>82.115360781446753</v>
      </c>
      <c r="EM111" s="20">
        <f t="shared" si="73"/>
        <v>757.2792108610189</v>
      </c>
      <c r="EN111" s="59">
        <f t="shared" si="74"/>
        <v>1050.6125441943523</v>
      </c>
      <c r="EO111" s="59">
        <f ca="1">AVERAGE(OFFSET($EN$3,0,0,'Données projet'!$E$15+1,1))-AVERAGE(OFFSET($H$3,0,0,'Données projet'!$E$15+1,1))</f>
        <v>363.98308691765931</v>
      </c>
      <c r="EP111" s="59">
        <f t="shared" si="100"/>
        <v>181.47089407988187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7.2711538461538394</v>
      </c>
      <c r="FE111" s="12">
        <f>IF('Données projet'!$A$218&gt;35,FE110+FD111-FM110,IF(A111&lt;'Données projet'!$A$218,$FB$205^A111,IF(A111='Données projet'!$A$218,'Données projet'!$B$218,FE110+FD111-FM110)))</f>
        <v>347.81666666666621</v>
      </c>
      <c r="FF111" s="17">
        <f>FE111*VLOOKUP('Données projet'!$B$16,Paramètres!$A$1:$I$89,3,0)*VLOOKUP('Données projet'!$B$16,Paramètres!$A$1:$I$89,5,0)</f>
        <v>374.38985999999949</v>
      </c>
      <c r="FG111" s="13">
        <f t="shared" si="101"/>
        <v>86.56477807732962</v>
      </c>
      <c r="FH111" s="20">
        <f t="shared" si="76"/>
        <v>802.82932798468153</v>
      </c>
      <c r="FI111" s="59">
        <f t="shared" si="77"/>
        <v>1096.1626613180149</v>
      </c>
      <c r="FJ111" s="59">
        <f ca="1">AVERAGE(OFFSET($FI$3,0,0,'Données projet'!$E$16+1,1))-AVERAGE(OFFSET($H$3,0,0,'Données projet'!$E$16+1,1))</f>
        <v>395.30533160963489</v>
      </c>
      <c r="FK111" s="59">
        <f t="shared" si="102"/>
        <v>196.02102977695085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227.99999999999986</v>
      </c>
      <c r="GA111" s="17">
        <f>FZ111*VLOOKUP('Données projet'!$B$17,Paramètres!$A$1:$I$89,3,0)*VLOOKUP('Données projet'!$B$17,Paramètres!$A$1:$I$89,5,0)</f>
        <v>238.30559999999986</v>
      </c>
      <c r="GB111" s="13">
        <f t="shared" si="103"/>
        <v>58.074821878967043</v>
      </c>
      <c r="GC111" s="20">
        <f t="shared" si="79"/>
        <v>516.19590143920061</v>
      </c>
      <c r="GD111" s="59">
        <f t="shared" si="80"/>
        <v>809.52923477253398</v>
      </c>
      <c r="GE111" s="59">
        <f ca="1">AVERAGE(OFFSET($GD$3,0,0,'Données projet'!$E$17+1,1))-AVERAGE(OFFSET($H$3,0,0,'Données projet'!$E$17+1,1))</f>
        <v>269.41185214595805</v>
      </c>
      <c r="GF111" s="59">
        <f t="shared" si="104"/>
        <v>299.70148160580993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1.3530493830077093</v>
      </c>
      <c r="GM111" s="21">
        <f>EXP(-LN(2)/25)*GM110+(1-EXP(-LN(2)/25))/(LN(2)/25)*Calculateur!GH111*Calculateur!GJ111*VLOOKUP('Données projet'!$B$17,Paramètres!$A$1:$I$89,3,0)*0.475*44/12</f>
        <v>1.8660784514831925</v>
      </c>
      <c r="GN111" s="21">
        <f>EXP(-LN(2)/2)*GN110+(1-EXP(-LN(2)/2))/(LN(2)/2)*GH111*GK111*VLOOKUP('Données projet'!$B$17,Paramètres!$A$1:$I$89,3,0)*0.475*44/12</f>
        <v>3.4758465632580729E-11</v>
      </c>
      <c r="GO111" s="21">
        <f t="shared" si="81"/>
        <v>3.21912783452566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5.6843418860808015E-14</v>
      </c>
      <c r="GV111" s="17">
        <f>GU111*VLOOKUP('Données projet'!$B$18,Paramètres!$A$1:$I$89,3,0)*VLOOKUP('Données projet'!$B$18,Paramètres!$A$1:$I$89,5,0)</f>
        <v>4.9658410716801891E-14</v>
      </c>
      <c r="GW111" s="13">
        <f t="shared" si="105"/>
        <v>8.0934058173791862E-13</v>
      </c>
      <c r="GX111" s="20">
        <f t="shared" si="82"/>
        <v>1.4960899118586383E-12</v>
      </c>
      <c r="GY111" s="59">
        <f t="shared" si="83"/>
        <v>293.33333333333479</v>
      </c>
      <c r="GZ111" s="59">
        <f ca="1">AVERAGE(OFFSET($GY$3,0,0,'Données projet'!$E$18+1,1))-AVERAGE(OFFSET($H$3,0,0,'Données projet'!$E$18+1,1))</f>
        <v>226.35975611953359</v>
      </c>
      <c r="HA111" s="59">
        <f t="shared" si="106"/>
        <v>271.65876694892461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1.2987426610143646</v>
      </c>
      <c r="HI111" s="21">
        <f>EXP(-LN(2)/2)*HI110+(1-EXP(-LN(2)/2))/(LN(2)/2)*HC111*HF111*VLOOKUP('Données projet'!$B$18,Paramètres!$A$1:$I$89,3,0)*0.475*44/12</f>
        <v>2.1494294083192584E-11</v>
      </c>
      <c r="HJ111" s="22">
        <f t="shared" si="84"/>
        <v>1.298742661035859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7.2711538461538394</v>
      </c>
      <c r="N112" s="13">
        <f>IF('Données projet'!$A$36&gt;35,N111+M112-V111,IF(A112&lt;'Données projet'!$A$36,$K$205^A112,IF(A112='Données projet'!$A$36,'Données projet'!$B$36,N111+M112-V111)))</f>
        <v>355.08782051282003</v>
      </c>
      <c r="O112" s="13">
        <f>N112*VLOOKUP('Données projet'!$B$9,Paramètres!$A$1:$I$89,3,0)*VLOOKUP('Données projet'!$B$9,Paramètres!$A$1:$I$89,5,0)</f>
        <v>321.28345999999959</v>
      </c>
      <c r="P112" s="13">
        <f t="shared" si="87"/>
        <v>75.620340232134694</v>
      </c>
      <c r="Q112" s="20">
        <f t="shared" si="107"/>
        <v>691.27411873763378</v>
      </c>
      <c r="R112" s="59">
        <f t="shared" si="55"/>
        <v>984.60745207096716</v>
      </c>
      <c r="S112" s="59">
        <f ca="1">AVERAGE(OFFSET($R$3,0,0,'Données projet'!$E$9+1,1))-AVERAGE(OFFSET($H$3,0,0,'Données projet'!$E$9+1,1))</f>
        <v>309.07357540707869</v>
      </c>
      <c r="T112" s="59">
        <f t="shared" si="88"/>
        <v>155.9593924683299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227.99999999999986</v>
      </c>
      <c r="AJ112" s="13">
        <f>AI112*VLOOKUP('Données projet'!$B$10,Paramètres!$A$1:$I$89,3,0)*VLOOKUP('Données projet'!$B$10,Paramètres!$A$1:$I$89,5,0)</f>
        <v>199.18079999999992</v>
      </c>
      <c r="AK112" s="13">
        <f t="shared" si="89"/>
        <v>49.564089376413683</v>
      </c>
      <c r="AL112" s="20">
        <f t="shared" si="58"/>
        <v>433.23068233058694</v>
      </c>
      <c r="AM112" s="59">
        <f t="shared" si="59"/>
        <v>726.56401566392026</v>
      </c>
      <c r="AN112" s="59">
        <f ca="1">AVERAGE(OFFSET($AM$3,0,0,'Données projet'!$E$10+1,1))-AVERAGE(OFFSET($H$3,0,0,'Données projet'!$E$10+1,1))</f>
        <v>210.07838338464626</v>
      </c>
      <c r="AO112" s="59">
        <f t="shared" si="90"/>
        <v>241.76003724236273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1.1087305515461412</v>
      </c>
      <c r="AV112" s="21">
        <f>EXP(-LN(2)/25)*AV111+(1-EXP(-LN(2)/25))/(LN(2)/25)*Calculateur!AQ112*Calculateur!AS112*VLOOKUP('Données projet'!$B$10,Paramètres!$A$1:$I$89,3,0)*0.475*44/12</f>
        <v>1.5170570825865177</v>
      </c>
      <c r="AW112" s="21">
        <f>EXP(-LN(2)/2)*AW111+(1-EXP(-LN(2)/2))/(LN(2)/2)*AQ112*AT112*VLOOKUP('Données projet'!$B$10,Paramètres!$A$1:$I$89,3,0)*0.475*44/12</f>
        <v>2.0542761464723903E-11</v>
      </c>
      <c r="AX112" s="21">
        <f t="shared" si="60"/>
        <v>2.6257876341532018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2.2737367544323206E-13</v>
      </c>
      <c r="BE112" s="13">
        <f>BD112*VLOOKUP('Données projet'!$B$11,Paramètres!$A$1:$I$89,3,0)*VLOOKUP('Données projet'!$B$11,Paramètres!$A$1:$I$89,5,0)</f>
        <v>1.2414602679200471E-13</v>
      </c>
      <c r="BF112" s="13">
        <f t="shared" si="91"/>
        <v>1.8186582995804361E-12</v>
      </c>
      <c r="BG112" s="20">
        <f t="shared" si="61"/>
        <v>3.3837175350986671E-12</v>
      </c>
      <c r="BH112" s="59">
        <f t="shared" si="62"/>
        <v>293.33333333333672</v>
      </c>
      <c r="BI112" s="59">
        <f ca="1">AVERAGE(OFFSET($BH$3,0,0,'Données projet'!$E$11+1,1))-AVERAGE(OFFSET($H$3,0,0,'Données projet'!$E$11+1,1))</f>
        <v>168.72306536277267</v>
      </c>
      <c r="BJ112" s="59">
        <f t="shared" si="92"/>
        <v>203.35476578922339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0.63635957781936692</v>
      </c>
      <c r="BQ112" s="21">
        <f>EXP(-LN(2)/25)*BQ111+(1-EXP(-LN(2)/25))/(LN(2)/25)*Calculateur!BL112*Calculateur!BN112*VLOOKUP('Données projet'!$B$11,Paramètres!$A$1:$I$89,3,0)*0.475*44/12</f>
        <v>2.5715213174796121</v>
      </c>
      <c r="BR112" s="21">
        <f>EXP(-LN(2)/2)*BR111+(1-EXP(-LN(2)/2))/(LN(2)/2)*BL112*BO112*VLOOKUP('Données projet'!$B$11,Paramètres!$A$1:$I$89,3,0)*0.475*44/12</f>
        <v>2.5755066839189865E-11</v>
      </c>
      <c r="BS112" s="22">
        <f t="shared" si="63"/>
        <v>3.2078808953247342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3.4106051316484809E-13</v>
      </c>
      <c r="BZ112" s="13">
        <f>BY112*VLOOKUP('Données projet'!$B$12,Paramètres!$A$1:$I$89,3,0)*VLOOKUP('Données projet'!$B$12,Paramètres!$A$1:$I$89,5,0)</f>
        <v>1.5961632016114892E-13</v>
      </c>
      <c r="CA112" s="13">
        <f t="shared" si="93"/>
        <v>2.2708641912150958E-12</v>
      </c>
      <c r="CB112" s="20">
        <f t="shared" si="64"/>
        <v>4.2330868906469593E-12</v>
      </c>
      <c r="CC112" s="59">
        <f t="shared" si="65"/>
        <v>293.33333333333752</v>
      </c>
      <c r="CD112" s="59">
        <f ca="1">AVERAGE(OFFSET($CC$3,0,0,'Données projet'!$E$12+1,1))-AVERAGE(OFFSET($H$3,0,0,'Données projet'!$E$12+1,1))</f>
        <v>158.58786357608489</v>
      </c>
      <c r="CE112" s="59">
        <f t="shared" si="94"/>
        <v>163.20074068819849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4.1677594708744434E-14</v>
      </c>
      <c r="CV112" s="13">
        <f t="shared" si="95"/>
        <v>6.9326303456159188E-13</v>
      </c>
      <c r="CW112" s="20">
        <f t="shared" si="67"/>
        <v>1.2800215959791691E-12</v>
      </c>
      <c r="CX112" s="59">
        <f t="shared" si="68"/>
        <v>293.33333333333462</v>
      </c>
      <c r="CY112" s="59">
        <f ca="1">AVERAGE(OFFSET($CX$3,0,0,'Données projet'!$E$13+1,1))-AVERAGE(OFFSET($H$3,0,0,'Données projet'!$E$13+1,1))</f>
        <v>178.12968684094687</v>
      </c>
      <c r="CZ112" s="59">
        <f t="shared" si="96"/>
        <v>219.36004077210373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0.86017006309626254</v>
      </c>
      <c r="DH112" s="21">
        <f>EXP(-LN(2)/2)*DH111+(1-EXP(-LN(2)/2))/(LN(2)/2)*DB112*DE112*VLOOKUP('Données projet'!$B$13,Paramètres!$A$1:$I$89,3,0)*0.475*44/12</f>
        <v>1.2756103068625681E-11</v>
      </c>
      <c r="DI112" s="22">
        <f t="shared" si="69"/>
        <v>0.86017006310901867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-8.5265128291212022E-14</v>
      </c>
      <c r="DP112" s="17">
        <f>DO112*VLOOKUP('Données projet'!$B$14,Paramètres!$A$1:$I$89,3,0)*VLOOKUP('Données projet'!$B$14,Paramètres!$A$1:$I$89,5,0)</f>
        <v>-7.7147888077888636E-14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225.28075317732998</v>
      </c>
      <c r="DU112" s="59">
        <f t="shared" si="98"/>
        <v>358.43407531256207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0.46931348342900542</v>
      </c>
      <c r="EB112" s="21">
        <f>EXP(-LN(2)/25)*EB111+(1-EXP(-LN(2)/25))/(LN(2)/25)*Calculateur!DW112*Calculateur!DY112*VLOOKUP('Données projet'!$B$14,Paramètres!$A$1:$I$89,3,0)*0.475*44/12</f>
        <v>0.92546226459900116</v>
      </c>
      <c r="EC112" s="21">
        <f>EXP(-LN(2)/2)*EC111+(1-EXP(-LN(2)/2))/(LN(2)/2)*DW112*DZ112*VLOOKUP('Données projet'!$B$14,Paramètres!$A$1:$I$89,3,0)*0.475*44/12</f>
        <v>5.6774011003573023E-12</v>
      </c>
      <c r="ED112" s="22">
        <f t="shared" si="72"/>
        <v>1.394775748033684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7.2711538461538394</v>
      </c>
      <c r="EJ112" s="12">
        <f>IF('Données projet'!$A$192&gt;35,EJ111+EI112-ER111,IF(A112&lt;'Données projet'!$A$192,$EG$205^A112,IF(A112='Données projet'!$A$192,'Données projet'!$B$192,EJ111+EI112-ER111)))</f>
        <v>355.08782051282003</v>
      </c>
      <c r="EK112" s="17">
        <f>EJ112*VLOOKUP('Données projet'!$B$15,Paramètres!$A$1:$I$89,3,0)*VLOOKUP('Données projet'!$B$15,Paramètres!$A$1:$I$89,5,0)</f>
        <v>360.05904999999956</v>
      </c>
      <c r="EL112" s="13">
        <f t="shared" si="99"/>
        <v>83.630346049528583</v>
      </c>
      <c r="EM112" s="20">
        <f t="shared" si="73"/>
        <v>772.75903145292807</v>
      </c>
      <c r="EN112" s="59">
        <f t="shared" si="74"/>
        <v>1066.0923647862614</v>
      </c>
      <c r="EO112" s="59">
        <f ca="1">AVERAGE(OFFSET($EN$3,0,0,'Données projet'!$E$15+1,1))-AVERAGE(OFFSET($H$3,0,0,'Données projet'!$E$15+1,1))</f>
        <v>363.98308691765931</v>
      </c>
      <c r="EP112" s="59">
        <f t="shared" si="100"/>
        <v>181.47089407988187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7.2711538461538394</v>
      </c>
      <c r="FE112" s="12">
        <f>IF('Données projet'!$A$218&gt;35,FE111+FD112-FM111,IF(A112&lt;'Données projet'!$A$218,$FB$205^A112,IF(A112='Données projet'!$A$218,'Données projet'!$B$218,FE111+FD112-FM111)))</f>
        <v>355.08782051282003</v>
      </c>
      <c r="FF112" s="17">
        <f>FE112*VLOOKUP('Données projet'!$B$16,Paramètres!$A$1:$I$89,3,0)*VLOOKUP('Données projet'!$B$16,Paramètres!$A$1:$I$89,5,0)</f>
        <v>382.21652999999947</v>
      </c>
      <c r="FG112" s="13">
        <f t="shared" si="101"/>
        <v>88.1618527570716</v>
      </c>
      <c r="FH112" s="20">
        <f t="shared" si="76"/>
        <v>819.24234996856546</v>
      </c>
      <c r="FI112" s="59">
        <f t="shared" si="77"/>
        <v>1112.5756833018988</v>
      </c>
      <c r="FJ112" s="59">
        <f ca="1">AVERAGE(OFFSET($FI$3,0,0,'Données projet'!$E$16+1,1))-AVERAGE(OFFSET($H$3,0,0,'Données projet'!$E$16+1,1))</f>
        <v>395.30533160963489</v>
      </c>
      <c r="FK112" s="59">
        <f t="shared" si="102"/>
        <v>196.02102977695085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227.99999999999986</v>
      </c>
      <c r="GA112" s="17">
        <f>FZ112*VLOOKUP('Données projet'!$B$17,Paramètres!$A$1:$I$89,3,0)*VLOOKUP('Données projet'!$B$17,Paramètres!$A$1:$I$89,5,0)</f>
        <v>238.30559999999986</v>
      </c>
      <c r="GB112" s="13">
        <f t="shared" si="103"/>
        <v>58.074821878967043</v>
      </c>
      <c r="GC112" s="20">
        <f t="shared" si="79"/>
        <v>516.19590143920061</v>
      </c>
      <c r="GD112" s="59">
        <f t="shared" si="80"/>
        <v>809.52923477253398</v>
      </c>
      <c r="GE112" s="59">
        <f ca="1">AVERAGE(OFFSET($GD$3,0,0,'Données projet'!$E$17+1,1))-AVERAGE(OFFSET($H$3,0,0,'Données projet'!$E$17+1,1))</f>
        <v>269.41185214595805</v>
      </c>
      <c r="GF112" s="59">
        <f t="shared" si="104"/>
        <v>299.70148160580993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1.3265169098855623</v>
      </c>
      <c r="GM112" s="21">
        <f>EXP(-LN(2)/25)*GM111+(1-EXP(-LN(2)/25))/(LN(2)/25)*Calculateur!GH112*Calculateur!GJ112*VLOOKUP('Données projet'!$B$17,Paramètres!$A$1:$I$89,3,0)*0.475*44/12</f>
        <v>1.8150504380945838</v>
      </c>
      <c r="GN112" s="21">
        <f>EXP(-LN(2)/2)*GN111+(1-EXP(-LN(2)/2))/(LN(2)/2)*GH112*GK112*VLOOKUP('Données projet'!$B$17,Paramètres!$A$1:$I$89,3,0)*0.475*44/12</f>
        <v>2.4577946752437394E-11</v>
      </c>
      <c r="GO112" s="21">
        <f t="shared" si="81"/>
        <v>3.1415673480047244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5.6843418860808015E-14</v>
      </c>
      <c r="GV112" s="17">
        <f>GU112*VLOOKUP('Données projet'!$B$18,Paramètres!$A$1:$I$89,3,0)*VLOOKUP('Données projet'!$B$18,Paramètres!$A$1:$I$89,5,0)</f>
        <v>4.9658410716801891E-14</v>
      </c>
      <c r="GW112" s="13">
        <f t="shared" si="105"/>
        <v>8.0934058173791862E-13</v>
      </c>
      <c r="GX112" s="20">
        <f t="shared" si="82"/>
        <v>1.4960899118586383E-12</v>
      </c>
      <c r="GY112" s="59">
        <f t="shared" si="83"/>
        <v>293.33333333333479</v>
      </c>
      <c r="GZ112" s="59">
        <f ca="1">AVERAGE(OFFSET($GY$3,0,0,'Données projet'!$E$18+1,1))-AVERAGE(OFFSET($H$3,0,0,'Données projet'!$E$18+1,1))</f>
        <v>226.35975611953359</v>
      </c>
      <c r="HA112" s="59">
        <f t="shared" si="106"/>
        <v>271.65876694892461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1.2632284746510185</v>
      </c>
      <c r="HI112" s="21">
        <f>EXP(-LN(2)/2)*HI111+(1-EXP(-LN(2)/2))/(LN(2)/2)*HC112*HF112*VLOOKUP('Données projet'!$B$18,Paramètres!$A$1:$I$89,3,0)*0.475*44/12</f>
        <v>1.5198761103043361E-11</v>
      </c>
      <c r="HJ112" s="22">
        <f t="shared" si="84"/>
        <v>1.2632284746662172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362.35897435897431</v>
      </c>
      <c r="L113" s="12">
        <f>VLOOKUP(A113,'Données projet'!$A$35:$I$55,9,0)</f>
        <v>7.2711538461538394</v>
      </c>
      <c r="M113" s="12">
        <f t="array" ref="M113">INDEX(L:L,MIN(IF(ISNUMBER(L113:L309),ROW(L113:L309),"")))</f>
        <v>7.2711538461538394</v>
      </c>
      <c r="N113" s="13">
        <f>IF('Données projet'!$A$36&gt;35,N112+M113-V112,IF(A113&lt;'Données projet'!$A$36,$K$205^A113,IF(A113='Données projet'!$A$36,'Données projet'!$B$36,N112+M113-V112)))</f>
        <v>362.35897435897385</v>
      </c>
      <c r="O113" s="13">
        <f>N113*VLOOKUP('Données projet'!$B$9,Paramètres!$A$1:$I$89,3,0)*VLOOKUP('Données projet'!$B$9,Paramètres!$A$1:$I$89,5,0)</f>
        <v>327.86239999999952</v>
      </c>
      <c r="P113" s="13">
        <f t="shared" si="87"/>
        <v>76.98696067405001</v>
      </c>
      <c r="Q113" s="20">
        <f t="shared" si="107"/>
        <v>705.11263650730291</v>
      </c>
      <c r="R113" s="59">
        <f t="shared" si="55"/>
        <v>998.44596984063628</v>
      </c>
      <c r="S113" s="59">
        <f ca="1">AVERAGE(OFFSET($R$3,0,0,'Données projet'!$E$9+1,1))-AVERAGE(OFFSET($H$3,0,0,'Données projet'!$E$9+1,1))</f>
        <v>309.07357540707869</v>
      </c>
      <c r="T113" s="59">
        <f t="shared" si="88"/>
        <v>155.9593924683299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50.051282051282051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227.99999999999986</v>
      </c>
      <c r="AJ113" s="13">
        <f>AI113*VLOOKUP('Données projet'!$B$10,Paramètres!$A$1:$I$89,3,0)*VLOOKUP('Données projet'!$B$10,Paramètres!$A$1:$I$89,5,0)</f>
        <v>199.18079999999992</v>
      </c>
      <c r="AK113" s="13">
        <f t="shared" si="89"/>
        <v>49.564089376413683</v>
      </c>
      <c r="AL113" s="20">
        <f t="shared" si="58"/>
        <v>433.23068233058694</v>
      </c>
      <c r="AM113" s="59">
        <f t="shared" si="59"/>
        <v>726.56401566392026</v>
      </c>
      <c r="AN113" s="59">
        <f ca="1">AVERAGE(OFFSET($AM$3,0,0,'Données projet'!$E$10+1,1))-AVERAGE(OFFSET($H$3,0,0,'Données projet'!$E$10+1,1))</f>
        <v>210.07838338464626</v>
      </c>
      <c r="AO113" s="59">
        <f t="shared" si="90"/>
        <v>241.76003724236273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1.0869890216891829</v>
      </c>
      <c r="AV113" s="21">
        <f>EXP(-LN(2)/25)*AV112+(1-EXP(-LN(2)/25))/(LN(2)/25)*Calculateur!AQ113*Calculateur!AS113*VLOOKUP('Données projet'!$B$10,Paramètres!$A$1:$I$89,3,0)*0.475*44/12</f>
        <v>1.4755730768846247</v>
      </c>
      <c r="AW113" s="21">
        <f>EXP(-LN(2)/2)*AW112+(1-EXP(-LN(2)/2))/(LN(2)/2)*AQ113*AT113*VLOOKUP('Données projet'!$B$10,Paramètres!$A$1:$I$89,3,0)*0.475*44/12</f>
        <v>1.4525925936003966E-11</v>
      </c>
      <c r="AX113" s="21">
        <f t="shared" si="60"/>
        <v>2.5625620985883333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2.2737367544323206E-13</v>
      </c>
      <c r="BE113" s="13">
        <f>BD113*VLOOKUP('Données projet'!$B$11,Paramètres!$A$1:$I$89,3,0)*VLOOKUP('Données projet'!$B$11,Paramètres!$A$1:$I$89,5,0)</f>
        <v>1.2414602679200471E-13</v>
      </c>
      <c r="BF113" s="13">
        <f t="shared" si="91"/>
        <v>1.8186582995804361E-12</v>
      </c>
      <c r="BG113" s="20">
        <f t="shared" si="61"/>
        <v>3.3837175350986671E-12</v>
      </c>
      <c r="BH113" s="59">
        <f t="shared" si="62"/>
        <v>293.33333333333672</v>
      </c>
      <c r="BI113" s="59">
        <f ca="1">AVERAGE(OFFSET($BH$3,0,0,'Données projet'!$E$11+1,1))-AVERAGE(OFFSET($H$3,0,0,'Données projet'!$E$11+1,1))</f>
        <v>168.72306536277267</v>
      </c>
      <c r="BJ113" s="59">
        <f t="shared" si="92"/>
        <v>203.35476578922339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0.6238809546393459</v>
      </c>
      <c r="BQ113" s="21">
        <f>EXP(-LN(2)/25)*BQ112+(1-EXP(-LN(2)/25))/(LN(2)/25)*Calculateur!BL113*Calculateur!BN113*VLOOKUP('Données projet'!$B$11,Paramètres!$A$1:$I$89,3,0)*0.475*44/12</f>
        <v>2.5012029318227031</v>
      </c>
      <c r="BR113" s="21">
        <f>EXP(-LN(2)/2)*BR112+(1-EXP(-LN(2)/2))/(LN(2)/2)*BL113*BO113*VLOOKUP('Données projet'!$B$11,Paramètres!$A$1:$I$89,3,0)*0.475*44/12</f>
        <v>1.8211582411903934E-11</v>
      </c>
      <c r="BS113" s="22">
        <f t="shared" si="63"/>
        <v>3.1250838864802608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3.4106051316484809E-13</v>
      </c>
      <c r="BZ113" s="13">
        <f>BY113*VLOOKUP('Données projet'!$B$12,Paramètres!$A$1:$I$89,3,0)*VLOOKUP('Données projet'!$B$12,Paramètres!$A$1:$I$89,5,0)</f>
        <v>1.5961632016114892E-13</v>
      </c>
      <c r="CA113" s="13">
        <f t="shared" si="93"/>
        <v>2.2708641912150958E-12</v>
      </c>
      <c r="CB113" s="20">
        <f t="shared" si="64"/>
        <v>4.2330868906469593E-12</v>
      </c>
      <c r="CC113" s="59">
        <f t="shared" si="65"/>
        <v>293.33333333333752</v>
      </c>
      <c r="CD113" s="59">
        <f ca="1">AVERAGE(OFFSET($CC$3,0,0,'Données projet'!$E$12+1,1))-AVERAGE(OFFSET($H$3,0,0,'Données projet'!$E$12+1,1))</f>
        <v>158.58786357608489</v>
      </c>
      <c r="CE113" s="59">
        <f t="shared" si="94"/>
        <v>163.20074068819849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4.1677594708744434E-14</v>
      </c>
      <c r="CV113" s="13">
        <f t="shared" si="95"/>
        <v>6.9326303456159188E-13</v>
      </c>
      <c r="CW113" s="20">
        <f t="shared" si="67"/>
        <v>1.2800215959791691E-12</v>
      </c>
      <c r="CX113" s="59">
        <f t="shared" si="68"/>
        <v>293.33333333333462</v>
      </c>
      <c r="CY113" s="59">
        <f ca="1">AVERAGE(OFFSET($CX$3,0,0,'Données projet'!$E$13+1,1))-AVERAGE(OFFSET($H$3,0,0,'Données projet'!$E$13+1,1))</f>
        <v>178.12968684094687</v>
      </c>
      <c r="CZ113" s="59">
        <f t="shared" si="96"/>
        <v>219.36004077210373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0.83664866748651756</v>
      </c>
      <c r="DH113" s="21">
        <f>EXP(-LN(2)/2)*DH112+(1-EXP(-LN(2)/2))/(LN(2)/2)*DB113*DE113*VLOOKUP('Données projet'!$B$13,Paramètres!$A$1:$I$89,3,0)*0.475*44/12</f>
        <v>9.0199269813397471E-12</v>
      </c>
      <c r="DI113" s="22">
        <f t="shared" si="69"/>
        <v>0.83664866749553746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-8.5265128291212022E-14</v>
      </c>
      <c r="DP113" s="17">
        <f>DO113*VLOOKUP('Données projet'!$B$14,Paramètres!$A$1:$I$89,3,0)*VLOOKUP('Données projet'!$B$14,Paramètres!$A$1:$I$89,5,0)</f>
        <v>-7.7147888077888636E-14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225.28075317732998</v>
      </c>
      <c r="DU113" s="59">
        <f t="shared" si="98"/>
        <v>358.43407531256207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0.46011053227192239</v>
      </c>
      <c r="EB113" s="21">
        <f>EXP(-LN(2)/25)*EB112+(1-EXP(-LN(2)/25))/(LN(2)/25)*Calculateur!DW113*Calculateur!DY113*VLOOKUP('Données projet'!$B$14,Paramètres!$A$1:$I$89,3,0)*0.475*44/12</f>
        <v>0.90015545030559618</v>
      </c>
      <c r="EC113" s="21">
        <f>EXP(-LN(2)/2)*EC112+(1-EXP(-LN(2)/2))/(LN(2)/2)*DW113*DZ113*VLOOKUP('Données projet'!$B$14,Paramètres!$A$1:$I$89,3,0)*0.475*44/12</f>
        <v>4.0145288175786151E-12</v>
      </c>
      <c r="ED113" s="22">
        <f t="shared" si="72"/>
        <v>1.3602659825815331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362.35897435897431</v>
      </c>
      <c r="EH113" s="12">
        <f>VLOOKUP(A113,'Données projet'!$A$191:$I$211,9,0)</f>
        <v>7.2711538461538394</v>
      </c>
      <c r="EI113" s="12">
        <f t="array" ref="EI113">INDEX(EH:EH,MIN(IF(ISNUMBER(EH113:EH309),ROW(EH113:EH309),"")))</f>
        <v>7.2711538461538394</v>
      </c>
      <c r="EJ113" s="12">
        <f>IF('Données projet'!$A$192&gt;35,EJ112+EI113-ER112,IF(A113&lt;'Données projet'!$A$192,$EG$205^A113,IF(A113='Données projet'!$A$192,'Données projet'!$B$192,EJ112+EI113-ER112)))</f>
        <v>362.35897435897385</v>
      </c>
      <c r="EK113" s="17">
        <f>EJ113*VLOOKUP('Données projet'!$B$15,Paramètres!$A$1:$I$89,3,0)*VLOOKUP('Données projet'!$B$15,Paramètres!$A$1:$I$89,5,0)</f>
        <v>367.4319999999995</v>
      </c>
      <c r="EL113" s="13">
        <f t="shared" si="99"/>
        <v>85.141724339085258</v>
      </c>
      <c r="EM113" s="20">
        <f t="shared" si="73"/>
        <v>788.23256989057256</v>
      </c>
      <c r="EN113" s="59">
        <f t="shared" si="74"/>
        <v>1081.5659032239059</v>
      </c>
      <c r="EO113" s="59">
        <f ca="1">AVERAGE(OFFSET($EN$3,0,0,'Données projet'!$E$15+1,1))-AVERAGE(OFFSET($H$3,0,0,'Données projet'!$E$15+1,1))</f>
        <v>363.98308691765931</v>
      </c>
      <c r="EP113" s="59">
        <f t="shared" si="100"/>
        <v>181.47089407988187</v>
      </c>
      <c r="EQ113" s="15">
        <f>IF(ISNA(VLOOKUP(A113,'Données projet'!$A$191:$I$211,3,0)),0,VLOOKUP(A113,'Données projet'!$A$191:$I$211,3,0))</f>
        <v>10</v>
      </c>
      <c r="ER113" s="15">
        <f>IF(ISNA(VLOOKUP(A113,'Données projet'!$A$191:$I$211,4,0)),0,VLOOKUP(A113,'Données projet'!$A$191:$I$211,4,0))</f>
        <v>50.051282051282051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362.35897435897431</v>
      </c>
      <c r="FC113" s="12">
        <f>VLOOKUP(A113,'Données projet'!$A$217:$I$237,9,0)</f>
        <v>7.2711538461538394</v>
      </c>
      <c r="FD113" s="12">
        <f t="array" ref="FD113">INDEX(FC:FC,MIN(IF(ISNUMBER(FC113:FC309),ROW(FC113:FC309),"")))</f>
        <v>7.2711538461538394</v>
      </c>
      <c r="FE113" s="12">
        <f>IF('Données projet'!$A$218&gt;35,FE112+FD113-FM112,IF(A113&lt;'Données projet'!$A$218,$FB$205^A113,IF(A113='Données projet'!$A$218,'Données projet'!$B$218,FE112+FD113-FM112)))</f>
        <v>362.35897435897385</v>
      </c>
      <c r="FF113" s="17">
        <f>FE113*VLOOKUP('Données projet'!$B$16,Paramètres!$A$1:$I$89,3,0)*VLOOKUP('Données projet'!$B$16,Paramètres!$A$1:$I$89,5,0)</f>
        <v>390.04319999999944</v>
      </c>
      <c r="FG113" s="13">
        <f t="shared" si="101"/>
        <v>89.755125014312028</v>
      </c>
      <c r="FH113" s="20">
        <f t="shared" si="76"/>
        <v>835.6487493999258</v>
      </c>
      <c r="FI113" s="59">
        <f t="shared" si="77"/>
        <v>1128.9820827332592</v>
      </c>
      <c r="FJ113" s="59">
        <f ca="1">AVERAGE(OFFSET($FI$3,0,0,'Données projet'!$E$16+1,1))-AVERAGE(OFFSET($H$3,0,0,'Données projet'!$E$16+1,1))</f>
        <v>395.30533160963489</v>
      </c>
      <c r="FK113" s="59">
        <f t="shared" si="102"/>
        <v>196.02102977695085</v>
      </c>
      <c r="FL113" s="15">
        <f>IF(ISNA(VLOOKUP(A113,'Données projet'!$A$217:$I$237,3,0)),0,VLOOKUP(A113,'Données projet'!$A$217:$I$237,3,0))</f>
        <v>10</v>
      </c>
      <c r="FM113" s="15">
        <f>IF(ISNA(VLOOKUP(A113,'Données projet'!$A$217:$I$237,4,0)),0,VLOOKUP(A113,'Données projet'!$A$217:$I$237,4,0))</f>
        <v>50.051282051282051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227.99999999999986</v>
      </c>
      <c r="GA113" s="17">
        <f>FZ113*VLOOKUP('Données projet'!$B$17,Paramètres!$A$1:$I$89,3,0)*VLOOKUP('Données projet'!$B$17,Paramètres!$A$1:$I$89,5,0)</f>
        <v>238.30559999999986</v>
      </c>
      <c r="GB113" s="13">
        <f t="shared" si="103"/>
        <v>58.074821878967043</v>
      </c>
      <c r="GC113" s="20">
        <f t="shared" si="79"/>
        <v>516.19590143920061</v>
      </c>
      <c r="GD113" s="59">
        <f t="shared" si="80"/>
        <v>809.52923477253398</v>
      </c>
      <c r="GE113" s="59">
        <f ca="1">AVERAGE(OFFSET($GD$3,0,0,'Données projet'!$E$17+1,1))-AVERAGE(OFFSET($H$3,0,0,'Données projet'!$E$17+1,1))</f>
        <v>269.41185214595805</v>
      </c>
      <c r="GF113" s="59">
        <f t="shared" si="104"/>
        <v>299.70148160580993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1.3005047223781299</v>
      </c>
      <c r="GM113" s="21">
        <f>EXP(-LN(2)/25)*GM112+(1-EXP(-LN(2)/25))/(LN(2)/25)*Calculateur!GH113*Calculateur!GJ113*VLOOKUP('Données projet'!$B$17,Paramètres!$A$1:$I$89,3,0)*0.475*44/12</f>
        <v>1.7654177884155331</v>
      </c>
      <c r="GN113" s="21">
        <f>EXP(-LN(2)/2)*GN112+(1-EXP(-LN(2)/2))/(LN(2)/2)*GH113*GK113*VLOOKUP('Données projet'!$B$17,Paramètres!$A$1:$I$89,3,0)*0.475*44/12</f>
        <v>1.7379232816290365E-11</v>
      </c>
      <c r="GO113" s="21">
        <f t="shared" si="81"/>
        <v>3.0659225108110424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5.6843418860808015E-14</v>
      </c>
      <c r="GV113" s="17">
        <f>GU113*VLOOKUP('Données projet'!$B$18,Paramètres!$A$1:$I$89,3,0)*VLOOKUP('Données projet'!$B$18,Paramètres!$A$1:$I$89,5,0)</f>
        <v>4.9658410716801891E-14</v>
      </c>
      <c r="GW113" s="13">
        <f t="shared" si="105"/>
        <v>8.0934058173791862E-13</v>
      </c>
      <c r="GX113" s="20">
        <f t="shared" si="82"/>
        <v>1.4960899118586383E-12</v>
      </c>
      <c r="GY113" s="59">
        <f t="shared" si="83"/>
        <v>293.33333333333479</v>
      </c>
      <c r="GZ113" s="59">
        <f ca="1">AVERAGE(OFFSET($GY$3,0,0,'Données projet'!$E$18+1,1))-AVERAGE(OFFSET($H$3,0,0,'Données projet'!$E$18+1,1))</f>
        <v>226.35975611953359</v>
      </c>
      <c r="HA113" s="59">
        <f t="shared" si="106"/>
        <v>271.65876694892461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1.2286854255813882</v>
      </c>
      <c r="HI113" s="21">
        <f>EXP(-LN(2)/2)*HI112+(1-EXP(-LN(2)/2))/(LN(2)/2)*HC113*HF113*VLOOKUP('Données projet'!$B$18,Paramètres!$A$1:$I$89,3,0)*0.475*44/12</f>
        <v>1.0747147041596292E-11</v>
      </c>
      <c r="HJ113" s="22">
        <f t="shared" si="84"/>
        <v>1.2286854255921353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7.1749999999999998</v>
      </c>
      <c r="N114" s="13">
        <f>IF('Données projet'!$A$36&gt;35,N113+M114-V113,IF(A114&lt;'Données projet'!$A$36,$K$205^A114,IF(A114='Données projet'!$A$36,'Données projet'!$B$36,N113+M114-V113)))</f>
        <v>319.48269230769182</v>
      </c>
      <c r="O114" s="13">
        <f>N114*VLOOKUP('Données projet'!$B$9,Paramètres!$A$1:$I$89,3,0)*VLOOKUP('Données projet'!$B$9,Paramètres!$A$1:$I$89,5,0)</f>
        <v>289.06793999999957</v>
      </c>
      <c r="P114" s="13">
        <f t="shared" si="87"/>
        <v>68.879756132176865</v>
      </c>
      <c r="Q114" s="20">
        <f t="shared" si="107"/>
        <v>623.42557076354058</v>
      </c>
      <c r="R114" s="59">
        <f t="shared" si="55"/>
        <v>916.75890409687395</v>
      </c>
      <c r="S114" s="59">
        <f ca="1">AVERAGE(OFFSET($R$3,0,0,'Données projet'!$E$9+1,1))-AVERAGE(OFFSET($H$3,0,0,'Données projet'!$E$9+1,1))</f>
        <v>309.07357540707869</v>
      </c>
      <c r="T114" s="59">
        <f t="shared" si="88"/>
        <v>155.9593924683299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227.99999999999986</v>
      </c>
      <c r="AJ114" s="13">
        <f>AI114*VLOOKUP('Données projet'!$B$10,Paramètres!$A$1:$I$89,3,0)*VLOOKUP('Données projet'!$B$10,Paramètres!$A$1:$I$89,5,0)</f>
        <v>199.18079999999992</v>
      </c>
      <c r="AK114" s="13">
        <f t="shared" si="89"/>
        <v>49.564089376413683</v>
      </c>
      <c r="AL114" s="20">
        <f t="shared" si="58"/>
        <v>433.23068233058694</v>
      </c>
      <c r="AM114" s="59">
        <f t="shared" si="59"/>
        <v>726.56401566392026</v>
      </c>
      <c r="AN114" s="59">
        <f ca="1">AVERAGE(OFFSET($AM$3,0,0,'Données projet'!$E$10+1,1))-AVERAGE(OFFSET($H$3,0,0,'Données projet'!$E$10+1,1))</f>
        <v>210.07838338464626</v>
      </c>
      <c r="AO114" s="59">
        <f t="shared" si="90"/>
        <v>241.76003724236273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1.0656738299716957</v>
      </c>
      <c r="AV114" s="21">
        <f>EXP(-LN(2)/25)*AV113+(1-EXP(-LN(2)/25))/(LN(2)/25)*Calculateur!AQ114*Calculateur!AS114*VLOOKUP('Données projet'!$B$10,Paramètres!$A$1:$I$89,3,0)*0.475*44/12</f>
        <v>1.4352234535001991</v>
      </c>
      <c r="AW114" s="21">
        <f>EXP(-LN(2)/2)*AW113+(1-EXP(-LN(2)/2))/(LN(2)/2)*AQ114*AT114*VLOOKUP('Données projet'!$B$10,Paramètres!$A$1:$I$89,3,0)*0.475*44/12</f>
        <v>1.0271380732361953E-11</v>
      </c>
      <c r="AX114" s="21">
        <f t="shared" si="60"/>
        <v>2.5008972834821663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2.2737367544323206E-13</v>
      </c>
      <c r="BE114" s="13">
        <f>BD114*VLOOKUP('Données projet'!$B$11,Paramètres!$A$1:$I$89,3,0)*VLOOKUP('Données projet'!$B$11,Paramètres!$A$1:$I$89,5,0)</f>
        <v>1.2414602679200471E-13</v>
      </c>
      <c r="BF114" s="13">
        <f t="shared" si="91"/>
        <v>1.8186582995804361E-12</v>
      </c>
      <c r="BG114" s="20">
        <f t="shared" si="61"/>
        <v>3.3837175350986671E-12</v>
      </c>
      <c r="BH114" s="59">
        <f t="shared" si="62"/>
        <v>293.33333333333672</v>
      </c>
      <c r="BI114" s="59">
        <f ca="1">AVERAGE(OFFSET($BH$3,0,0,'Données projet'!$E$11+1,1))-AVERAGE(OFFSET($H$3,0,0,'Données projet'!$E$11+1,1))</f>
        <v>168.72306536277267</v>
      </c>
      <c r="BJ114" s="59">
        <f t="shared" si="92"/>
        <v>203.35476578922339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0.61164702964867645</v>
      </c>
      <c r="BQ114" s="21">
        <f>EXP(-LN(2)/25)*BQ113+(1-EXP(-LN(2)/25))/(LN(2)/25)*Calculateur!BL114*Calculateur!BN114*VLOOKUP('Données projet'!$B$11,Paramètres!$A$1:$I$89,3,0)*0.475*44/12</f>
        <v>2.4328074061194656</v>
      </c>
      <c r="BR114" s="21">
        <f>EXP(-LN(2)/2)*BR113+(1-EXP(-LN(2)/2))/(LN(2)/2)*BL114*BO114*VLOOKUP('Données projet'!$B$11,Paramètres!$A$1:$I$89,3,0)*0.475*44/12</f>
        <v>1.2877533419594932E-11</v>
      </c>
      <c r="BS114" s="22">
        <f t="shared" si="63"/>
        <v>3.0444544357810197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3.4106051316484809E-13</v>
      </c>
      <c r="BZ114" s="13">
        <f>BY114*VLOOKUP('Données projet'!$B$12,Paramètres!$A$1:$I$89,3,0)*VLOOKUP('Données projet'!$B$12,Paramètres!$A$1:$I$89,5,0)</f>
        <v>1.5961632016114892E-13</v>
      </c>
      <c r="CA114" s="13">
        <f t="shared" si="93"/>
        <v>2.2708641912150958E-12</v>
      </c>
      <c r="CB114" s="20">
        <f t="shared" si="64"/>
        <v>4.2330868906469593E-12</v>
      </c>
      <c r="CC114" s="59">
        <f t="shared" si="65"/>
        <v>293.33333333333752</v>
      </c>
      <c r="CD114" s="59">
        <f ca="1">AVERAGE(OFFSET($CC$3,0,0,'Données projet'!$E$12+1,1))-AVERAGE(OFFSET($H$3,0,0,'Données projet'!$E$12+1,1))</f>
        <v>158.58786357608489</v>
      </c>
      <c r="CE114" s="59">
        <f t="shared" si="94"/>
        <v>163.20074068819849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4.1677594708744434E-14</v>
      </c>
      <c r="CV114" s="13">
        <f t="shared" si="95"/>
        <v>6.9326303456159188E-13</v>
      </c>
      <c r="CW114" s="20">
        <f t="shared" si="67"/>
        <v>1.2800215959791691E-12</v>
      </c>
      <c r="CX114" s="59">
        <f t="shared" si="68"/>
        <v>293.33333333333462</v>
      </c>
      <c r="CY114" s="59">
        <f ca="1">AVERAGE(OFFSET($CX$3,0,0,'Données projet'!$E$13+1,1))-AVERAGE(OFFSET($H$3,0,0,'Données projet'!$E$13+1,1))</f>
        <v>178.12968684094687</v>
      </c>
      <c r="CZ114" s="59">
        <f t="shared" si="96"/>
        <v>219.36004077210373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0.81377046567665745</v>
      </c>
      <c r="DH114" s="21">
        <f>EXP(-LN(2)/2)*DH113+(1-EXP(-LN(2)/2))/(LN(2)/2)*DB114*DE114*VLOOKUP('Données projet'!$B$13,Paramètres!$A$1:$I$89,3,0)*0.475*44/12</f>
        <v>6.3780515343128407E-12</v>
      </c>
      <c r="DI114" s="22">
        <f t="shared" si="69"/>
        <v>0.81377046568303546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-8.5265128291212022E-14</v>
      </c>
      <c r="DP114" s="17">
        <f>DO114*VLOOKUP('Données projet'!$B$14,Paramètres!$A$1:$I$89,3,0)*VLOOKUP('Données projet'!$B$14,Paramètres!$A$1:$I$89,5,0)</f>
        <v>-7.7147888077888636E-14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225.28075317732998</v>
      </c>
      <c r="DU114" s="59">
        <f t="shared" si="98"/>
        <v>358.43407531256207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0.45108804537378383</v>
      </c>
      <c r="EB114" s="21">
        <f>EXP(-LN(2)/25)*EB113+(1-EXP(-LN(2)/25))/(LN(2)/25)*Calculateur!DW114*Calculateur!DY114*VLOOKUP('Données projet'!$B$14,Paramètres!$A$1:$I$89,3,0)*0.475*44/12</f>
        <v>0.87554065217987187</v>
      </c>
      <c r="EC114" s="21">
        <f>EXP(-LN(2)/2)*EC113+(1-EXP(-LN(2)/2))/(LN(2)/2)*DW114*DZ114*VLOOKUP('Données projet'!$B$14,Paramètres!$A$1:$I$89,3,0)*0.475*44/12</f>
        <v>2.8387005501786511E-12</v>
      </c>
      <c r="ED114" s="22">
        <f t="shared" si="72"/>
        <v>1.3266286975564943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7.1749999999999998</v>
      </c>
      <c r="EJ114" s="12">
        <f>IF('Données projet'!$A$192&gt;35,EJ113+EI114-ER113,IF(A114&lt;'Données projet'!$A$192,$EG$205^A114,IF(A114='Données projet'!$A$192,'Données projet'!$B$192,EJ113+EI114-ER113)))</f>
        <v>319.48269230769182</v>
      </c>
      <c r="EK114" s="17">
        <f>EJ114*VLOOKUP('Données projet'!$B$15,Paramètres!$A$1:$I$89,3,0)*VLOOKUP('Données projet'!$B$15,Paramètres!$A$1:$I$89,5,0)</f>
        <v>323.95544999999953</v>
      </c>
      <c r="EL114" s="13">
        <f t="shared" si="99"/>
        <v>76.175772595812916</v>
      </c>
      <c r="EM114" s="20">
        <f t="shared" si="73"/>
        <v>696.89521268770659</v>
      </c>
      <c r="EN114" s="59">
        <f t="shared" si="74"/>
        <v>990.22854602103985</v>
      </c>
      <c r="EO114" s="59">
        <f ca="1">AVERAGE(OFFSET($EN$3,0,0,'Données projet'!$E$15+1,1))-AVERAGE(OFFSET($H$3,0,0,'Données projet'!$E$15+1,1))</f>
        <v>363.98308691765931</v>
      </c>
      <c r="EP114" s="59">
        <f t="shared" si="100"/>
        <v>181.47089407988187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7.1749999999999998</v>
      </c>
      <c r="FE114" s="12">
        <f>IF('Données projet'!$A$218&gt;35,FE113+FD114-FM113,IF(A114&lt;'Données projet'!$A$218,$FB$205^A114,IF(A114='Données projet'!$A$218,'Données projet'!$B$218,FE113+FD114-FM113)))</f>
        <v>319.48269230769182</v>
      </c>
      <c r="FF114" s="17">
        <f>FE114*VLOOKUP('Données projet'!$B$16,Paramètres!$A$1:$I$89,3,0)*VLOOKUP('Données projet'!$B$16,Paramètres!$A$1:$I$89,5,0)</f>
        <v>343.89116999999948</v>
      </c>
      <c r="FG114" s="13">
        <f t="shared" si="101"/>
        <v>80.30335356104969</v>
      </c>
      <c r="FH114" s="20">
        <f t="shared" si="76"/>
        <v>738.80546186882736</v>
      </c>
      <c r="FI114" s="59">
        <f t="shared" si="77"/>
        <v>1032.1387952021607</v>
      </c>
      <c r="FJ114" s="59">
        <f ca="1">AVERAGE(OFFSET($FI$3,0,0,'Données projet'!$E$16+1,1))-AVERAGE(OFFSET($H$3,0,0,'Données projet'!$E$16+1,1))</f>
        <v>395.30533160963489</v>
      </c>
      <c r="FK114" s="59">
        <f t="shared" si="102"/>
        <v>196.02102977695085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227.99999999999986</v>
      </c>
      <c r="GA114" s="17">
        <f>FZ114*VLOOKUP('Données projet'!$B$17,Paramètres!$A$1:$I$89,3,0)*VLOOKUP('Données projet'!$B$17,Paramètres!$A$1:$I$89,5,0)</f>
        <v>238.30559999999986</v>
      </c>
      <c r="GB114" s="13">
        <f t="shared" si="103"/>
        <v>58.074821878967043</v>
      </c>
      <c r="GC114" s="20">
        <f t="shared" si="79"/>
        <v>516.19590143920061</v>
      </c>
      <c r="GD114" s="59">
        <f t="shared" si="80"/>
        <v>809.52923477253398</v>
      </c>
      <c r="GE114" s="59">
        <f ca="1">AVERAGE(OFFSET($GD$3,0,0,'Données projet'!$E$17+1,1))-AVERAGE(OFFSET($H$3,0,0,'Données projet'!$E$17+1,1))</f>
        <v>269.41185214595805</v>
      </c>
      <c r="GF114" s="59">
        <f t="shared" si="104"/>
        <v>299.70148160580993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1.2750026180018506</v>
      </c>
      <c r="GM114" s="21">
        <f>EXP(-LN(2)/25)*GM113+(1-EXP(-LN(2)/25))/(LN(2)/25)*Calculateur!GH114*Calculateur!GJ114*VLOOKUP('Données projet'!$B$17,Paramètres!$A$1:$I$89,3,0)*0.475*44/12</f>
        <v>1.7171423461520237</v>
      </c>
      <c r="GN114" s="21">
        <f>EXP(-LN(2)/2)*GN113+(1-EXP(-LN(2)/2))/(LN(2)/2)*GH114*GK114*VLOOKUP('Données projet'!$B$17,Paramètres!$A$1:$I$89,3,0)*0.475*44/12</f>
        <v>1.2288973376218697E-11</v>
      </c>
      <c r="GO114" s="21">
        <f t="shared" si="81"/>
        <v>2.992144964166163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5.6843418860808015E-14</v>
      </c>
      <c r="GV114" s="17">
        <f>GU114*VLOOKUP('Données projet'!$B$18,Paramètres!$A$1:$I$89,3,0)*VLOOKUP('Données projet'!$B$18,Paramètres!$A$1:$I$89,5,0)</f>
        <v>4.9658410716801891E-14</v>
      </c>
      <c r="GW114" s="13">
        <f t="shared" si="105"/>
        <v>8.0934058173791862E-13</v>
      </c>
      <c r="GX114" s="20">
        <f t="shared" si="82"/>
        <v>1.4960899118586383E-12</v>
      </c>
      <c r="GY114" s="59">
        <f t="shared" si="83"/>
        <v>293.33333333333479</v>
      </c>
      <c r="GZ114" s="59">
        <f ca="1">AVERAGE(OFFSET($GY$3,0,0,'Données projet'!$E$18+1,1))-AVERAGE(OFFSET($H$3,0,0,'Données projet'!$E$18+1,1))</f>
        <v>226.35975611953359</v>
      </c>
      <c r="HA114" s="59">
        <f t="shared" si="106"/>
        <v>271.65876694892461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1.1950869580051067</v>
      </c>
      <c r="HI114" s="21">
        <f>EXP(-LN(2)/2)*HI113+(1-EXP(-LN(2)/2))/(LN(2)/2)*HC114*HF114*VLOOKUP('Données projet'!$B$18,Paramètres!$A$1:$I$89,3,0)*0.475*44/12</f>
        <v>7.5993805515216805E-12</v>
      </c>
      <c r="HJ114" s="22">
        <f t="shared" si="84"/>
        <v>1.1950869580127061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7.1749999999999998</v>
      </c>
      <c r="N115" s="13">
        <f>IF('Données projet'!$A$36&gt;35,N114+M115-V114,IF(A115&lt;'Données projet'!$A$36,$K$205^A115,IF(A115='Données projet'!$A$36,'Données projet'!$B$36,N114+M115-V114)))</f>
        <v>326.65769230769183</v>
      </c>
      <c r="O115" s="13">
        <f>N115*VLOOKUP('Données projet'!$B$9,Paramètres!$A$1:$I$89,3,0)*VLOOKUP('Données projet'!$B$9,Paramètres!$A$1:$I$89,5,0)</f>
        <v>295.55987999999957</v>
      </c>
      <c r="P115" s="13">
        <f t="shared" si="87"/>
        <v>70.244837533317892</v>
      </c>
      <c r="Q115" s="20">
        <f t="shared" si="107"/>
        <v>637.10988303719455</v>
      </c>
      <c r="R115" s="59">
        <f t="shared" si="55"/>
        <v>930.44321637052781</v>
      </c>
      <c r="S115" s="59">
        <f ca="1">AVERAGE(OFFSET($R$3,0,0,'Données projet'!$E$9+1,1))-AVERAGE(OFFSET($H$3,0,0,'Données projet'!$E$9+1,1))</f>
        <v>309.07357540707869</v>
      </c>
      <c r="T115" s="59">
        <f t="shared" si="88"/>
        <v>155.9593924683299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227.99999999999986</v>
      </c>
      <c r="AJ115" s="13">
        <f>AI115*VLOOKUP('Données projet'!$B$10,Paramètres!$A$1:$I$89,3,0)*VLOOKUP('Données projet'!$B$10,Paramètres!$A$1:$I$89,5,0)</f>
        <v>199.18079999999992</v>
      </c>
      <c r="AK115" s="13">
        <f t="shared" si="89"/>
        <v>49.564089376413683</v>
      </c>
      <c r="AL115" s="20">
        <f t="shared" si="58"/>
        <v>433.23068233058694</v>
      </c>
      <c r="AM115" s="59">
        <f t="shared" si="59"/>
        <v>726.56401566392026</v>
      </c>
      <c r="AN115" s="59">
        <f ca="1">AVERAGE(OFFSET($AM$3,0,0,'Données projet'!$E$10+1,1))-AVERAGE(OFFSET($H$3,0,0,'Données projet'!$E$10+1,1))</f>
        <v>210.07838338464626</v>
      </c>
      <c r="AO115" s="59">
        <f t="shared" si="90"/>
        <v>241.76003724236273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1.0447766161628051</v>
      </c>
      <c r="AV115" s="21">
        <f>EXP(-LN(2)/25)*AV114+(1-EXP(-LN(2)/25))/(LN(2)/25)*Calculateur!AQ115*Calculateur!AS115*VLOOKUP('Données projet'!$B$10,Paramètres!$A$1:$I$89,3,0)*0.475*44/12</f>
        <v>1.3959771926891149</v>
      </c>
      <c r="AW115" s="21">
        <f>EXP(-LN(2)/2)*AW114+(1-EXP(-LN(2)/2))/(LN(2)/2)*AQ115*AT115*VLOOKUP('Données projet'!$B$10,Paramètres!$A$1:$I$89,3,0)*0.475*44/12</f>
        <v>7.2629629680019838E-12</v>
      </c>
      <c r="AX115" s="21">
        <f t="shared" si="60"/>
        <v>2.4407538088591831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2.2737367544323206E-13</v>
      </c>
      <c r="BE115" s="13">
        <f>BD115*VLOOKUP('Données projet'!$B$11,Paramètres!$A$1:$I$89,3,0)*VLOOKUP('Données projet'!$B$11,Paramètres!$A$1:$I$89,5,0)</f>
        <v>1.2414602679200471E-13</v>
      </c>
      <c r="BF115" s="13">
        <f t="shared" si="91"/>
        <v>1.8186582995804361E-12</v>
      </c>
      <c r="BG115" s="20">
        <f t="shared" si="61"/>
        <v>3.3837175350986671E-12</v>
      </c>
      <c r="BH115" s="59">
        <f t="shared" si="62"/>
        <v>293.33333333333672</v>
      </c>
      <c r="BI115" s="59">
        <f ca="1">AVERAGE(OFFSET($BH$3,0,0,'Données projet'!$E$11+1,1))-AVERAGE(OFFSET($H$3,0,0,'Données projet'!$E$11+1,1))</f>
        <v>168.72306536277267</v>
      </c>
      <c r="BJ115" s="59">
        <f t="shared" si="92"/>
        <v>203.35476578922339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0.5996530044651166</v>
      </c>
      <c r="BQ115" s="21">
        <f>EXP(-LN(2)/25)*BQ114+(1-EXP(-LN(2)/25))/(LN(2)/25)*Calculateur!BL115*Calculateur!BN115*VLOOKUP('Données projet'!$B$11,Paramètres!$A$1:$I$89,3,0)*0.475*44/12</f>
        <v>2.3662821596633474</v>
      </c>
      <c r="BR115" s="21">
        <f>EXP(-LN(2)/2)*BR114+(1-EXP(-LN(2)/2))/(LN(2)/2)*BL115*BO115*VLOOKUP('Données projet'!$B$11,Paramètres!$A$1:$I$89,3,0)*0.475*44/12</f>
        <v>9.1057912059519668E-12</v>
      </c>
      <c r="BS115" s="22">
        <f t="shared" si="63"/>
        <v>2.9659351641375697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3.4106051316484809E-13</v>
      </c>
      <c r="BZ115" s="13">
        <f>BY115*VLOOKUP('Données projet'!$B$12,Paramètres!$A$1:$I$89,3,0)*VLOOKUP('Données projet'!$B$12,Paramètres!$A$1:$I$89,5,0)</f>
        <v>1.5961632016114892E-13</v>
      </c>
      <c r="CA115" s="13">
        <f t="shared" si="93"/>
        <v>2.2708641912150958E-12</v>
      </c>
      <c r="CB115" s="20">
        <f t="shared" si="64"/>
        <v>4.2330868906469593E-12</v>
      </c>
      <c r="CC115" s="59">
        <f t="shared" si="65"/>
        <v>293.33333333333752</v>
      </c>
      <c r="CD115" s="59">
        <f ca="1">AVERAGE(OFFSET($CC$3,0,0,'Données projet'!$E$12+1,1))-AVERAGE(OFFSET($H$3,0,0,'Données projet'!$E$12+1,1))</f>
        <v>158.58786357608489</v>
      </c>
      <c r="CE115" s="59">
        <f t="shared" si="94"/>
        <v>163.20074068819849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4.1677594708744434E-14</v>
      </c>
      <c r="CV115" s="13">
        <f t="shared" si="95"/>
        <v>6.9326303456159188E-13</v>
      </c>
      <c r="CW115" s="20">
        <f t="shared" si="67"/>
        <v>1.2800215959791691E-12</v>
      </c>
      <c r="CX115" s="59">
        <f t="shared" si="68"/>
        <v>293.33333333333462</v>
      </c>
      <c r="CY115" s="59">
        <f ca="1">AVERAGE(OFFSET($CX$3,0,0,'Données projet'!$E$13+1,1))-AVERAGE(OFFSET($H$3,0,0,'Données projet'!$E$13+1,1))</f>
        <v>178.12968684094687</v>
      </c>
      <c r="CZ115" s="59">
        <f t="shared" si="96"/>
        <v>219.36004077210373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0.79151786949840031</v>
      </c>
      <c r="DH115" s="21">
        <f>EXP(-LN(2)/2)*DH114+(1-EXP(-LN(2)/2))/(LN(2)/2)*DB115*DE115*VLOOKUP('Données projet'!$B$13,Paramètres!$A$1:$I$89,3,0)*0.475*44/12</f>
        <v>4.5099634906698735E-12</v>
      </c>
      <c r="DI115" s="22">
        <f t="shared" si="69"/>
        <v>0.79151786950291025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-8.5265128291212022E-14</v>
      </c>
      <c r="DP115" s="17">
        <f>DO115*VLOOKUP('Données projet'!$B$14,Paramètres!$A$1:$I$89,3,0)*VLOOKUP('Données projet'!$B$14,Paramètres!$A$1:$I$89,5,0)</f>
        <v>-7.7147888077888636E-14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225.28075317732998</v>
      </c>
      <c r="DU115" s="59">
        <f t="shared" si="98"/>
        <v>358.43407531256207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0.44224248394054411</v>
      </c>
      <c r="EB115" s="21">
        <f>EXP(-LN(2)/25)*EB114+(1-EXP(-LN(2)/25))/(LN(2)/25)*Calculateur!DW115*Calculateur!DY115*VLOOKUP('Données projet'!$B$14,Paramètres!$A$1:$I$89,3,0)*0.475*44/12</f>
        <v>0.8515989470033315</v>
      </c>
      <c r="EC115" s="21">
        <f>EXP(-LN(2)/2)*EC114+(1-EXP(-LN(2)/2))/(LN(2)/2)*DW115*DZ115*VLOOKUP('Données projet'!$B$14,Paramètres!$A$1:$I$89,3,0)*0.475*44/12</f>
        <v>2.0072644087893075E-12</v>
      </c>
      <c r="ED115" s="22">
        <f t="shared" si="72"/>
        <v>1.293841430945883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7.1749999999999998</v>
      </c>
      <c r="EJ115" s="12">
        <f>IF('Données projet'!$A$192&gt;35,EJ114+EI115-ER114,IF(A115&lt;'Données projet'!$A$192,$EG$205^A115,IF(A115='Données projet'!$A$192,'Données projet'!$B$192,EJ114+EI115-ER114)))</f>
        <v>326.65769230769183</v>
      </c>
      <c r="EK115" s="17">
        <f>EJ115*VLOOKUP('Données projet'!$B$15,Paramètres!$A$1:$I$89,3,0)*VLOOKUP('Données projet'!$B$15,Paramètres!$A$1:$I$89,5,0)</f>
        <v>331.23089999999956</v>
      </c>
      <c r="EL115" s="13">
        <f t="shared" si="99"/>
        <v>77.685448823303446</v>
      </c>
      <c r="EM115" s="20">
        <f t="shared" si="73"/>
        <v>712.19597420058608</v>
      </c>
      <c r="EN115" s="59">
        <f t="shared" si="74"/>
        <v>1005.5293075339193</v>
      </c>
      <c r="EO115" s="59">
        <f ca="1">AVERAGE(OFFSET($EN$3,0,0,'Données projet'!$E$15+1,1))-AVERAGE(OFFSET($H$3,0,0,'Données projet'!$E$15+1,1))</f>
        <v>363.98308691765931</v>
      </c>
      <c r="EP115" s="59">
        <f t="shared" si="100"/>
        <v>181.47089407988187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7.1749999999999998</v>
      </c>
      <c r="FE115" s="12">
        <f>IF('Données projet'!$A$218&gt;35,FE114+FD115-FM114,IF(A115&lt;'Données projet'!$A$218,$FB$205^A115,IF(A115='Données projet'!$A$218,'Données projet'!$B$218,FE114+FD115-FM114)))</f>
        <v>326.65769230769183</v>
      </c>
      <c r="FF115" s="17">
        <f>FE115*VLOOKUP('Données projet'!$B$16,Paramètres!$A$1:$I$89,3,0)*VLOOKUP('Données projet'!$B$16,Paramètres!$A$1:$I$89,5,0)</f>
        <v>351.61433999999946</v>
      </c>
      <c r="FG115" s="13">
        <f t="shared" si="101"/>
        <v>81.894831530064039</v>
      </c>
      <c r="FH115" s="20">
        <f t="shared" si="76"/>
        <v>755.02847374819385</v>
      </c>
      <c r="FI115" s="59">
        <f t="shared" si="77"/>
        <v>1048.3618070815271</v>
      </c>
      <c r="FJ115" s="59">
        <f ca="1">AVERAGE(OFFSET($FI$3,0,0,'Données projet'!$E$16+1,1))-AVERAGE(OFFSET($H$3,0,0,'Données projet'!$E$16+1,1))</f>
        <v>395.30533160963489</v>
      </c>
      <c r="FK115" s="59">
        <f t="shared" si="102"/>
        <v>196.02102977695085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227.99999999999986</v>
      </c>
      <c r="GA115" s="17">
        <f>FZ115*VLOOKUP('Données projet'!$B$17,Paramètres!$A$1:$I$89,3,0)*VLOOKUP('Données projet'!$B$17,Paramètres!$A$1:$I$89,5,0)</f>
        <v>238.30559999999986</v>
      </c>
      <c r="GB115" s="13">
        <f t="shared" si="103"/>
        <v>58.074821878967043</v>
      </c>
      <c r="GC115" s="20">
        <f t="shared" si="79"/>
        <v>516.19590143920061</v>
      </c>
      <c r="GD115" s="59">
        <f t="shared" si="80"/>
        <v>809.52923477253398</v>
      </c>
      <c r="GE115" s="59">
        <f ca="1">AVERAGE(OFFSET($GD$3,0,0,'Données projet'!$E$17+1,1))-AVERAGE(OFFSET($H$3,0,0,'Données projet'!$E$17+1,1))</f>
        <v>269.41185214595805</v>
      </c>
      <c r="GF115" s="59">
        <f t="shared" si="104"/>
        <v>299.70148160580993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1.2500005943376422</v>
      </c>
      <c r="GM115" s="21">
        <f>EXP(-LN(2)/25)*GM114+(1-EXP(-LN(2)/25))/(LN(2)/25)*Calculateur!GH115*Calculateur!GJ115*VLOOKUP('Données projet'!$B$17,Paramètres!$A$1:$I$89,3,0)*0.475*44/12</f>
        <v>1.6701869983959052</v>
      </c>
      <c r="GN115" s="21">
        <f>EXP(-LN(2)/2)*GN114+(1-EXP(-LN(2)/2))/(LN(2)/2)*GH115*GK115*VLOOKUP('Données projet'!$B$17,Paramètres!$A$1:$I$89,3,0)*0.475*44/12</f>
        <v>8.6896164081451823E-12</v>
      </c>
      <c r="GO115" s="21">
        <f t="shared" si="81"/>
        <v>2.9201875927422369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5.6843418860808015E-14</v>
      </c>
      <c r="GV115" s="17">
        <f>GU115*VLOOKUP('Données projet'!$B$18,Paramètres!$A$1:$I$89,3,0)*VLOOKUP('Données projet'!$B$18,Paramètres!$A$1:$I$89,5,0)</f>
        <v>4.9658410716801891E-14</v>
      </c>
      <c r="GW115" s="13">
        <f t="shared" si="105"/>
        <v>8.0934058173791862E-13</v>
      </c>
      <c r="GX115" s="20">
        <f t="shared" si="82"/>
        <v>1.4960899118586383E-12</v>
      </c>
      <c r="GY115" s="59">
        <f t="shared" si="83"/>
        <v>293.33333333333479</v>
      </c>
      <c r="GZ115" s="59">
        <f ca="1">AVERAGE(OFFSET($GY$3,0,0,'Données projet'!$E$18+1,1))-AVERAGE(OFFSET($H$3,0,0,'Données projet'!$E$18+1,1))</f>
        <v>226.35975611953359</v>
      </c>
      <c r="HA115" s="59">
        <f t="shared" si="106"/>
        <v>271.65876694892461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1.1624072422915652</v>
      </c>
      <c r="HI115" s="21">
        <f>EXP(-LN(2)/2)*HI114+(1-EXP(-LN(2)/2))/(LN(2)/2)*HC115*HF115*VLOOKUP('Données projet'!$B$18,Paramètres!$A$1:$I$89,3,0)*0.475*44/12</f>
        <v>5.373573520798146E-12</v>
      </c>
      <c r="HJ115" s="22">
        <f t="shared" si="84"/>
        <v>1.1624072422969387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7.1749999999999998</v>
      </c>
      <c r="N116" s="13">
        <f>IF('Données projet'!$A$36&gt;35,N115+M116-V115,IF(A116&lt;'Données projet'!$A$36,$K$205^A116,IF(A116='Données projet'!$A$36,'Données projet'!$B$36,N115+M116-V115)))</f>
        <v>333.83269230769184</v>
      </c>
      <c r="O116" s="13">
        <f>N116*VLOOKUP('Données projet'!$B$9,Paramètres!$A$1:$I$89,3,0)*VLOOKUP('Données projet'!$B$9,Paramètres!$A$1:$I$89,5,0)</f>
        <v>302.05181999999957</v>
      </c>
      <c r="P116" s="13">
        <f t="shared" si="87"/>
        <v>71.606432974509374</v>
      </c>
      <c r="Q116" s="20">
        <f t="shared" si="107"/>
        <v>650.78812393060309</v>
      </c>
      <c r="R116" s="59">
        <f t="shared" si="55"/>
        <v>944.12145726393646</v>
      </c>
      <c r="S116" s="59">
        <f ca="1">AVERAGE(OFFSET($R$3,0,0,'Données projet'!$E$9+1,1))-AVERAGE(OFFSET($H$3,0,0,'Données projet'!$E$9+1,1))</f>
        <v>309.07357540707869</v>
      </c>
      <c r="T116" s="59">
        <f t="shared" si="88"/>
        <v>155.9593924683299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227.99999999999986</v>
      </c>
      <c r="AJ116" s="13">
        <f>AI116*VLOOKUP('Données projet'!$B$10,Paramètres!$A$1:$I$89,3,0)*VLOOKUP('Données projet'!$B$10,Paramètres!$A$1:$I$89,5,0)</f>
        <v>199.18079999999992</v>
      </c>
      <c r="AK116" s="13">
        <f t="shared" si="89"/>
        <v>49.564089376413683</v>
      </c>
      <c r="AL116" s="20">
        <f t="shared" si="58"/>
        <v>433.23068233058694</v>
      </c>
      <c r="AM116" s="59">
        <f t="shared" si="59"/>
        <v>726.56401566392026</v>
      </c>
      <c r="AN116" s="59">
        <f ca="1">AVERAGE(OFFSET($AM$3,0,0,'Données projet'!$E$10+1,1))-AVERAGE(OFFSET($H$3,0,0,'Données projet'!$E$10+1,1))</f>
        <v>210.07838338464626</v>
      </c>
      <c r="AO116" s="59">
        <f t="shared" si="90"/>
        <v>241.76003724236273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1.0242891839706652</v>
      </c>
      <c r="AV116" s="21">
        <f>EXP(-LN(2)/25)*AV115+(1-EXP(-LN(2)/25))/(LN(2)/25)*Calculateur!AQ116*Calculateur!AS116*VLOOKUP('Données projet'!$B$10,Paramètres!$A$1:$I$89,3,0)*0.475*44/12</f>
        <v>1.3578041229437809</v>
      </c>
      <c r="AW116" s="21">
        <f>EXP(-LN(2)/2)*AW115+(1-EXP(-LN(2)/2))/(LN(2)/2)*AQ116*AT116*VLOOKUP('Données projet'!$B$10,Paramètres!$A$1:$I$89,3,0)*0.475*44/12</f>
        <v>5.1356903661809773E-12</v>
      </c>
      <c r="AX116" s="21">
        <f t="shared" si="60"/>
        <v>2.382093306919582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2.2737367544323206E-13</v>
      </c>
      <c r="BE116" s="13">
        <f>BD116*VLOOKUP('Données projet'!$B$11,Paramètres!$A$1:$I$89,3,0)*VLOOKUP('Données projet'!$B$11,Paramètres!$A$1:$I$89,5,0)</f>
        <v>1.2414602679200471E-13</v>
      </c>
      <c r="BF116" s="13">
        <f t="shared" si="91"/>
        <v>1.8186582995804361E-12</v>
      </c>
      <c r="BG116" s="20">
        <f t="shared" si="61"/>
        <v>3.3837175350986671E-12</v>
      </c>
      <c r="BH116" s="59">
        <f t="shared" si="62"/>
        <v>293.33333333333672</v>
      </c>
      <c r="BI116" s="59">
        <f ca="1">AVERAGE(OFFSET($BH$3,0,0,'Données projet'!$E$11+1,1))-AVERAGE(OFFSET($H$3,0,0,'Données projet'!$E$11+1,1))</f>
        <v>168.72306536277267</v>
      </c>
      <c r="BJ116" s="59">
        <f t="shared" si="92"/>
        <v>203.35476578922339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0.58789417479977335</v>
      </c>
      <c r="BQ116" s="21">
        <f>EXP(-LN(2)/25)*BQ115+(1-EXP(-LN(2)/25))/(LN(2)/25)*Calculateur!BL116*Calculateur!BN116*VLOOKUP('Données projet'!$B$11,Paramètres!$A$1:$I$89,3,0)*0.475*44/12</f>
        <v>2.3015760495699826</v>
      </c>
      <c r="BR116" s="21">
        <f>EXP(-LN(2)/2)*BR115+(1-EXP(-LN(2)/2))/(LN(2)/2)*BL116*BO116*VLOOKUP('Données projet'!$B$11,Paramètres!$A$1:$I$89,3,0)*0.475*44/12</f>
        <v>6.4387667097974662E-12</v>
      </c>
      <c r="BS116" s="22">
        <f t="shared" si="63"/>
        <v>2.8894702243761947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3.4106051316484809E-13</v>
      </c>
      <c r="BZ116" s="13">
        <f>BY116*VLOOKUP('Données projet'!$B$12,Paramètres!$A$1:$I$89,3,0)*VLOOKUP('Données projet'!$B$12,Paramètres!$A$1:$I$89,5,0)</f>
        <v>1.5961632016114892E-13</v>
      </c>
      <c r="CA116" s="13">
        <f t="shared" si="93"/>
        <v>2.2708641912150958E-12</v>
      </c>
      <c r="CB116" s="20">
        <f t="shared" si="64"/>
        <v>4.2330868906469593E-12</v>
      </c>
      <c r="CC116" s="59">
        <f t="shared" si="65"/>
        <v>293.33333333333752</v>
      </c>
      <c r="CD116" s="59">
        <f ca="1">AVERAGE(OFFSET($CC$3,0,0,'Données projet'!$E$12+1,1))-AVERAGE(OFFSET($H$3,0,0,'Données projet'!$E$12+1,1))</f>
        <v>158.58786357608489</v>
      </c>
      <c r="CE116" s="59">
        <f t="shared" si="94"/>
        <v>163.20074068819849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4.1677594708744434E-14</v>
      </c>
      <c r="CV116" s="13">
        <f t="shared" si="95"/>
        <v>6.9326303456159188E-13</v>
      </c>
      <c r="CW116" s="20">
        <f t="shared" si="67"/>
        <v>1.2800215959791691E-12</v>
      </c>
      <c r="CX116" s="59">
        <f t="shared" si="68"/>
        <v>293.33333333333462</v>
      </c>
      <c r="CY116" s="59">
        <f ca="1">AVERAGE(OFFSET($CX$3,0,0,'Données projet'!$E$13+1,1))-AVERAGE(OFFSET($H$3,0,0,'Données projet'!$E$13+1,1))</f>
        <v>178.12968684094687</v>
      </c>
      <c r="CZ116" s="59">
        <f t="shared" si="96"/>
        <v>219.36004077210373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0.76987377173285088</v>
      </c>
      <c r="DH116" s="21">
        <f>EXP(-LN(2)/2)*DH115+(1-EXP(-LN(2)/2))/(LN(2)/2)*DB116*DE116*VLOOKUP('Données projet'!$B$13,Paramètres!$A$1:$I$89,3,0)*0.475*44/12</f>
        <v>3.1890257671564204E-12</v>
      </c>
      <c r="DI116" s="22">
        <f t="shared" si="69"/>
        <v>0.76987377173603988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-8.5265128291212022E-14</v>
      </c>
      <c r="DP116" s="17">
        <f>DO116*VLOOKUP('Données projet'!$B$14,Paramètres!$A$1:$I$89,3,0)*VLOOKUP('Données projet'!$B$14,Paramètres!$A$1:$I$89,5,0)</f>
        <v>-7.7147888077888636E-14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225.28075317732998</v>
      </c>
      <c r="DU116" s="59">
        <f t="shared" si="98"/>
        <v>358.43407531256207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0.43357037857175051</v>
      </c>
      <c r="EB116" s="21">
        <f>EXP(-LN(2)/25)*EB115+(1-EXP(-LN(2)/25))/(LN(2)/25)*Calculateur!DW116*Calculateur!DY116*VLOOKUP('Données projet'!$B$14,Paramètres!$A$1:$I$89,3,0)*0.475*44/12</f>
        <v>0.82831192901388317</v>
      </c>
      <c r="EC116" s="21">
        <f>EXP(-LN(2)/2)*EC115+(1-EXP(-LN(2)/2))/(LN(2)/2)*DW116*DZ116*VLOOKUP('Données projet'!$B$14,Paramètres!$A$1:$I$89,3,0)*0.475*44/12</f>
        <v>1.4193502750893256E-12</v>
      </c>
      <c r="ED116" s="22">
        <f t="shared" si="72"/>
        <v>1.2618823075870531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7.1749999999999998</v>
      </c>
      <c r="EJ116" s="12">
        <f>IF('Données projet'!$A$192&gt;35,EJ115+EI116-ER115,IF(A116&lt;'Données projet'!$A$192,$EG$205^A116,IF(A116='Données projet'!$A$192,'Données projet'!$B$192,EJ115+EI116-ER115)))</f>
        <v>333.83269230769184</v>
      </c>
      <c r="EK116" s="17">
        <f>EJ116*VLOOKUP('Données projet'!$B$15,Paramètres!$A$1:$I$89,3,0)*VLOOKUP('Données projet'!$B$15,Paramètres!$A$1:$I$89,5,0)</f>
        <v>338.50634999999954</v>
      </c>
      <c r="EL116" s="13">
        <f t="shared" si="99"/>
        <v>79.191269844165632</v>
      </c>
      <c r="EM116" s="20">
        <f t="shared" si="73"/>
        <v>727.49002122858758</v>
      </c>
      <c r="EN116" s="59">
        <f t="shared" si="74"/>
        <v>1020.823354561921</v>
      </c>
      <c r="EO116" s="59">
        <f ca="1">AVERAGE(OFFSET($EN$3,0,0,'Données projet'!$E$15+1,1))-AVERAGE(OFFSET($H$3,0,0,'Données projet'!$E$15+1,1))</f>
        <v>363.98308691765931</v>
      </c>
      <c r="EP116" s="59">
        <f t="shared" si="100"/>
        <v>181.47089407988187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7.1749999999999998</v>
      </c>
      <c r="FE116" s="12">
        <f>IF('Données projet'!$A$218&gt;35,FE115+FD116-FM115,IF(A116&lt;'Données projet'!$A$218,$FB$205^A116,IF(A116='Données projet'!$A$218,'Données projet'!$B$218,FE115+FD116-FM115)))</f>
        <v>333.83269230769184</v>
      </c>
      <c r="FF116" s="17">
        <f>FE116*VLOOKUP('Données projet'!$B$16,Paramètres!$A$1:$I$89,3,0)*VLOOKUP('Données projet'!$B$16,Paramètres!$A$1:$I$89,5,0)</f>
        <v>359.3375099999995</v>
      </c>
      <c r="FG116" s="13">
        <f t="shared" si="101"/>
        <v>83.48224539824453</v>
      </c>
      <c r="FH116" s="20">
        <f t="shared" si="76"/>
        <v>771.2444073186083</v>
      </c>
      <c r="FI116" s="59">
        <f t="shared" si="77"/>
        <v>1064.5777406519417</v>
      </c>
      <c r="FJ116" s="59">
        <f ca="1">AVERAGE(OFFSET($FI$3,0,0,'Données projet'!$E$16+1,1))-AVERAGE(OFFSET($H$3,0,0,'Données projet'!$E$16+1,1))</f>
        <v>395.30533160963489</v>
      </c>
      <c r="FK116" s="59">
        <f t="shared" si="102"/>
        <v>196.02102977695085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227.99999999999986</v>
      </c>
      <c r="GA116" s="17">
        <f>FZ116*VLOOKUP('Données projet'!$B$17,Paramètres!$A$1:$I$89,3,0)*VLOOKUP('Données projet'!$B$17,Paramètres!$A$1:$I$89,5,0)</f>
        <v>238.30559999999986</v>
      </c>
      <c r="GB116" s="13">
        <f t="shared" si="103"/>
        <v>58.074821878967043</v>
      </c>
      <c r="GC116" s="20">
        <f t="shared" si="79"/>
        <v>516.19590143920061</v>
      </c>
      <c r="GD116" s="59">
        <f t="shared" si="80"/>
        <v>809.52923477253398</v>
      </c>
      <c r="GE116" s="59">
        <f ca="1">AVERAGE(OFFSET($GD$3,0,0,'Données projet'!$E$17+1,1))-AVERAGE(OFFSET($H$3,0,0,'Données projet'!$E$17+1,1))</f>
        <v>269.41185214595805</v>
      </c>
      <c r="GF116" s="59">
        <f t="shared" si="104"/>
        <v>299.70148160580993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1.2254888451077603</v>
      </c>
      <c r="GM116" s="21">
        <f>EXP(-LN(2)/25)*GM115+(1-EXP(-LN(2)/25))/(LN(2)/25)*Calculateur!GH116*Calculateur!GJ116*VLOOKUP('Données projet'!$B$17,Paramètres!$A$1:$I$89,3,0)*0.475*44/12</f>
        <v>1.6245156470934523</v>
      </c>
      <c r="GN116" s="21">
        <f>EXP(-LN(2)/2)*GN115+(1-EXP(-LN(2)/2))/(LN(2)/2)*GH116*GK116*VLOOKUP('Données projet'!$B$17,Paramètres!$A$1:$I$89,3,0)*0.475*44/12</f>
        <v>6.1444866881093485E-12</v>
      </c>
      <c r="GO116" s="21">
        <f t="shared" si="81"/>
        <v>2.8500044922073569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5.6843418860808015E-14</v>
      </c>
      <c r="GV116" s="17">
        <f>GU116*VLOOKUP('Données projet'!$B$18,Paramètres!$A$1:$I$89,3,0)*VLOOKUP('Données projet'!$B$18,Paramètres!$A$1:$I$89,5,0)</f>
        <v>4.9658410716801891E-14</v>
      </c>
      <c r="GW116" s="13">
        <f t="shared" si="105"/>
        <v>8.0934058173791862E-13</v>
      </c>
      <c r="GX116" s="20">
        <f t="shared" si="82"/>
        <v>1.4960899118586383E-12</v>
      </c>
      <c r="GY116" s="59">
        <f t="shared" si="83"/>
        <v>293.33333333333479</v>
      </c>
      <c r="GZ116" s="59">
        <f ca="1">AVERAGE(OFFSET($GY$3,0,0,'Données projet'!$E$18+1,1))-AVERAGE(OFFSET($H$3,0,0,'Données projet'!$E$18+1,1))</f>
        <v>226.35975611953359</v>
      </c>
      <c r="HA116" s="59">
        <f t="shared" si="106"/>
        <v>271.65876694892461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1.1306211551227623</v>
      </c>
      <c r="HI116" s="21">
        <f>EXP(-LN(2)/2)*HI115+(1-EXP(-LN(2)/2))/(LN(2)/2)*HC116*HF116*VLOOKUP('Données projet'!$B$18,Paramètres!$A$1:$I$89,3,0)*0.475*44/12</f>
        <v>3.7996902757608403E-12</v>
      </c>
      <c r="HJ116" s="22">
        <f t="shared" si="84"/>
        <v>1.1306211551265619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7.1749999999999998</v>
      </c>
      <c r="N117" s="13">
        <f>IF('Données projet'!$A$36&gt;35,N116+M117-V116,IF(A117&lt;'Données projet'!$A$36,$K$205^A117,IF(A117='Données projet'!$A$36,'Données projet'!$B$36,N116+M117-V116)))</f>
        <v>341.00769230769185</v>
      </c>
      <c r="O117" s="13">
        <f>N117*VLOOKUP('Données projet'!$B$9,Paramètres!$A$1:$I$89,3,0)*VLOOKUP('Données projet'!$B$9,Paramètres!$A$1:$I$89,5,0)</f>
        <v>308.54375999999962</v>
      </c>
      <c r="P117" s="13">
        <f t="shared" si="87"/>
        <v>72.964626008291646</v>
      </c>
      <c r="Q117" s="20">
        <f t="shared" si="107"/>
        <v>664.46043896444064</v>
      </c>
      <c r="R117" s="59">
        <f t="shared" si="55"/>
        <v>957.79377229777401</v>
      </c>
      <c r="S117" s="59">
        <f ca="1">AVERAGE(OFFSET($R$3,0,0,'Données projet'!$E$9+1,1))-AVERAGE(OFFSET($H$3,0,0,'Données projet'!$E$9+1,1))</f>
        <v>309.07357540707869</v>
      </c>
      <c r="T117" s="59">
        <f t="shared" si="88"/>
        <v>155.9593924683299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227.99999999999986</v>
      </c>
      <c r="AJ117" s="13">
        <f>AI117*VLOOKUP('Données projet'!$B$10,Paramètres!$A$1:$I$89,3,0)*VLOOKUP('Données projet'!$B$10,Paramètres!$A$1:$I$89,5,0)</f>
        <v>199.18079999999992</v>
      </c>
      <c r="AK117" s="13">
        <f t="shared" si="89"/>
        <v>49.564089376413683</v>
      </c>
      <c r="AL117" s="20">
        <f t="shared" si="58"/>
        <v>433.23068233058694</v>
      </c>
      <c r="AM117" s="59">
        <f t="shared" si="59"/>
        <v>726.56401566392026</v>
      </c>
      <c r="AN117" s="59">
        <f ca="1">AVERAGE(OFFSET($AM$3,0,0,'Données projet'!$E$10+1,1))-AVERAGE(OFFSET($H$3,0,0,'Données projet'!$E$10+1,1))</f>
        <v>210.07838338464626</v>
      </c>
      <c r="AO117" s="59">
        <f t="shared" si="90"/>
        <v>241.76003724236273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1.0042034978277132</v>
      </c>
      <c r="AV117" s="21">
        <f>EXP(-LN(2)/25)*AV116+(1-EXP(-LN(2)/25))/(LN(2)/25)*Calculateur!AQ117*Calculateur!AS117*VLOOKUP('Données projet'!$B$10,Paramètres!$A$1:$I$89,3,0)*0.475*44/12</f>
        <v>1.3206748977980678</v>
      </c>
      <c r="AW117" s="21">
        <f>EXP(-LN(2)/2)*AW116+(1-EXP(-LN(2)/2))/(LN(2)/2)*AQ117*AT117*VLOOKUP('Données projet'!$B$10,Paramètres!$A$1:$I$89,3,0)*0.475*44/12</f>
        <v>3.6314814840009927E-12</v>
      </c>
      <c r="AX117" s="21">
        <f t="shared" si="60"/>
        <v>2.3248783956294123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2.2737367544323206E-13</v>
      </c>
      <c r="BE117" s="13">
        <f>BD117*VLOOKUP('Données projet'!$B$11,Paramètres!$A$1:$I$89,3,0)*VLOOKUP('Données projet'!$B$11,Paramètres!$A$1:$I$89,5,0)</f>
        <v>1.2414602679200471E-13</v>
      </c>
      <c r="BF117" s="13">
        <f t="shared" si="91"/>
        <v>1.8186582995804361E-12</v>
      </c>
      <c r="BG117" s="20">
        <f t="shared" si="61"/>
        <v>3.3837175350986671E-12</v>
      </c>
      <c r="BH117" s="59">
        <f t="shared" si="62"/>
        <v>293.33333333333672</v>
      </c>
      <c r="BI117" s="59">
        <f ca="1">AVERAGE(OFFSET($BH$3,0,0,'Données projet'!$E$11+1,1))-AVERAGE(OFFSET($H$3,0,0,'Données projet'!$E$11+1,1))</f>
        <v>168.72306536277267</v>
      </c>
      <c r="BJ117" s="59">
        <f t="shared" si="92"/>
        <v>203.35476578922339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0.57636592861198954</v>
      </c>
      <c r="BQ117" s="21">
        <f>EXP(-LN(2)/25)*BQ116+(1-EXP(-LN(2)/25))/(LN(2)/25)*Calculateur!BL117*Calculateur!BN117*VLOOKUP('Données projet'!$B$11,Paramètres!$A$1:$I$89,3,0)*0.475*44/12</f>
        <v>2.2386393314598672</v>
      </c>
      <c r="BR117" s="21">
        <f>EXP(-LN(2)/2)*BR116+(1-EXP(-LN(2)/2))/(LN(2)/2)*BL117*BO117*VLOOKUP('Données projet'!$B$11,Paramètres!$A$1:$I$89,3,0)*0.475*44/12</f>
        <v>4.5528956029759834E-12</v>
      </c>
      <c r="BS117" s="22">
        <f t="shared" si="63"/>
        <v>2.8150052600764095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3.4106051316484809E-13</v>
      </c>
      <c r="BZ117" s="13">
        <f>BY117*VLOOKUP('Données projet'!$B$12,Paramètres!$A$1:$I$89,3,0)*VLOOKUP('Données projet'!$B$12,Paramètres!$A$1:$I$89,5,0)</f>
        <v>1.5961632016114892E-13</v>
      </c>
      <c r="CA117" s="13">
        <f t="shared" si="93"/>
        <v>2.2708641912150958E-12</v>
      </c>
      <c r="CB117" s="20">
        <f t="shared" si="64"/>
        <v>4.2330868906469593E-12</v>
      </c>
      <c r="CC117" s="59">
        <f t="shared" si="65"/>
        <v>293.33333333333752</v>
      </c>
      <c r="CD117" s="59">
        <f ca="1">AVERAGE(OFFSET($CC$3,0,0,'Données projet'!$E$12+1,1))-AVERAGE(OFFSET($H$3,0,0,'Données projet'!$E$12+1,1))</f>
        <v>158.58786357608489</v>
      </c>
      <c r="CE117" s="59">
        <f t="shared" si="94"/>
        <v>163.20074068819849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4.1677594708744434E-14</v>
      </c>
      <c r="CV117" s="13">
        <f t="shared" si="95"/>
        <v>6.9326303456159188E-13</v>
      </c>
      <c r="CW117" s="20">
        <f t="shared" si="67"/>
        <v>1.2800215959791691E-12</v>
      </c>
      <c r="CX117" s="59">
        <f t="shared" si="68"/>
        <v>293.33333333333462</v>
      </c>
      <c r="CY117" s="59">
        <f ca="1">AVERAGE(OFFSET($CX$3,0,0,'Données projet'!$E$13+1,1))-AVERAGE(OFFSET($H$3,0,0,'Données projet'!$E$13+1,1))</f>
        <v>178.12968684094687</v>
      </c>
      <c r="CZ117" s="59">
        <f t="shared" si="96"/>
        <v>219.36004077210373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0.74882153295891396</v>
      </c>
      <c r="DH117" s="21">
        <f>EXP(-LN(2)/2)*DH116+(1-EXP(-LN(2)/2))/(LN(2)/2)*DB117*DE117*VLOOKUP('Données projet'!$B$13,Paramètres!$A$1:$I$89,3,0)*0.475*44/12</f>
        <v>2.2549817453349368E-12</v>
      </c>
      <c r="DI117" s="22">
        <f t="shared" si="69"/>
        <v>0.74882153296116893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-8.5265128291212022E-14</v>
      </c>
      <c r="DP117" s="17">
        <f>DO117*VLOOKUP('Données projet'!$B$14,Paramètres!$A$1:$I$89,3,0)*VLOOKUP('Données projet'!$B$14,Paramètres!$A$1:$I$89,5,0)</f>
        <v>-7.7147888077888636E-14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225.28075317732998</v>
      </c>
      <c r="DU117" s="59">
        <f t="shared" si="98"/>
        <v>358.43407531256207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0.42506832789977694</v>
      </c>
      <c r="EB117" s="21">
        <f>EXP(-LN(2)/25)*EB116+(1-EXP(-LN(2)/25))/(LN(2)/25)*Calculateur!DW117*Calculateur!DY117*VLOOKUP('Données projet'!$B$14,Paramètres!$A$1:$I$89,3,0)*0.475*44/12</f>
        <v>0.80566169575596736</v>
      </c>
      <c r="EC117" s="21">
        <f>EXP(-LN(2)/2)*EC116+(1-EXP(-LN(2)/2))/(LN(2)/2)*DW117*DZ117*VLOOKUP('Données projet'!$B$14,Paramètres!$A$1:$I$89,3,0)*0.475*44/12</f>
        <v>1.0036322043946538E-12</v>
      </c>
      <c r="ED117" s="22">
        <f t="shared" si="72"/>
        <v>1.230730023656748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7.1749999999999998</v>
      </c>
      <c r="EJ117" s="12">
        <f>IF('Données projet'!$A$192&gt;35,EJ116+EI117-ER116,IF(A117&lt;'Données projet'!$A$192,$EG$205^A117,IF(A117='Données projet'!$A$192,'Données projet'!$B$192,EJ116+EI117-ER116)))</f>
        <v>341.00769230769185</v>
      </c>
      <c r="EK117" s="17">
        <f>EJ117*VLOOKUP('Données projet'!$B$15,Paramètres!$A$1:$I$89,3,0)*VLOOKUP('Données projet'!$B$15,Paramètres!$A$1:$I$89,5,0)</f>
        <v>345.78179999999958</v>
      </c>
      <c r="EL117" s="13">
        <f t="shared" si="99"/>
        <v>80.693328061155796</v>
      </c>
      <c r="EM117" s="20">
        <f t="shared" si="73"/>
        <v>742.77751470651219</v>
      </c>
      <c r="EN117" s="59">
        <f t="shared" si="74"/>
        <v>1036.1108480398455</v>
      </c>
      <c r="EO117" s="59">
        <f ca="1">AVERAGE(OFFSET($EN$3,0,0,'Données projet'!$E$15+1,1))-AVERAGE(OFFSET($H$3,0,0,'Données projet'!$E$15+1,1))</f>
        <v>363.98308691765931</v>
      </c>
      <c r="EP117" s="59">
        <f t="shared" si="100"/>
        <v>181.47089407988187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7.1749999999999998</v>
      </c>
      <c r="FE117" s="12">
        <f>IF('Données projet'!$A$218&gt;35,FE116+FD117-FM116,IF(A117&lt;'Données projet'!$A$218,$FB$205^A117,IF(A117='Données projet'!$A$218,'Données projet'!$B$218,FE116+FD117-FM116)))</f>
        <v>341.00769230769185</v>
      </c>
      <c r="FF117" s="17">
        <f>FE117*VLOOKUP('Données projet'!$B$16,Paramètres!$A$1:$I$89,3,0)*VLOOKUP('Données projet'!$B$16,Paramètres!$A$1:$I$89,5,0)</f>
        <v>367.06067999999954</v>
      </c>
      <c r="FG117" s="13">
        <f t="shared" si="101"/>
        <v>85.065692575186858</v>
      </c>
      <c r="FH117" s="20">
        <f t="shared" si="76"/>
        <v>787.45343223511611</v>
      </c>
      <c r="FI117" s="59">
        <f t="shared" si="77"/>
        <v>1080.7867655684495</v>
      </c>
      <c r="FJ117" s="59">
        <f ca="1">AVERAGE(OFFSET($FI$3,0,0,'Données projet'!$E$16+1,1))-AVERAGE(OFFSET($H$3,0,0,'Données projet'!$E$16+1,1))</f>
        <v>395.30533160963489</v>
      </c>
      <c r="FK117" s="59">
        <f t="shared" si="102"/>
        <v>196.02102977695085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227.99999999999986</v>
      </c>
      <c r="GA117" s="17">
        <f>FZ117*VLOOKUP('Données projet'!$B$17,Paramètres!$A$1:$I$89,3,0)*VLOOKUP('Données projet'!$B$17,Paramètres!$A$1:$I$89,5,0)</f>
        <v>238.30559999999986</v>
      </c>
      <c r="GB117" s="13">
        <f t="shared" si="103"/>
        <v>58.074821878967043</v>
      </c>
      <c r="GC117" s="20">
        <f t="shared" si="79"/>
        <v>516.19590143920061</v>
      </c>
      <c r="GD117" s="59">
        <f t="shared" si="80"/>
        <v>809.52923477253398</v>
      </c>
      <c r="GE117" s="59">
        <f ca="1">AVERAGE(OFFSET($GD$3,0,0,'Données projet'!$E$17+1,1))-AVERAGE(OFFSET($H$3,0,0,'Données projet'!$E$17+1,1))</f>
        <v>269.41185214595805</v>
      </c>
      <c r="GF117" s="59">
        <f t="shared" si="104"/>
        <v>299.70148160580993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1.2014577563295856</v>
      </c>
      <c r="GM117" s="21">
        <f>EXP(-LN(2)/25)*GM116+(1-EXP(-LN(2)/25))/(LN(2)/25)*Calculateur!GH117*Calculateur!GJ117*VLOOKUP('Données projet'!$B$17,Paramètres!$A$1:$I$89,3,0)*0.475*44/12</f>
        <v>1.5800931812941168</v>
      </c>
      <c r="GN117" s="21">
        <f>EXP(-LN(2)/2)*GN116+(1-EXP(-LN(2)/2))/(LN(2)/2)*GH117*GK117*VLOOKUP('Données projet'!$B$17,Paramètres!$A$1:$I$89,3,0)*0.475*44/12</f>
        <v>4.3448082040725911E-12</v>
      </c>
      <c r="GO117" s="21">
        <f t="shared" si="81"/>
        <v>2.7815509376280474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5.6843418860808015E-14</v>
      </c>
      <c r="GV117" s="17">
        <f>GU117*VLOOKUP('Données projet'!$B$18,Paramètres!$A$1:$I$89,3,0)*VLOOKUP('Données projet'!$B$18,Paramètres!$A$1:$I$89,5,0)</f>
        <v>4.9658410716801891E-14</v>
      </c>
      <c r="GW117" s="13">
        <f t="shared" si="105"/>
        <v>8.0934058173791862E-13</v>
      </c>
      <c r="GX117" s="20">
        <f t="shared" si="82"/>
        <v>1.4960899118586383E-12</v>
      </c>
      <c r="GY117" s="59">
        <f t="shared" si="83"/>
        <v>293.33333333333479</v>
      </c>
      <c r="GZ117" s="59">
        <f ca="1">AVERAGE(OFFSET($GY$3,0,0,'Données projet'!$E$18+1,1))-AVERAGE(OFFSET($H$3,0,0,'Données projet'!$E$18+1,1))</f>
        <v>226.35975611953359</v>
      </c>
      <c r="HA117" s="59">
        <f t="shared" si="106"/>
        <v>271.65876694892461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1.0997042601791478</v>
      </c>
      <c r="HI117" s="21">
        <f>EXP(-LN(2)/2)*HI116+(1-EXP(-LN(2)/2))/(LN(2)/2)*HC117*HF117*VLOOKUP('Données projet'!$B$18,Paramètres!$A$1:$I$89,3,0)*0.475*44/12</f>
        <v>2.686786760399073E-12</v>
      </c>
      <c r="HJ117" s="22">
        <f t="shared" si="84"/>
        <v>1.0997042601818345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7.1749999999999998</v>
      </c>
      <c r="N118" s="13">
        <f>IF('Données projet'!$A$36&gt;35,N117+M118-V117,IF(A118&lt;'Données projet'!$A$36,$K$205^A118,IF(A118='Données projet'!$A$36,'Données projet'!$B$36,N117+M118-V117)))</f>
        <v>348.18269230769187</v>
      </c>
      <c r="O118" s="13">
        <f>N118*VLOOKUP('Données projet'!$B$9,Paramètres!$A$1:$I$89,3,0)*VLOOKUP('Données projet'!$B$9,Paramètres!$A$1:$I$89,5,0)</f>
        <v>315.03569999999957</v>
      </c>
      <c r="P118" s="13">
        <f t="shared" si="87"/>
        <v>74.319496470315627</v>
      </c>
      <c r="Q118" s="20">
        <f t="shared" si="107"/>
        <v>678.12696718579889</v>
      </c>
      <c r="R118" s="59">
        <f t="shared" si="55"/>
        <v>971.46030051913226</v>
      </c>
      <c r="S118" s="59">
        <f ca="1">AVERAGE(OFFSET($R$3,0,0,'Données projet'!$E$9+1,1))-AVERAGE(OFFSET($H$3,0,0,'Données projet'!$E$9+1,1))</f>
        <v>309.07357540707869</v>
      </c>
      <c r="T118" s="59">
        <f t="shared" si="88"/>
        <v>155.9593924683299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227.99999999999986</v>
      </c>
      <c r="AJ118" s="13">
        <f>AI118*VLOOKUP('Données projet'!$B$10,Paramètres!$A$1:$I$89,3,0)*VLOOKUP('Données projet'!$B$10,Paramètres!$A$1:$I$89,5,0)</f>
        <v>199.18079999999992</v>
      </c>
      <c r="AK118" s="13">
        <f t="shared" si="89"/>
        <v>49.564089376413683</v>
      </c>
      <c r="AL118" s="20">
        <f t="shared" si="58"/>
        <v>433.23068233058694</v>
      </c>
      <c r="AM118" s="59">
        <f t="shared" si="59"/>
        <v>726.56401566392026</v>
      </c>
      <c r="AN118" s="59">
        <f ca="1">AVERAGE(OFFSET($AM$3,0,0,'Données projet'!$E$10+1,1))-AVERAGE(OFFSET($H$3,0,0,'Données projet'!$E$10+1,1))</f>
        <v>210.07838338464626</v>
      </c>
      <c r="AO118" s="59">
        <f t="shared" si="90"/>
        <v>241.76003724236273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0.98451167973896569</v>
      </c>
      <c r="AV118" s="21">
        <f>EXP(-LN(2)/25)*AV117+(1-EXP(-LN(2)/25))/(LN(2)/25)*Calculateur!AQ118*Calculateur!AS118*VLOOKUP('Données projet'!$B$10,Paramètres!$A$1:$I$89,3,0)*0.475*44/12</f>
        <v>1.2845609732665051</v>
      </c>
      <c r="AW118" s="21">
        <f>EXP(-LN(2)/2)*AW117+(1-EXP(-LN(2)/2))/(LN(2)/2)*AQ118*AT118*VLOOKUP('Données projet'!$B$10,Paramètres!$A$1:$I$89,3,0)*0.475*44/12</f>
        <v>2.567845183090489E-12</v>
      </c>
      <c r="AX118" s="21">
        <f t="shared" si="60"/>
        <v>2.2690726530080383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2.2737367544323206E-13</v>
      </c>
      <c r="BE118" s="13">
        <f>BD118*VLOOKUP('Données projet'!$B$11,Paramètres!$A$1:$I$89,3,0)*VLOOKUP('Données projet'!$B$11,Paramètres!$A$1:$I$89,5,0)</f>
        <v>1.2414602679200471E-13</v>
      </c>
      <c r="BF118" s="13">
        <f t="shared" si="91"/>
        <v>1.8186582995804361E-12</v>
      </c>
      <c r="BG118" s="20">
        <f t="shared" si="61"/>
        <v>3.3837175350986671E-12</v>
      </c>
      <c r="BH118" s="59">
        <f t="shared" si="62"/>
        <v>293.33333333333672</v>
      </c>
      <c r="BI118" s="59">
        <f ca="1">AVERAGE(OFFSET($BH$3,0,0,'Données projet'!$E$11+1,1))-AVERAGE(OFFSET($H$3,0,0,'Données projet'!$E$11+1,1))</f>
        <v>168.72306536277267</v>
      </c>
      <c r="BJ118" s="59">
        <f t="shared" si="92"/>
        <v>203.35476578922339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0.5650637443004124</v>
      </c>
      <c r="BQ118" s="21">
        <f>EXP(-LN(2)/25)*BQ117+(1-EXP(-LN(2)/25))/(LN(2)/25)*Calculateur!BL118*Calculateur!BN118*VLOOKUP('Données projet'!$B$11,Paramètres!$A$1:$I$89,3,0)*0.475*44/12</f>
        <v>2.1774236212161711</v>
      </c>
      <c r="BR118" s="21">
        <f>EXP(-LN(2)/2)*BR117+(1-EXP(-LN(2)/2))/(LN(2)/2)*BL118*BO118*VLOOKUP('Données projet'!$B$11,Paramètres!$A$1:$I$89,3,0)*0.475*44/12</f>
        <v>3.2193833548987331E-12</v>
      </c>
      <c r="BS118" s="22">
        <f t="shared" si="63"/>
        <v>2.7424873655198025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3.4106051316484809E-13</v>
      </c>
      <c r="BZ118" s="13">
        <f>BY118*VLOOKUP('Données projet'!$B$12,Paramètres!$A$1:$I$89,3,0)*VLOOKUP('Données projet'!$B$12,Paramètres!$A$1:$I$89,5,0)</f>
        <v>1.5961632016114892E-13</v>
      </c>
      <c r="CA118" s="13">
        <f t="shared" si="93"/>
        <v>2.2708641912150958E-12</v>
      </c>
      <c r="CB118" s="20">
        <f t="shared" si="64"/>
        <v>4.2330868906469593E-12</v>
      </c>
      <c r="CC118" s="59">
        <f t="shared" si="65"/>
        <v>293.33333333333752</v>
      </c>
      <c r="CD118" s="59">
        <f ca="1">AVERAGE(OFFSET($CC$3,0,0,'Données projet'!$E$12+1,1))-AVERAGE(OFFSET($H$3,0,0,'Données projet'!$E$12+1,1))</f>
        <v>158.58786357608489</v>
      </c>
      <c r="CE118" s="59">
        <f t="shared" si="94"/>
        <v>163.20074068819849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4.1677594708744434E-14</v>
      </c>
      <c r="CV118" s="13">
        <f t="shared" si="95"/>
        <v>6.9326303456159188E-13</v>
      </c>
      <c r="CW118" s="20">
        <f t="shared" si="67"/>
        <v>1.2800215959791691E-12</v>
      </c>
      <c r="CX118" s="59">
        <f t="shared" si="68"/>
        <v>293.33333333333462</v>
      </c>
      <c r="CY118" s="59">
        <f ca="1">AVERAGE(OFFSET($CX$3,0,0,'Données projet'!$E$13+1,1))-AVERAGE(OFFSET($H$3,0,0,'Données projet'!$E$13+1,1))</f>
        <v>178.12968684094687</v>
      </c>
      <c r="CZ118" s="59">
        <f t="shared" si="96"/>
        <v>219.36004077210373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0.72834496876133947</v>
      </c>
      <c r="DH118" s="21">
        <f>EXP(-LN(2)/2)*DH117+(1-EXP(-LN(2)/2))/(LN(2)/2)*DB118*DE118*VLOOKUP('Données projet'!$B$13,Paramètres!$A$1:$I$89,3,0)*0.475*44/12</f>
        <v>1.5945128835782102E-12</v>
      </c>
      <c r="DI118" s="22">
        <f t="shared" si="69"/>
        <v>0.72834496876293398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-8.5265128291212022E-14</v>
      </c>
      <c r="DP118" s="17">
        <f>DO118*VLOOKUP('Données projet'!$B$14,Paramètres!$A$1:$I$89,3,0)*VLOOKUP('Données projet'!$B$14,Paramètres!$A$1:$I$89,5,0)</f>
        <v>-7.7147888077888636E-14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225.28075317732998</v>
      </c>
      <c r="DU118" s="59">
        <f t="shared" si="98"/>
        <v>358.43407531256207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0.41673299725574192</v>
      </c>
      <c r="EB118" s="21">
        <f>EXP(-LN(2)/25)*EB117+(1-EXP(-LN(2)/25))/(LN(2)/25)*Calculateur!DW118*Calculateur!DY118*VLOOKUP('Données projet'!$B$14,Paramètres!$A$1:$I$89,3,0)*0.475*44/12</f>
        <v>0.78363083431761327</v>
      </c>
      <c r="EC118" s="21">
        <f>EXP(-LN(2)/2)*EC117+(1-EXP(-LN(2)/2))/(LN(2)/2)*DW118*DZ118*VLOOKUP('Données projet'!$B$14,Paramètres!$A$1:$I$89,3,0)*0.475*44/12</f>
        <v>7.0967513754466279E-13</v>
      </c>
      <c r="ED118" s="22">
        <f t="shared" si="72"/>
        <v>1.2003638315740648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7.1749999999999998</v>
      </c>
      <c r="EJ118" s="12">
        <f>IF('Données projet'!$A$192&gt;35,EJ117+EI118-ER117,IF(A118&lt;'Données projet'!$A$192,$EG$205^A118,IF(A118='Données projet'!$A$192,'Données projet'!$B$192,EJ117+EI118-ER117)))</f>
        <v>348.18269230769187</v>
      </c>
      <c r="EK118" s="17">
        <f>EJ118*VLOOKUP('Données projet'!$B$15,Paramètres!$A$1:$I$89,3,0)*VLOOKUP('Données projet'!$B$15,Paramètres!$A$1:$I$89,5,0)</f>
        <v>353.05724999999956</v>
      </c>
      <c r="EL118" s="13">
        <f t="shared" si="99"/>
        <v>82.191711766433102</v>
      </c>
      <c r="EM118" s="20">
        <f t="shared" si="73"/>
        <v>758.05860840987009</v>
      </c>
      <c r="EN118" s="59">
        <f t="shared" si="74"/>
        <v>1051.3919417432035</v>
      </c>
      <c r="EO118" s="59">
        <f ca="1">AVERAGE(OFFSET($EN$3,0,0,'Données projet'!$E$15+1,1))-AVERAGE(OFFSET($H$3,0,0,'Données projet'!$E$15+1,1))</f>
        <v>363.98308691765931</v>
      </c>
      <c r="EP118" s="59">
        <f t="shared" si="100"/>
        <v>181.47089407988187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7.1749999999999998</v>
      </c>
      <c r="FE118" s="12">
        <f>IF('Données projet'!$A$218&gt;35,FE117+FD118-FM117,IF(A118&lt;'Données projet'!$A$218,$FB$205^A118,IF(A118='Données projet'!$A$218,'Données projet'!$B$218,FE117+FD118-FM117)))</f>
        <v>348.18269230769187</v>
      </c>
      <c r="FF118" s="17">
        <f>FE118*VLOOKUP('Données projet'!$B$16,Paramètres!$A$1:$I$89,3,0)*VLOOKUP('Données projet'!$B$16,Paramètres!$A$1:$I$89,5,0)</f>
        <v>374.78384999999952</v>
      </c>
      <c r="FG118" s="13">
        <f t="shared" si="101"/>
        <v>86.645266137157051</v>
      </c>
      <c r="FH118" s="20">
        <f t="shared" si="76"/>
        <v>803.65571060554782</v>
      </c>
      <c r="FI118" s="59">
        <f t="shared" si="77"/>
        <v>1096.9890439388812</v>
      </c>
      <c r="FJ118" s="59">
        <f ca="1">AVERAGE(OFFSET($FI$3,0,0,'Données projet'!$E$16+1,1))-AVERAGE(OFFSET($H$3,0,0,'Données projet'!$E$16+1,1))</f>
        <v>395.30533160963489</v>
      </c>
      <c r="FK118" s="59">
        <f t="shared" si="102"/>
        <v>196.02102977695085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227.99999999999986</v>
      </c>
      <c r="GA118" s="17">
        <f>FZ118*VLOOKUP('Données projet'!$B$17,Paramètres!$A$1:$I$89,3,0)*VLOOKUP('Données projet'!$B$17,Paramètres!$A$1:$I$89,5,0)</f>
        <v>238.30559999999986</v>
      </c>
      <c r="GB118" s="13">
        <f t="shared" si="103"/>
        <v>58.074821878967043</v>
      </c>
      <c r="GC118" s="20">
        <f t="shared" si="79"/>
        <v>516.19590143920061</v>
      </c>
      <c r="GD118" s="59">
        <f t="shared" si="80"/>
        <v>809.52923477253398</v>
      </c>
      <c r="GE118" s="59">
        <f ca="1">AVERAGE(OFFSET($GD$3,0,0,'Données projet'!$E$17+1,1))-AVERAGE(OFFSET($H$3,0,0,'Données projet'!$E$17+1,1))</f>
        <v>269.41185214595805</v>
      </c>
      <c r="GF118" s="59">
        <f t="shared" si="104"/>
        <v>299.70148160580993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1.1778979025448342</v>
      </c>
      <c r="GM118" s="21">
        <f>EXP(-LN(2)/25)*GM117+(1-EXP(-LN(2)/25))/(LN(2)/25)*Calculateur!GH118*Calculateur!GJ118*VLOOKUP('Données projet'!$B$17,Paramètres!$A$1:$I$89,3,0)*0.475*44/12</f>
        <v>1.5368854501581402</v>
      </c>
      <c r="GN118" s="21">
        <f>EXP(-LN(2)/2)*GN117+(1-EXP(-LN(2)/2))/(LN(2)/2)*GH118*GK118*VLOOKUP('Données projet'!$B$17,Paramètres!$A$1:$I$89,3,0)*0.475*44/12</f>
        <v>3.0722433440546742E-12</v>
      </c>
      <c r="GO118" s="21">
        <f t="shared" si="81"/>
        <v>2.7147833527060463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5.6843418860808015E-14</v>
      </c>
      <c r="GV118" s="17">
        <f>GU118*VLOOKUP('Données projet'!$B$18,Paramètres!$A$1:$I$89,3,0)*VLOOKUP('Données projet'!$B$18,Paramètres!$A$1:$I$89,5,0)</f>
        <v>4.9658410716801891E-14</v>
      </c>
      <c r="GW118" s="13">
        <f t="shared" si="105"/>
        <v>8.0934058173791862E-13</v>
      </c>
      <c r="GX118" s="20">
        <f t="shared" si="82"/>
        <v>1.4960899118586383E-12</v>
      </c>
      <c r="GY118" s="59">
        <f t="shared" si="83"/>
        <v>293.33333333333479</v>
      </c>
      <c r="GZ118" s="59">
        <f ca="1">AVERAGE(OFFSET($GY$3,0,0,'Données projet'!$E$18+1,1))-AVERAGE(OFFSET($H$3,0,0,'Données projet'!$E$18+1,1))</f>
        <v>226.35975611953359</v>
      </c>
      <c r="HA118" s="59">
        <f t="shared" si="106"/>
        <v>271.65876694892461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1.0696327893536153</v>
      </c>
      <c r="HI118" s="21">
        <f>EXP(-LN(2)/2)*HI117+(1-EXP(-LN(2)/2))/(LN(2)/2)*HC118*HF118*VLOOKUP('Données projet'!$B$18,Paramètres!$A$1:$I$89,3,0)*0.475*44/12</f>
        <v>1.8998451378804201E-12</v>
      </c>
      <c r="HJ118" s="22">
        <f t="shared" si="84"/>
        <v>1.0696327893555151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7.1749999999999998</v>
      </c>
      <c r="N119" s="13">
        <f>IF('Données projet'!$A$36&gt;35,N118+M119-V118,IF(A119&lt;'Données projet'!$A$36,$K$205^A119,IF(A119='Données projet'!$A$36,'Données projet'!$B$36,N118+M119-V118)))</f>
        <v>355.35769230769188</v>
      </c>
      <c r="O119" s="13">
        <f>N119*VLOOKUP('Données projet'!$B$9,Paramètres!$A$1:$I$89,3,0)*VLOOKUP('Données projet'!$B$9,Paramètres!$A$1:$I$89,5,0)</f>
        <v>321.52763999999962</v>
      </c>
      <c r="P119" s="13">
        <f t="shared" si="87"/>
        <v>75.67112071782168</v>
      </c>
      <c r="Q119" s="20">
        <f t="shared" si="107"/>
        <v>691.78784158353881</v>
      </c>
      <c r="R119" s="59">
        <f t="shared" si="55"/>
        <v>985.12117491687218</v>
      </c>
      <c r="S119" s="59">
        <f ca="1">AVERAGE(OFFSET($R$3,0,0,'Données projet'!$E$9+1,1))-AVERAGE(OFFSET($H$3,0,0,'Données projet'!$E$9+1,1))</f>
        <v>309.07357540707869</v>
      </c>
      <c r="T119" s="59">
        <f t="shared" si="88"/>
        <v>155.9593924683299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227.99999999999986</v>
      </c>
      <c r="AJ119" s="13">
        <f>AI119*VLOOKUP('Données projet'!$B$10,Paramètres!$A$1:$I$89,3,0)*VLOOKUP('Données projet'!$B$10,Paramètres!$A$1:$I$89,5,0)</f>
        <v>199.18079999999992</v>
      </c>
      <c r="AK119" s="13">
        <f t="shared" si="89"/>
        <v>49.564089376413683</v>
      </c>
      <c r="AL119" s="20">
        <f t="shared" si="58"/>
        <v>433.23068233058694</v>
      </c>
      <c r="AM119" s="59">
        <f t="shared" si="59"/>
        <v>726.56401566392026</v>
      </c>
      <c r="AN119" s="59">
        <f ca="1">AVERAGE(OFFSET($AM$3,0,0,'Données projet'!$E$10+1,1))-AVERAGE(OFFSET($H$3,0,0,'Données projet'!$E$10+1,1))</f>
        <v>210.07838338464626</v>
      </c>
      <c r="AO119" s="59">
        <f t="shared" si="90"/>
        <v>241.76003724236273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0.9652060061921155</v>
      </c>
      <c r="AV119" s="21">
        <f>EXP(-LN(2)/25)*AV118+(1-EXP(-LN(2)/25))/(LN(2)/25)*Calculateur!AQ119*Calculateur!AS119*VLOOKUP('Données projet'!$B$10,Paramètres!$A$1:$I$89,3,0)*0.475*44/12</f>
        <v>1.2494345859004068</v>
      </c>
      <c r="AW119" s="21">
        <f>EXP(-LN(2)/2)*AW118+(1-EXP(-LN(2)/2))/(LN(2)/2)*AQ119*AT119*VLOOKUP('Données projet'!$B$10,Paramètres!$A$1:$I$89,3,0)*0.475*44/12</f>
        <v>1.8157407420004966E-12</v>
      </c>
      <c r="AX119" s="21">
        <f t="shared" si="60"/>
        <v>2.2146405920943382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2.2737367544323206E-13</v>
      </c>
      <c r="BE119" s="13">
        <f>BD119*VLOOKUP('Données projet'!$B$11,Paramètres!$A$1:$I$89,3,0)*VLOOKUP('Données projet'!$B$11,Paramètres!$A$1:$I$89,5,0)</f>
        <v>1.2414602679200471E-13</v>
      </c>
      <c r="BF119" s="13">
        <f t="shared" si="91"/>
        <v>1.8186582995804361E-12</v>
      </c>
      <c r="BG119" s="20">
        <f t="shared" si="61"/>
        <v>3.3837175350986671E-12</v>
      </c>
      <c r="BH119" s="59">
        <f t="shared" si="62"/>
        <v>293.33333333333672</v>
      </c>
      <c r="BI119" s="59">
        <f ca="1">AVERAGE(OFFSET($BH$3,0,0,'Données projet'!$E$11+1,1))-AVERAGE(OFFSET($H$3,0,0,'Données projet'!$E$11+1,1))</f>
        <v>168.72306536277267</v>
      </c>
      <c r="BJ119" s="59">
        <f t="shared" si="92"/>
        <v>203.35476578922339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0.55398318892953347</v>
      </c>
      <c r="BQ119" s="21">
        <f>EXP(-LN(2)/25)*BQ118+(1-EXP(-LN(2)/25))/(LN(2)/25)*Calculateur!BL119*Calculateur!BN119*VLOOKUP('Données projet'!$B$11,Paramètres!$A$1:$I$89,3,0)*0.475*44/12</f>
        <v>2.1178818577882832</v>
      </c>
      <c r="BR119" s="21">
        <f>EXP(-LN(2)/2)*BR118+(1-EXP(-LN(2)/2))/(LN(2)/2)*BL119*BO119*VLOOKUP('Données projet'!$B$11,Paramètres!$A$1:$I$89,3,0)*0.475*44/12</f>
        <v>2.2764478014879917E-12</v>
      </c>
      <c r="BS119" s="22">
        <f t="shared" si="63"/>
        <v>2.6718650467200931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3.4106051316484809E-13</v>
      </c>
      <c r="BZ119" s="13">
        <f>BY119*VLOOKUP('Données projet'!$B$12,Paramètres!$A$1:$I$89,3,0)*VLOOKUP('Données projet'!$B$12,Paramètres!$A$1:$I$89,5,0)</f>
        <v>1.5961632016114892E-13</v>
      </c>
      <c r="CA119" s="13">
        <f t="shared" si="93"/>
        <v>2.2708641912150958E-12</v>
      </c>
      <c r="CB119" s="20">
        <f t="shared" si="64"/>
        <v>4.2330868906469593E-12</v>
      </c>
      <c r="CC119" s="59">
        <f t="shared" si="65"/>
        <v>293.33333333333752</v>
      </c>
      <c r="CD119" s="59">
        <f ca="1">AVERAGE(OFFSET($CC$3,0,0,'Données projet'!$E$12+1,1))-AVERAGE(OFFSET($H$3,0,0,'Données projet'!$E$12+1,1))</f>
        <v>158.58786357608489</v>
      </c>
      <c r="CE119" s="59">
        <f t="shared" si="94"/>
        <v>163.20074068819849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4.1677594708744434E-14</v>
      </c>
      <c r="CV119" s="13">
        <f t="shared" si="95"/>
        <v>6.9326303456159188E-13</v>
      </c>
      <c r="CW119" s="20">
        <f t="shared" si="67"/>
        <v>1.2800215959791691E-12</v>
      </c>
      <c r="CX119" s="59">
        <f t="shared" si="68"/>
        <v>293.33333333333462</v>
      </c>
      <c r="CY119" s="59">
        <f ca="1">AVERAGE(OFFSET($CX$3,0,0,'Données projet'!$E$13+1,1))-AVERAGE(OFFSET($H$3,0,0,'Données projet'!$E$13+1,1))</f>
        <v>178.12968684094687</v>
      </c>
      <c r="CZ119" s="59">
        <f t="shared" si="96"/>
        <v>219.36004077210373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0.70842833728856336</v>
      </c>
      <c r="DH119" s="21">
        <f>EXP(-LN(2)/2)*DH118+(1-EXP(-LN(2)/2))/(LN(2)/2)*DB119*DE119*VLOOKUP('Données projet'!$B$13,Paramètres!$A$1:$I$89,3,0)*0.475*44/12</f>
        <v>1.1274908726674684E-12</v>
      </c>
      <c r="DI119" s="22">
        <f t="shared" si="69"/>
        <v>0.7084283372896909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-8.5265128291212022E-14</v>
      </c>
      <c r="DP119" s="17">
        <f>DO119*VLOOKUP('Données projet'!$B$14,Paramètres!$A$1:$I$89,3,0)*VLOOKUP('Données projet'!$B$14,Paramètres!$A$1:$I$89,5,0)</f>
        <v>-7.7147888077888636E-14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225.28075317732998</v>
      </c>
      <c r="DU119" s="59">
        <f t="shared" si="98"/>
        <v>358.43407531256207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0.40856111736158673</v>
      </c>
      <c r="EB119" s="21">
        <f>EXP(-LN(2)/25)*EB118+(1-EXP(-LN(2)/25))/(LN(2)/25)*Calculateur!DW119*Calculateur!DY119*VLOOKUP('Données projet'!$B$14,Paramètres!$A$1:$I$89,3,0)*0.475*44/12</f>
        <v>0.76220240794384353</v>
      </c>
      <c r="EC119" s="21">
        <f>EXP(-LN(2)/2)*EC118+(1-EXP(-LN(2)/2))/(LN(2)/2)*DW119*DZ119*VLOOKUP('Données projet'!$B$14,Paramètres!$A$1:$I$89,3,0)*0.475*44/12</f>
        <v>5.0181610219732689E-13</v>
      </c>
      <c r="ED119" s="22">
        <f t="shared" si="72"/>
        <v>1.1707635253059321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7.1749999999999998</v>
      </c>
      <c r="EJ119" s="12">
        <f>IF('Données projet'!$A$192&gt;35,EJ118+EI119-ER118,IF(A119&lt;'Données projet'!$A$192,$EG$205^A119,IF(A119='Données projet'!$A$192,'Données projet'!$B$192,EJ118+EI119-ER118)))</f>
        <v>355.35769230769188</v>
      </c>
      <c r="EK119" s="17">
        <f>EJ119*VLOOKUP('Données projet'!$B$15,Paramètres!$A$1:$I$89,3,0)*VLOOKUP('Données projet'!$B$15,Paramètres!$A$1:$I$89,5,0)</f>
        <v>360.33269999999959</v>
      </c>
      <c r="EL119" s="13">
        <f t="shared" si="99"/>
        <v>83.68650540529886</v>
      </c>
      <c r="EM119" s="20">
        <f t="shared" si="73"/>
        <v>773.3334494142282</v>
      </c>
      <c r="EN119" s="59">
        <f t="shared" si="74"/>
        <v>1066.6667827475615</v>
      </c>
      <c r="EO119" s="59">
        <f ca="1">AVERAGE(OFFSET($EN$3,0,0,'Données projet'!$E$15+1,1))-AVERAGE(OFFSET($H$3,0,0,'Données projet'!$E$15+1,1))</f>
        <v>363.98308691765931</v>
      </c>
      <c r="EP119" s="59">
        <f t="shared" si="100"/>
        <v>181.47089407988187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7.1749999999999998</v>
      </c>
      <c r="FE119" s="12">
        <f>IF('Données projet'!$A$218&gt;35,FE118+FD119-FM118,IF(A119&lt;'Données projet'!$A$218,$FB$205^A119,IF(A119='Données projet'!$A$218,'Données projet'!$B$218,FE118+FD119-FM118)))</f>
        <v>355.35769230769188</v>
      </c>
      <c r="FF119" s="17">
        <f>FE119*VLOOKUP('Données projet'!$B$16,Paramètres!$A$1:$I$89,3,0)*VLOOKUP('Données projet'!$B$16,Paramètres!$A$1:$I$89,5,0)</f>
        <v>382.5070199999995</v>
      </c>
      <c r="FG119" s="13">
        <f t="shared" si="101"/>
        <v>88.221055105121422</v>
      </c>
      <c r="FH119" s="20">
        <f t="shared" si="76"/>
        <v>819.85139747475216</v>
      </c>
      <c r="FI119" s="59">
        <f t="shared" si="77"/>
        <v>1113.1847308080855</v>
      </c>
      <c r="FJ119" s="59">
        <f ca="1">AVERAGE(OFFSET($FI$3,0,0,'Données projet'!$E$16+1,1))-AVERAGE(OFFSET($H$3,0,0,'Données projet'!$E$16+1,1))</f>
        <v>395.30533160963489</v>
      </c>
      <c r="FK119" s="59">
        <f t="shared" si="102"/>
        <v>196.02102977695085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227.99999999999986</v>
      </c>
      <c r="GA119" s="17">
        <f>FZ119*VLOOKUP('Données projet'!$B$17,Paramètres!$A$1:$I$89,3,0)*VLOOKUP('Données projet'!$B$17,Paramètres!$A$1:$I$89,5,0)</f>
        <v>238.30559999999986</v>
      </c>
      <c r="GB119" s="13">
        <f t="shared" si="103"/>
        <v>58.074821878967043</v>
      </c>
      <c r="GC119" s="20">
        <f t="shared" si="79"/>
        <v>516.19590143920061</v>
      </c>
      <c r="GD119" s="59">
        <f t="shared" si="80"/>
        <v>809.52923477253398</v>
      </c>
      <c r="GE119" s="59">
        <f ca="1">AVERAGE(OFFSET($GD$3,0,0,'Données projet'!$E$17+1,1))-AVERAGE(OFFSET($H$3,0,0,'Données projet'!$E$17+1,1))</f>
        <v>269.41185214595805</v>
      </c>
      <c r="GF119" s="59">
        <f t="shared" si="104"/>
        <v>299.70148160580993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1.1548000431227099</v>
      </c>
      <c r="GM119" s="21">
        <f>EXP(-LN(2)/25)*GM118+(1-EXP(-LN(2)/25))/(LN(2)/25)*Calculateur!GH119*Calculateur!GJ119*VLOOKUP('Données projet'!$B$17,Paramètres!$A$1:$I$89,3,0)*0.475*44/12</f>
        <v>1.4948592367022726</v>
      </c>
      <c r="GN119" s="21">
        <f>EXP(-LN(2)/2)*GN118+(1-EXP(-LN(2)/2))/(LN(2)/2)*GH119*GK119*VLOOKUP('Données projet'!$B$17,Paramètres!$A$1:$I$89,3,0)*0.475*44/12</f>
        <v>2.1724041020362956E-12</v>
      </c>
      <c r="GO119" s="21">
        <f t="shared" si="81"/>
        <v>2.649659279827155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5.6843418860808015E-14</v>
      </c>
      <c r="GV119" s="17">
        <f>GU119*VLOOKUP('Données projet'!$B$18,Paramètres!$A$1:$I$89,3,0)*VLOOKUP('Données projet'!$B$18,Paramètres!$A$1:$I$89,5,0)</f>
        <v>4.9658410716801891E-14</v>
      </c>
      <c r="GW119" s="13">
        <f t="shared" si="105"/>
        <v>8.0934058173791862E-13</v>
      </c>
      <c r="GX119" s="20">
        <f t="shared" si="82"/>
        <v>1.4960899118586383E-12</v>
      </c>
      <c r="GY119" s="59">
        <f t="shared" si="83"/>
        <v>293.33333333333479</v>
      </c>
      <c r="GZ119" s="59">
        <f ca="1">AVERAGE(OFFSET($GY$3,0,0,'Données projet'!$E$18+1,1))-AVERAGE(OFFSET($H$3,0,0,'Données projet'!$E$18+1,1))</f>
        <v>226.35975611953359</v>
      </c>
      <c r="HA119" s="59">
        <f t="shared" si="106"/>
        <v>271.65876694892461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1.0403836244791969</v>
      </c>
      <c r="HI119" s="21">
        <f>EXP(-LN(2)/2)*HI118+(1-EXP(-LN(2)/2))/(LN(2)/2)*HC119*HF119*VLOOKUP('Données projet'!$B$18,Paramètres!$A$1:$I$89,3,0)*0.475*44/12</f>
        <v>1.3433933801995365E-12</v>
      </c>
      <c r="HJ119" s="22">
        <f t="shared" si="84"/>
        <v>1.0403836244805402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7.1749999999999998</v>
      </c>
      <c r="N120" s="13">
        <f>IF('Données projet'!$A$36&gt;35,N119+M120-V119,IF(A120&lt;'Données projet'!$A$36,$K$205^A120,IF(A120='Données projet'!$A$36,'Données projet'!$B$36,N119+M120-V119)))</f>
        <v>362.53269230769189</v>
      </c>
      <c r="O120" s="13">
        <f>N120*VLOOKUP('Données projet'!$B$9,Paramètres!$A$1:$I$89,3,0)*VLOOKUP('Données projet'!$B$9,Paramètres!$A$1:$I$89,5,0)</f>
        <v>328.01957999999956</v>
      </c>
      <c r="P120" s="13">
        <f t="shared" si="87"/>
        <v>77.019571848313717</v>
      </c>
      <c r="Q120" s="20">
        <f t="shared" si="107"/>
        <v>705.44318946914564</v>
      </c>
      <c r="R120" s="59">
        <f t="shared" si="55"/>
        <v>998.77652280247889</v>
      </c>
      <c r="S120" s="59">
        <f ca="1">AVERAGE(OFFSET($R$3,0,0,'Données projet'!$E$9+1,1))-AVERAGE(OFFSET($H$3,0,0,'Données projet'!$E$9+1,1))</f>
        <v>309.07357540707869</v>
      </c>
      <c r="T120" s="59">
        <f t="shared" si="88"/>
        <v>155.9593924683299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227.99999999999986</v>
      </c>
      <c r="AJ120" s="13">
        <f>AI120*VLOOKUP('Données projet'!$B$10,Paramètres!$A$1:$I$89,3,0)*VLOOKUP('Données projet'!$B$10,Paramètres!$A$1:$I$89,5,0)</f>
        <v>199.18079999999992</v>
      </c>
      <c r="AK120" s="13">
        <f t="shared" si="89"/>
        <v>49.564089376413683</v>
      </c>
      <c r="AL120" s="20">
        <f t="shared" si="58"/>
        <v>433.23068233058694</v>
      </c>
      <c r="AM120" s="59">
        <f t="shared" si="59"/>
        <v>726.56401566392026</v>
      </c>
      <c r="AN120" s="59">
        <f ca="1">AVERAGE(OFFSET($AM$3,0,0,'Données projet'!$E$10+1,1))-AVERAGE(OFFSET($H$3,0,0,'Données projet'!$E$10+1,1))</f>
        <v>210.07838338464626</v>
      </c>
      <c r="AO120" s="59">
        <f t="shared" si="90"/>
        <v>241.76003724236273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0.94627890512822088</v>
      </c>
      <c r="AV120" s="21">
        <f>EXP(-LN(2)/25)*AV119+(1-EXP(-LN(2)/25))/(LN(2)/25)*Calculateur!AQ120*Calculateur!AS120*VLOOKUP('Données projet'!$B$10,Paramètres!$A$1:$I$89,3,0)*0.475*44/12</f>
        <v>1.2152687314440509</v>
      </c>
      <c r="AW120" s="21">
        <f>EXP(-LN(2)/2)*AW119+(1-EXP(-LN(2)/2))/(LN(2)/2)*AQ120*AT120*VLOOKUP('Données projet'!$B$10,Paramètres!$A$1:$I$89,3,0)*0.475*44/12</f>
        <v>1.2839225915452447E-12</v>
      </c>
      <c r="AX120" s="21">
        <f t="shared" si="60"/>
        <v>2.1615476365735558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2.2737367544323206E-13</v>
      </c>
      <c r="BE120" s="13">
        <f>BD120*VLOOKUP('Données projet'!$B$11,Paramètres!$A$1:$I$89,3,0)*VLOOKUP('Données projet'!$B$11,Paramètres!$A$1:$I$89,5,0)</f>
        <v>1.2414602679200471E-13</v>
      </c>
      <c r="BF120" s="13">
        <f t="shared" si="91"/>
        <v>1.8186582995804361E-12</v>
      </c>
      <c r="BG120" s="20">
        <f t="shared" si="61"/>
        <v>3.3837175350986671E-12</v>
      </c>
      <c r="BH120" s="59">
        <f t="shared" si="62"/>
        <v>293.33333333333672</v>
      </c>
      <c r="BI120" s="59">
        <f ca="1">AVERAGE(OFFSET($BH$3,0,0,'Données projet'!$E$11+1,1))-AVERAGE(OFFSET($H$3,0,0,'Données projet'!$E$11+1,1))</f>
        <v>168.72306536277267</v>
      </c>
      <c r="BJ120" s="59">
        <f t="shared" si="92"/>
        <v>203.35476578922339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0.54311991649100611</v>
      </c>
      <c r="BQ120" s="21">
        <f>EXP(-LN(2)/25)*BQ119+(1-EXP(-LN(2)/25))/(LN(2)/25)*Calculateur!BL120*Calculateur!BN120*VLOOKUP('Données projet'!$B$11,Paramètres!$A$1:$I$89,3,0)*0.475*44/12</f>
        <v>2.0599682670124961</v>
      </c>
      <c r="BR120" s="21">
        <f>EXP(-LN(2)/2)*BR119+(1-EXP(-LN(2)/2))/(LN(2)/2)*BL120*BO120*VLOOKUP('Données projet'!$B$11,Paramètres!$A$1:$I$89,3,0)*0.475*44/12</f>
        <v>1.6096916774493665E-12</v>
      </c>
      <c r="BS120" s="22">
        <f t="shared" si="63"/>
        <v>2.6030881835051121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3.4106051316484809E-13</v>
      </c>
      <c r="BZ120" s="13">
        <f>BY120*VLOOKUP('Données projet'!$B$12,Paramètres!$A$1:$I$89,3,0)*VLOOKUP('Données projet'!$B$12,Paramètres!$A$1:$I$89,5,0)</f>
        <v>1.5961632016114892E-13</v>
      </c>
      <c r="CA120" s="13">
        <f t="shared" si="93"/>
        <v>2.2708641912150958E-12</v>
      </c>
      <c r="CB120" s="20">
        <f t="shared" si="64"/>
        <v>4.2330868906469593E-12</v>
      </c>
      <c r="CC120" s="59">
        <f t="shared" si="65"/>
        <v>293.33333333333752</v>
      </c>
      <c r="CD120" s="59">
        <f ca="1">AVERAGE(OFFSET($CC$3,0,0,'Données projet'!$E$12+1,1))-AVERAGE(OFFSET($H$3,0,0,'Données projet'!$E$12+1,1))</f>
        <v>158.58786357608489</v>
      </c>
      <c r="CE120" s="59">
        <f t="shared" si="94"/>
        <v>163.20074068819849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4.1677594708744434E-14</v>
      </c>
      <c r="CV120" s="13">
        <f t="shared" si="95"/>
        <v>6.9326303456159188E-13</v>
      </c>
      <c r="CW120" s="20">
        <f t="shared" si="67"/>
        <v>1.2800215959791691E-12</v>
      </c>
      <c r="CX120" s="59">
        <f t="shared" si="68"/>
        <v>293.33333333333462</v>
      </c>
      <c r="CY120" s="59">
        <f ca="1">AVERAGE(OFFSET($CX$3,0,0,'Données projet'!$E$13+1,1))-AVERAGE(OFFSET($H$3,0,0,'Données projet'!$E$13+1,1))</f>
        <v>178.12968684094687</v>
      </c>
      <c r="CZ120" s="59">
        <f t="shared" si="96"/>
        <v>219.36004077210373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0.68905632715078047</v>
      </c>
      <c r="DH120" s="21">
        <f>EXP(-LN(2)/2)*DH119+(1-EXP(-LN(2)/2))/(LN(2)/2)*DB120*DE120*VLOOKUP('Données projet'!$B$13,Paramètres!$A$1:$I$89,3,0)*0.475*44/12</f>
        <v>7.9725644178910509E-13</v>
      </c>
      <c r="DI120" s="22">
        <f t="shared" si="69"/>
        <v>0.68905632715157772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-8.5265128291212022E-14</v>
      </c>
      <c r="DP120" s="17">
        <f>DO120*VLOOKUP('Données projet'!$B$14,Paramètres!$A$1:$I$89,3,0)*VLOOKUP('Données projet'!$B$14,Paramètres!$A$1:$I$89,5,0)</f>
        <v>-7.7147888077888636E-14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225.28075317732998</v>
      </c>
      <c r="DU120" s="59">
        <f t="shared" si="98"/>
        <v>358.43407531256207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0.40054948304780136</v>
      </c>
      <c r="EB120" s="21">
        <f>EXP(-LN(2)/25)*EB119+(1-EXP(-LN(2)/25))/(LN(2)/25)*Calculateur!DW120*Calculateur!DY120*VLOOKUP('Données projet'!$B$14,Paramètres!$A$1:$I$89,3,0)*0.475*44/12</f>
        <v>0.7413599430161365</v>
      </c>
      <c r="EC120" s="21">
        <f>EXP(-LN(2)/2)*EC119+(1-EXP(-LN(2)/2))/(LN(2)/2)*DW120*DZ120*VLOOKUP('Données projet'!$B$14,Paramètres!$A$1:$I$89,3,0)*0.475*44/12</f>
        <v>3.5483756877233139E-13</v>
      </c>
      <c r="ED120" s="22">
        <f t="shared" si="72"/>
        <v>1.1419094260642928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7.1749999999999998</v>
      </c>
      <c r="EJ120" s="12">
        <f>IF('Données projet'!$A$192&gt;35,EJ119+EI120-ER119,IF(A120&lt;'Données projet'!$A$192,$EG$205^A120,IF(A120='Données projet'!$A$192,'Données projet'!$B$192,EJ119+EI120-ER119)))</f>
        <v>362.53269230769189</v>
      </c>
      <c r="EK120" s="17">
        <f>EJ120*VLOOKUP('Données projet'!$B$15,Paramètres!$A$1:$I$89,3,0)*VLOOKUP('Données projet'!$B$15,Paramètres!$A$1:$I$89,5,0)</f>
        <v>367.60814999999957</v>
      </c>
      <c r="EL120" s="13">
        <f t="shared" si="99"/>
        <v>85.177789818034285</v>
      </c>
      <c r="EM120" s="20">
        <f t="shared" si="73"/>
        <v>788.60217851640891</v>
      </c>
      <c r="EN120" s="59">
        <f t="shared" si="74"/>
        <v>1081.9355118497422</v>
      </c>
      <c r="EO120" s="59">
        <f ca="1">AVERAGE(OFFSET($EN$3,0,0,'Données projet'!$E$15+1,1))-AVERAGE(OFFSET($H$3,0,0,'Données projet'!$E$15+1,1))</f>
        <v>363.98308691765931</v>
      </c>
      <c r="EP120" s="59">
        <f t="shared" si="100"/>
        <v>181.47089407988187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7.1749999999999998</v>
      </c>
      <c r="FE120" s="12">
        <f>IF('Données projet'!$A$218&gt;35,FE119+FD120-FM119,IF(A120&lt;'Données projet'!$A$218,$FB$205^A120,IF(A120='Données projet'!$A$218,'Données projet'!$B$218,FE119+FD120-FM119)))</f>
        <v>362.53269230769189</v>
      </c>
      <c r="FF120" s="17">
        <f>FE120*VLOOKUP('Données projet'!$B$16,Paramètres!$A$1:$I$89,3,0)*VLOOKUP('Données projet'!$B$16,Paramètres!$A$1:$I$89,5,0)</f>
        <v>390.23018999999954</v>
      </c>
      <c r="FG120" s="13">
        <f t="shared" si="101"/>
        <v>89.793144699688369</v>
      </c>
      <c r="FH120" s="20">
        <f t="shared" si="76"/>
        <v>836.04064126862306</v>
      </c>
      <c r="FI120" s="59">
        <f t="shared" si="77"/>
        <v>1129.3739746019564</v>
      </c>
      <c r="FJ120" s="59">
        <f ca="1">AVERAGE(OFFSET($FI$3,0,0,'Données projet'!$E$16+1,1))-AVERAGE(OFFSET($H$3,0,0,'Données projet'!$E$16+1,1))</f>
        <v>395.30533160963489</v>
      </c>
      <c r="FK120" s="59">
        <f t="shared" si="102"/>
        <v>196.02102977695085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227.99999999999986</v>
      </c>
      <c r="GA120" s="17">
        <f>FZ120*VLOOKUP('Données projet'!$B$17,Paramètres!$A$1:$I$89,3,0)*VLOOKUP('Données projet'!$B$17,Paramètres!$A$1:$I$89,5,0)</f>
        <v>238.30559999999986</v>
      </c>
      <c r="GB120" s="13">
        <f t="shared" si="103"/>
        <v>58.074821878967043</v>
      </c>
      <c r="GC120" s="20">
        <f t="shared" si="79"/>
        <v>516.19590143920061</v>
      </c>
      <c r="GD120" s="59">
        <f t="shared" si="80"/>
        <v>809.52923477253398</v>
      </c>
      <c r="GE120" s="59">
        <f ca="1">AVERAGE(OFFSET($GD$3,0,0,'Données projet'!$E$17+1,1))-AVERAGE(OFFSET($H$3,0,0,'Données projet'!$E$17+1,1))</f>
        <v>269.41185214595805</v>
      </c>
      <c r="GF120" s="59">
        <f t="shared" si="104"/>
        <v>299.70148160580993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1.1321551186355503</v>
      </c>
      <c r="GM120" s="21">
        <f>EXP(-LN(2)/25)*GM119+(1-EXP(-LN(2)/25))/(LN(2)/25)*Calculateur!GH120*Calculateur!GJ120*VLOOKUP('Données projet'!$B$17,Paramètres!$A$1:$I$89,3,0)*0.475*44/12</f>
        <v>1.4539822322634182</v>
      </c>
      <c r="GN120" s="21">
        <f>EXP(-LN(2)/2)*GN119+(1-EXP(-LN(2)/2))/(LN(2)/2)*GH120*GK120*VLOOKUP('Données projet'!$B$17,Paramètres!$A$1:$I$89,3,0)*0.475*44/12</f>
        <v>1.5361216720273371E-12</v>
      </c>
      <c r="GO120" s="21">
        <f t="shared" si="81"/>
        <v>2.5861373509005046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5.6843418860808015E-14</v>
      </c>
      <c r="GV120" s="17">
        <f>GU120*VLOOKUP('Données projet'!$B$18,Paramètres!$A$1:$I$89,3,0)*VLOOKUP('Données projet'!$B$18,Paramètres!$A$1:$I$89,5,0)</f>
        <v>4.9658410716801891E-14</v>
      </c>
      <c r="GW120" s="13">
        <f t="shared" si="105"/>
        <v>8.0934058173791862E-13</v>
      </c>
      <c r="GX120" s="20">
        <f t="shared" si="82"/>
        <v>1.4960899118586383E-12</v>
      </c>
      <c r="GY120" s="59">
        <f t="shared" si="83"/>
        <v>293.33333333333479</v>
      </c>
      <c r="GZ120" s="59">
        <f ca="1">AVERAGE(OFFSET($GY$3,0,0,'Données projet'!$E$18+1,1))-AVERAGE(OFFSET($H$3,0,0,'Données projet'!$E$18+1,1))</f>
        <v>226.35975611953359</v>
      </c>
      <c r="HA120" s="59">
        <f t="shared" si="106"/>
        <v>271.65876694892461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1.0119342795564161</v>
      </c>
      <c r="HI120" s="21">
        <f>EXP(-LN(2)/2)*HI119+(1-EXP(-LN(2)/2))/(LN(2)/2)*HC120*HF120*VLOOKUP('Données projet'!$B$18,Paramètres!$A$1:$I$89,3,0)*0.475*44/12</f>
        <v>9.4992256894021006E-13</v>
      </c>
      <c r="HJ120" s="22">
        <f t="shared" si="84"/>
        <v>1.011934279557366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7.1749999999999998</v>
      </c>
      <c r="N121" s="13">
        <f>IF('Données projet'!$A$36&gt;35,N120+M121-V120,IF(A121&lt;'Données projet'!$A$36,$K$205^A121,IF(A121='Données projet'!$A$36,'Données projet'!$B$36,N120+M121-V120)))</f>
        <v>369.7076923076919</v>
      </c>
      <c r="O121" s="13">
        <f>N121*VLOOKUP('Données projet'!$B$9,Paramètres!$A$1:$I$89,3,0)*VLOOKUP('Données projet'!$B$9,Paramètres!$A$1:$I$89,5,0)</f>
        <v>334.51151999999962</v>
      </c>
      <c r="P121" s="13">
        <f t="shared" si="87"/>
        <v>78.364919900433733</v>
      </c>
      <c r="Q121" s="20">
        <f t="shared" si="107"/>
        <v>719.09313282658798</v>
      </c>
      <c r="R121" s="59">
        <f t="shared" si="55"/>
        <v>1012.4264661599213</v>
      </c>
      <c r="S121" s="59">
        <f ca="1">AVERAGE(OFFSET($R$3,0,0,'Données projet'!$E$9+1,1))-AVERAGE(OFFSET($H$3,0,0,'Données projet'!$E$9+1,1))</f>
        <v>309.07357540707869</v>
      </c>
      <c r="T121" s="59">
        <f t="shared" si="88"/>
        <v>155.9593924683299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227.99999999999986</v>
      </c>
      <c r="AJ121" s="13">
        <f>AI121*VLOOKUP('Données projet'!$B$10,Paramètres!$A$1:$I$89,3,0)*VLOOKUP('Données projet'!$B$10,Paramètres!$A$1:$I$89,5,0)</f>
        <v>199.18079999999992</v>
      </c>
      <c r="AK121" s="13">
        <f t="shared" si="89"/>
        <v>49.564089376413683</v>
      </c>
      <c r="AL121" s="20">
        <f t="shared" si="58"/>
        <v>433.23068233058694</v>
      </c>
      <c r="AM121" s="59">
        <f t="shared" si="59"/>
        <v>726.56401566392026</v>
      </c>
      <c r="AN121" s="59">
        <f ca="1">AVERAGE(OFFSET($AM$3,0,0,'Données projet'!$E$10+1,1))-AVERAGE(OFFSET($H$3,0,0,'Données projet'!$E$10+1,1))</f>
        <v>210.07838338464626</v>
      </c>
      <c r="AO121" s="59">
        <f t="shared" si="90"/>
        <v>241.76003724236273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0.92772295297179752</v>
      </c>
      <c r="AV121" s="21">
        <f>EXP(-LN(2)/25)*AV120+(1-EXP(-LN(2)/25))/(LN(2)/25)*Calculateur!AQ121*Calculateur!AS121*VLOOKUP('Données projet'!$B$10,Paramètres!$A$1:$I$89,3,0)*0.475*44/12</f>
        <v>1.1820371440745083</v>
      </c>
      <c r="AW121" s="21">
        <f>EXP(-LN(2)/2)*AW120+(1-EXP(-LN(2)/2))/(LN(2)/2)*AQ121*AT121*VLOOKUP('Données projet'!$B$10,Paramètres!$A$1:$I$89,3,0)*0.475*44/12</f>
        <v>9.0787037100024849E-13</v>
      </c>
      <c r="AX121" s="21">
        <f t="shared" si="60"/>
        <v>2.1097600970472135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2.2737367544323206E-13</v>
      </c>
      <c r="BE121" s="13">
        <f>BD121*VLOOKUP('Données projet'!$B$11,Paramètres!$A$1:$I$89,3,0)*VLOOKUP('Données projet'!$B$11,Paramètres!$A$1:$I$89,5,0)</f>
        <v>1.2414602679200471E-13</v>
      </c>
      <c r="BF121" s="13">
        <f t="shared" si="91"/>
        <v>1.8186582995804361E-12</v>
      </c>
      <c r="BG121" s="20">
        <f t="shared" si="61"/>
        <v>3.3837175350986671E-12</v>
      </c>
      <c r="BH121" s="59">
        <f t="shared" si="62"/>
        <v>293.33333333333672</v>
      </c>
      <c r="BI121" s="59">
        <f ca="1">AVERAGE(OFFSET($BH$3,0,0,'Données projet'!$E$11+1,1))-AVERAGE(OFFSET($H$3,0,0,'Données projet'!$E$11+1,1))</f>
        <v>168.72306536277267</v>
      </c>
      <c r="BJ121" s="59">
        <f t="shared" si="92"/>
        <v>203.35476578922339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0.53246966619905634</v>
      </c>
      <c r="BQ121" s="21">
        <f>EXP(-LN(2)/25)*BQ120+(1-EXP(-LN(2)/25))/(LN(2)/25)*Calculateur!BL121*Calculateur!BN121*VLOOKUP('Données projet'!$B$11,Paramètres!$A$1:$I$89,3,0)*0.475*44/12</f>
        <v>2.0036383264220166</v>
      </c>
      <c r="BR121" s="21">
        <f>EXP(-LN(2)/2)*BR120+(1-EXP(-LN(2)/2))/(LN(2)/2)*BL121*BO121*VLOOKUP('Données projet'!$B$11,Paramètres!$A$1:$I$89,3,0)*0.475*44/12</f>
        <v>1.1382239007439958E-12</v>
      </c>
      <c r="BS121" s="22">
        <f t="shared" si="63"/>
        <v>2.536107992622211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3.4106051316484809E-13</v>
      </c>
      <c r="BZ121" s="13">
        <f>BY121*VLOOKUP('Données projet'!$B$12,Paramètres!$A$1:$I$89,3,0)*VLOOKUP('Données projet'!$B$12,Paramètres!$A$1:$I$89,5,0)</f>
        <v>1.5961632016114892E-13</v>
      </c>
      <c r="CA121" s="13">
        <f t="shared" si="93"/>
        <v>2.2708641912150958E-12</v>
      </c>
      <c r="CB121" s="20">
        <f t="shared" si="64"/>
        <v>4.2330868906469593E-12</v>
      </c>
      <c r="CC121" s="59">
        <f t="shared" si="65"/>
        <v>293.33333333333752</v>
      </c>
      <c r="CD121" s="59">
        <f ca="1">AVERAGE(OFFSET($CC$3,0,0,'Données projet'!$E$12+1,1))-AVERAGE(OFFSET($H$3,0,0,'Données projet'!$E$12+1,1))</f>
        <v>158.58786357608489</v>
      </c>
      <c r="CE121" s="59">
        <f t="shared" si="94"/>
        <v>163.20074068819849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4.1677594708744434E-14</v>
      </c>
      <c r="CV121" s="13">
        <f t="shared" si="95"/>
        <v>6.9326303456159188E-13</v>
      </c>
      <c r="CW121" s="20">
        <f t="shared" si="67"/>
        <v>1.2800215959791691E-12</v>
      </c>
      <c r="CX121" s="59">
        <f t="shared" si="68"/>
        <v>293.33333333333462</v>
      </c>
      <c r="CY121" s="59">
        <f ca="1">AVERAGE(OFFSET($CX$3,0,0,'Données projet'!$E$13+1,1))-AVERAGE(OFFSET($H$3,0,0,'Données projet'!$E$13+1,1))</f>
        <v>178.12968684094687</v>
      </c>
      <c r="CZ121" s="59">
        <f t="shared" si="96"/>
        <v>219.36004077210373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0.67021404564894504</v>
      </c>
      <c r="DH121" s="21">
        <f>EXP(-LN(2)/2)*DH120+(1-EXP(-LN(2)/2))/(LN(2)/2)*DB121*DE121*VLOOKUP('Données projet'!$B$13,Paramètres!$A$1:$I$89,3,0)*0.475*44/12</f>
        <v>5.6374543633373419E-13</v>
      </c>
      <c r="DI121" s="22">
        <f t="shared" si="69"/>
        <v>0.67021404564950882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-8.5265128291212022E-14</v>
      </c>
      <c r="DP121" s="17">
        <f>DO121*VLOOKUP('Données projet'!$B$14,Paramètres!$A$1:$I$89,3,0)*VLOOKUP('Données projet'!$B$14,Paramètres!$A$1:$I$89,5,0)</f>
        <v>-7.7147888077888636E-14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225.28075317732998</v>
      </c>
      <c r="DU121" s="59">
        <f t="shared" si="98"/>
        <v>358.43407531256207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0.39269495199629489</v>
      </c>
      <c r="EB121" s="21">
        <f>EXP(-LN(2)/25)*EB120+(1-EXP(-LN(2)/25))/(LN(2)/25)*Calculateur!DW121*Calculateur!DY121*VLOOKUP('Données projet'!$B$14,Paramètres!$A$1:$I$89,3,0)*0.475*44/12</f>
        <v>0.72108741638793528</v>
      </c>
      <c r="EC121" s="21">
        <f>EXP(-LN(2)/2)*EC120+(1-EXP(-LN(2)/2))/(LN(2)/2)*DW121*DZ121*VLOOKUP('Données projet'!$B$14,Paramètres!$A$1:$I$89,3,0)*0.475*44/12</f>
        <v>2.5090805109866344E-13</v>
      </c>
      <c r="ED121" s="22">
        <f t="shared" si="72"/>
        <v>1.1137823683844812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7.1749999999999998</v>
      </c>
      <c r="EJ121" s="12">
        <f>IF('Données projet'!$A$192&gt;35,EJ120+EI121-ER120,IF(A121&lt;'Données projet'!$A$192,$EG$205^A121,IF(A121='Données projet'!$A$192,'Données projet'!$B$192,EJ120+EI121-ER120)))</f>
        <v>369.7076923076919</v>
      </c>
      <c r="EK121" s="17">
        <f>EJ121*VLOOKUP('Données projet'!$B$15,Paramètres!$A$1:$I$89,3,0)*VLOOKUP('Données projet'!$B$15,Paramètres!$A$1:$I$89,5,0)</f>
        <v>374.8835999999996</v>
      </c>
      <c r="EL121" s="13">
        <f t="shared" si="99"/>
        <v>86.665642462051338</v>
      </c>
      <c r="EM121" s="20">
        <f t="shared" si="73"/>
        <v>803.86493062140528</v>
      </c>
      <c r="EN121" s="59">
        <f t="shared" si="74"/>
        <v>1097.1982639547386</v>
      </c>
      <c r="EO121" s="59">
        <f ca="1">AVERAGE(OFFSET($EN$3,0,0,'Données projet'!$E$15+1,1))-AVERAGE(OFFSET($H$3,0,0,'Données projet'!$E$15+1,1))</f>
        <v>363.98308691765931</v>
      </c>
      <c r="EP121" s="59">
        <f t="shared" si="100"/>
        <v>181.47089407988187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7.1749999999999998</v>
      </c>
      <c r="FE121" s="12">
        <f>IF('Données projet'!$A$218&gt;35,FE120+FD121-FM120,IF(A121&lt;'Données projet'!$A$218,$FB$205^A121,IF(A121='Données projet'!$A$218,'Données projet'!$B$218,FE120+FD121-FM120)))</f>
        <v>369.7076923076919</v>
      </c>
      <c r="FF121" s="17">
        <f>FE121*VLOOKUP('Données projet'!$B$16,Paramètres!$A$1:$I$89,3,0)*VLOOKUP('Données projet'!$B$16,Paramètres!$A$1:$I$89,5,0)</f>
        <v>397.95335999999958</v>
      </c>
      <c r="FG121" s="13">
        <f t="shared" si="101"/>
        <v>91.361616575296466</v>
      </c>
      <c r="FH121" s="20">
        <f t="shared" si="76"/>
        <v>852.22358420197395</v>
      </c>
      <c r="FI121" s="59">
        <f t="shared" si="77"/>
        <v>1145.5569175353073</v>
      </c>
      <c r="FJ121" s="59">
        <f ca="1">AVERAGE(OFFSET($FI$3,0,0,'Données projet'!$E$16+1,1))-AVERAGE(OFFSET($H$3,0,0,'Données projet'!$E$16+1,1))</f>
        <v>395.30533160963489</v>
      </c>
      <c r="FK121" s="59">
        <f t="shared" si="102"/>
        <v>196.02102977695085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227.99999999999986</v>
      </c>
      <c r="GA121" s="17">
        <f>FZ121*VLOOKUP('Données projet'!$B$17,Paramètres!$A$1:$I$89,3,0)*VLOOKUP('Données projet'!$B$17,Paramètres!$A$1:$I$89,5,0)</f>
        <v>238.30559999999986</v>
      </c>
      <c r="GB121" s="13">
        <f t="shared" si="103"/>
        <v>58.074821878967043</v>
      </c>
      <c r="GC121" s="20">
        <f t="shared" si="79"/>
        <v>516.19590143920061</v>
      </c>
      <c r="GD121" s="59">
        <f t="shared" si="80"/>
        <v>809.52923477253398</v>
      </c>
      <c r="GE121" s="59">
        <f ca="1">AVERAGE(OFFSET($GD$3,0,0,'Données projet'!$E$17+1,1))-AVERAGE(OFFSET($H$3,0,0,'Données projet'!$E$17+1,1))</f>
        <v>269.41185214595805</v>
      </c>
      <c r="GF121" s="59">
        <f t="shared" si="104"/>
        <v>299.70148160580993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1.1099542473055437</v>
      </c>
      <c r="GM121" s="21">
        <f>EXP(-LN(2)/25)*GM120+(1-EXP(-LN(2)/25))/(LN(2)/25)*Calculateur!GH121*Calculateur!GJ121*VLOOKUP('Données projet'!$B$17,Paramètres!$A$1:$I$89,3,0)*0.475*44/12</f>
        <v>1.4142230116605725</v>
      </c>
      <c r="GN121" s="21">
        <f>EXP(-LN(2)/2)*GN120+(1-EXP(-LN(2)/2))/(LN(2)/2)*GH121*GK121*VLOOKUP('Données projet'!$B$17,Paramètres!$A$1:$I$89,3,0)*0.475*44/12</f>
        <v>1.0862020510181478E-12</v>
      </c>
      <c r="GO121" s="21">
        <f t="shared" si="81"/>
        <v>2.5241772589672022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5.6843418860808015E-14</v>
      </c>
      <c r="GV121" s="17">
        <f>GU121*VLOOKUP('Données projet'!$B$18,Paramètres!$A$1:$I$89,3,0)*VLOOKUP('Données projet'!$B$18,Paramètres!$A$1:$I$89,5,0)</f>
        <v>4.9658410716801891E-14</v>
      </c>
      <c r="GW121" s="13">
        <f t="shared" si="105"/>
        <v>8.0934058173791862E-13</v>
      </c>
      <c r="GX121" s="20">
        <f t="shared" si="82"/>
        <v>1.4960899118586383E-12</v>
      </c>
      <c r="GY121" s="59">
        <f t="shared" si="83"/>
        <v>293.33333333333479</v>
      </c>
      <c r="GZ121" s="59">
        <f ca="1">AVERAGE(OFFSET($GY$3,0,0,'Données projet'!$E$18+1,1))-AVERAGE(OFFSET($H$3,0,0,'Données projet'!$E$18+1,1))</f>
        <v>226.35975611953359</v>
      </c>
      <c r="HA121" s="59">
        <f t="shared" si="106"/>
        <v>271.65876694892461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0.98426288346663493</v>
      </c>
      <c r="HI121" s="21">
        <f>EXP(-LN(2)/2)*HI120+(1-EXP(-LN(2)/2))/(LN(2)/2)*HC121*HF121*VLOOKUP('Données projet'!$B$18,Paramètres!$A$1:$I$89,3,0)*0.475*44/12</f>
        <v>6.7169669009976824E-13</v>
      </c>
      <c r="HJ121" s="22">
        <f t="shared" si="84"/>
        <v>0.98426288346730662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7.1749999999999998</v>
      </c>
      <c r="N122" s="13">
        <f>IF('Données projet'!$A$36&gt;35,N121+M122-V121,IF(A122&lt;'Données projet'!$A$36,$K$205^A122,IF(A122='Données projet'!$A$36,'Données projet'!$B$36,N121+M122-V121)))</f>
        <v>376.88269230769191</v>
      </c>
      <c r="O122" s="13">
        <f>N122*VLOOKUP('Données projet'!$B$9,Paramètres!$A$1:$I$89,3,0)*VLOOKUP('Données projet'!$B$9,Paramètres!$A$1:$I$89,5,0)</f>
        <v>341.00345999999962</v>
      </c>
      <c r="P122" s="13">
        <f t="shared" si="87"/>
        <v>79.707232038800896</v>
      </c>
      <c r="Q122" s="20">
        <f t="shared" si="107"/>
        <v>732.73778863424411</v>
      </c>
      <c r="R122" s="59">
        <f t="shared" si="55"/>
        <v>1026.0711219675775</v>
      </c>
      <c r="S122" s="59">
        <f ca="1">AVERAGE(OFFSET($R$3,0,0,'Données projet'!$E$9+1,1))-AVERAGE(OFFSET($H$3,0,0,'Données projet'!$E$9+1,1))</f>
        <v>309.07357540707869</v>
      </c>
      <c r="T122" s="59">
        <f t="shared" si="88"/>
        <v>155.9593924683299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227.99999999999986</v>
      </c>
      <c r="AJ122" s="13">
        <f>AI122*VLOOKUP('Données projet'!$B$10,Paramètres!$A$1:$I$89,3,0)*VLOOKUP('Données projet'!$B$10,Paramètres!$A$1:$I$89,5,0)</f>
        <v>199.18079999999992</v>
      </c>
      <c r="AK122" s="13">
        <f t="shared" si="89"/>
        <v>49.564089376413683</v>
      </c>
      <c r="AL122" s="20">
        <f t="shared" si="58"/>
        <v>433.23068233058694</v>
      </c>
      <c r="AM122" s="59">
        <f t="shared" si="59"/>
        <v>726.56401566392026</v>
      </c>
      <c r="AN122" s="59">
        <f ca="1">AVERAGE(OFFSET($AM$3,0,0,'Données projet'!$E$10+1,1))-AVERAGE(OFFSET($H$3,0,0,'Données projet'!$E$10+1,1))</f>
        <v>210.07838338464626</v>
      </c>
      <c r="AO122" s="59">
        <f t="shared" si="90"/>
        <v>241.76003724236273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0.90953087171914837</v>
      </c>
      <c r="AV122" s="21">
        <f>EXP(-LN(2)/25)*AV121+(1-EXP(-LN(2)/25))/(LN(2)/25)*Calculateur!AQ122*Calculateur!AS122*VLOOKUP('Données projet'!$B$10,Paramètres!$A$1:$I$89,3,0)*0.475*44/12</f>
        <v>1.149714276209159</v>
      </c>
      <c r="AW122" s="21">
        <f>EXP(-LN(2)/2)*AW121+(1-EXP(-LN(2)/2))/(LN(2)/2)*AQ122*AT122*VLOOKUP('Données projet'!$B$10,Paramètres!$A$1:$I$89,3,0)*0.475*44/12</f>
        <v>6.4196129577262246E-13</v>
      </c>
      <c r="AX122" s="21">
        <f t="shared" si="60"/>
        <v>2.0592451479289497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2.2737367544323206E-13</v>
      </c>
      <c r="BE122" s="13">
        <f>BD122*VLOOKUP('Données projet'!$B$11,Paramètres!$A$1:$I$89,3,0)*VLOOKUP('Données projet'!$B$11,Paramètres!$A$1:$I$89,5,0)</f>
        <v>1.2414602679200471E-13</v>
      </c>
      <c r="BF122" s="13">
        <f t="shared" si="91"/>
        <v>1.8186582995804361E-12</v>
      </c>
      <c r="BG122" s="20">
        <f t="shared" si="61"/>
        <v>3.3837175350986671E-12</v>
      </c>
      <c r="BH122" s="59">
        <f t="shared" si="62"/>
        <v>293.33333333333672</v>
      </c>
      <c r="BI122" s="59">
        <f ca="1">AVERAGE(OFFSET($BH$3,0,0,'Données projet'!$E$11+1,1))-AVERAGE(OFFSET($H$3,0,0,'Données projet'!$E$11+1,1))</f>
        <v>168.72306536277267</v>
      </c>
      <c r="BJ122" s="59">
        <f t="shared" si="92"/>
        <v>203.35476578922339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0.52202826081932041</v>
      </c>
      <c r="BQ122" s="21">
        <f>EXP(-LN(2)/25)*BQ121+(1-EXP(-LN(2)/25))/(LN(2)/25)*Calculateur!BL122*Calculateur!BN122*VLOOKUP('Données projet'!$B$11,Paramètres!$A$1:$I$89,3,0)*0.475*44/12</f>
        <v>1.9488487310192464</v>
      </c>
      <c r="BR122" s="21">
        <f>EXP(-LN(2)/2)*BR121+(1-EXP(-LN(2)/2))/(LN(2)/2)*BL122*BO122*VLOOKUP('Données projet'!$B$11,Paramètres!$A$1:$I$89,3,0)*0.475*44/12</f>
        <v>8.0484583872468327E-13</v>
      </c>
      <c r="BS122" s="22">
        <f t="shared" si="63"/>
        <v>2.4708769918393716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3.4106051316484809E-13</v>
      </c>
      <c r="BZ122" s="13">
        <f>BY122*VLOOKUP('Données projet'!$B$12,Paramètres!$A$1:$I$89,3,0)*VLOOKUP('Données projet'!$B$12,Paramètres!$A$1:$I$89,5,0)</f>
        <v>1.5961632016114892E-13</v>
      </c>
      <c r="CA122" s="13">
        <f t="shared" si="93"/>
        <v>2.2708641912150958E-12</v>
      </c>
      <c r="CB122" s="20">
        <f t="shared" si="64"/>
        <v>4.2330868906469593E-12</v>
      </c>
      <c r="CC122" s="59">
        <f t="shared" si="65"/>
        <v>293.33333333333752</v>
      </c>
      <c r="CD122" s="59">
        <f ca="1">AVERAGE(OFFSET($CC$3,0,0,'Données projet'!$E$12+1,1))-AVERAGE(OFFSET($H$3,0,0,'Données projet'!$E$12+1,1))</f>
        <v>158.58786357608489</v>
      </c>
      <c r="CE122" s="59">
        <f t="shared" si="94"/>
        <v>163.20074068819849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4.1677594708744434E-14</v>
      </c>
      <c r="CV122" s="13">
        <f t="shared" si="95"/>
        <v>6.9326303456159188E-13</v>
      </c>
      <c r="CW122" s="20">
        <f t="shared" si="67"/>
        <v>1.2800215959791691E-12</v>
      </c>
      <c r="CX122" s="59">
        <f t="shared" si="68"/>
        <v>293.33333333333462</v>
      </c>
      <c r="CY122" s="59">
        <f ca="1">AVERAGE(OFFSET($CX$3,0,0,'Données projet'!$E$13+1,1))-AVERAGE(OFFSET($H$3,0,0,'Données projet'!$E$13+1,1))</f>
        <v>178.12968684094687</v>
      </c>
      <c r="CZ122" s="59">
        <f t="shared" si="96"/>
        <v>219.36004077210373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0.65188700732564975</v>
      </c>
      <c r="DH122" s="21">
        <f>EXP(-LN(2)/2)*DH121+(1-EXP(-LN(2)/2))/(LN(2)/2)*DB122*DE122*VLOOKUP('Données projet'!$B$13,Paramètres!$A$1:$I$89,3,0)*0.475*44/12</f>
        <v>3.9862822089455255E-13</v>
      </c>
      <c r="DI122" s="22">
        <f t="shared" si="69"/>
        <v>0.65188700732604843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-8.5265128291212022E-14</v>
      </c>
      <c r="DP122" s="17">
        <f>DO122*VLOOKUP('Données projet'!$B$14,Paramètres!$A$1:$I$89,3,0)*VLOOKUP('Données projet'!$B$14,Paramètres!$A$1:$I$89,5,0)</f>
        <v>-7.7147888077888636E-14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225.28075317732998</v>
      </c>
      <c r="DU122" s="59">
        <f t="shared" si="98"/>
        <v>358.43407531256207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0.38499444350791762</v>
      </c>
      <c r="EB122" s="21">
        <f>EXP(-LN(2)/25)*EB121+(1-EXP(-LN(2)/25))/(LN(2)/25)*Calculateur!DW122*Calculateur!DY122*VLOOKUP('Données projet'!$B$14,Paramètres!$A$1:$I$89,3,0)*0.475*44/12</f>
        <v>0.70136924306646797</v>
      </c>
      <c r="EC122" s="21">
        <f>EXP(-LN(2)/2)*EC121+(1-EXP(-LN(2)/2))/(LN(2)/2)*DW122*DZ122*VLOOKUP('Données projet'!$B$14,Paramètres!$A$1:$I$89,3,0)*0.475*44/12</f>
        <v>1.774187843861657E-13</v>
      </c>
      <c r="ED122" s="22">
        <f t="shared" si="72"/>
        <v>1.0863636865745629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7.1749999999999998</v>
      </c>
      <c r="EJ122" s="12">
        <f>IF('Données projet'!$A$192&gt;35,EJ121+EI122-ER121,IF(A122&lt;'Données projet'!$A$192,$EG$205^A122,IF(A122='Données projet'!$A$192,'Données projet'!$B$192,EJ121+EI122-ER121)))</f>
        <v>376.88269230769191</v>
      </c>
      <c r="EK122" s="17">
        <f>EJ122*VLOOKUP('Données projet'!$B$15,Paramètres!$A$1:$I$89,3,0)*VLOOKUP('Données projet'!$B$15,Paramètres!$A$1:$I$89,5,0)</f>
        <v>382.15904999999958</v>
      </c>
      <c r="EL122" s="13">
        <f t="shared" si="99"/>
        <v>88.150137616311767</v>
      </c>
      <c r="EM122" s="20">
        <f t="shared" si="73"/>
        <v>819.12183509840895</v>
      </c>
      <c r="EN122" s="59">
        <f t="shared" si="74"/>
        <v>1112.4551684317423</v>
      </c>
      <c r="EO122" s="59">
        <f ca="1">AVERAGE(OFFSET($EN$3,0,0,'Données projet'!$E$15+1,1))-AVERAGE(OFFSET($H$3,0,0,'Données projet'!$E$15+1,1))</f>
        <v>363.98308691765931</v>
      </c>
      <c r="EP122" s="59">
        <f t="shared" si="100"/>
        <v>181.47089407988187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7.1749999999999998</v>
      </c>
      <c r="FE122" s="12">
        <f>IF('Données projet'!$A$218&gt;35,FE121+FD122-FM121,IF(A122&lt;'Données projet'!$A$218,$FB$205^A122,IF(A122='Données projet'!$A$218,'Données projet'!$B$218,FE121+FD122-FM121)))</f>
        <v>376.88269230769191</v>
      </c>
      <c r="FF122" s="17">
        <f>FE122*VLOOKUP('Données projet'!$B$16,Paramètres!$A$1:$I$89,3,0)*VLOOKUP('Données projet'!$B$16,Paramètres!$A$1:$I$89,5,0)</f>
        <v>405.6765299999995</v>
      </c>
      <c r="FG122" s="13">
        <f t="shared" si="101"/>
        <v>92.926549035709641</v>
      </c>
      <c r="FH122" s="20">
        <f t="shared" si="76"/>
        <v>868.40036265386004</v>
      </c>
      <c r="FI122" s="59">
        <f t="shared" si="77"/>
        <v>1161.7336959871934</v>
      </c>
      <c r="FJ122" s="59">
        <f ca="1">AVERAGE(OFFSET($FI$3,0,0,'Données projet'!$E$16+1,1))-AVERAGE(OFFSET($H$3,0,0,'Données projet'!$E$16+1,1))</f>
        <v>395.30533160963489</v>
      </c>
      <c r="FK122" s="59">
        <f t="shared" si="102"/>
        <v>196.02102977695085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227.99999999999986</v>
      </c>
      <c r="GA122" s="17">
        <f>FZ122*VLOOKUP('Données projet'!$B$17,Paramètres!$A$1:$I$89,3,0)*VLOOKUP('Données projet'!$B$17,Paramètres!$A$1:$I$89,5,0)</f>
        <v>238.30559999999986</v>
      </c>
      <c r="GB122" s="13">
        <f t="shared" si="103"/>
        <v>58.074821878967043</v>
      </c>
      <c r="GC122" s="20">
        <f t="shared" si="79"/>
        <v>516.19590143920061</v>
      </c>
      <c r="GD122" s="59">
        <f t="shared" si="80"/>
        <v>809.52923477253398</v>
      </c>
      <c r="GE122" s="59">
        <f ca="1">AVERAGE(OFFSET($GD$3,0,0,'Données projet'!$E$17+1,1))-AVERAGE(OFFSET($H$3,0,0,'Données projet'!$E$17+1,1))</f>
        <v>269.41185214595805</v>
      </c>
      <c r="GF122" s="59">
        <f t="shared" si="104"/>
        <v>299.70148160580993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1.0881887215211241</v>
      </c>
      <c r="GM122" s="21">
        <f>EXP(-LN(2)/25)*GM121+(1-EXP(-LN(2)/25))/(LN(2)/25)*Calculateur!GH122*Calculateur!GJ122*VLOOKUP('Données projet'!$B$17,Paramètres!$A$1:$I$89,3,0)*0.475*44/12</f>
        <v>1.3755510090359582</v>
      </c>
      <c r="GN122" s="21">
        <f>EXP(-LN(2)/2)*GN121+(1-EXP(-LN(2)/2))/(LN(2)/2)*GH122*GK122*VLOOKUP('Données projet'!$B$17,Paramètres!$A$1:$I$89,3,0)*0.475*44/12</f>
        <v>7.6806083601366856E-13</v>
      </c>
      <c r="GO122" s="21">
        <f t="shared" si="81"/>
        <v>2.4637397305578506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5.6843418860808015E-14</v>
      </c>
      <c r="GV122" s="17">
        <f>GU122*VLOOKUP('Données projet'!$B$18,Paramètres!$A$1:$I$89,3,0)*VLOOKUP('Données projet'!$B$18,Paramètres!$A$1:$I$89,5,0)</f>
        <v>4.9658410716801891E-14</v>
      </c>
      <c r="GW122" s="13">
        <f t="shared" si="105"/>
        <v>8.0934058173791862E-13</v>
      </c>
      <c r="GX122" s="20">
        <f t="shared" si="82"/>
        <v>1.4960899118586383E-12</v>
      </c>
      <c r="GY122" s="59">
        <f t="shared" si="83"/>
        <v>293.33333333333479</v>
      </c>
      <c r="GZ122" s="59">
        <f ca="1">AVERAGE(OFFSET($GY$3,0,0,'Données projet'!$E$18+1,1))-AVERAGE(OFFSET($H$3,0,0,'Données projet'!$E$18+1,1))</f>
        <v>226.35975611953359</v>
      </c>
      <c r="HA122" s="59">
        <f t="shared" si="106"/>
        <v>271.65876694892461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0.95734816315810434</v>
      </c>
      <c r="HI122" s="21">
        <f>EXP(-LN(2)/2)*HI121+(1-EXP(-LN(2)/2))/(LN(2)/2)*HC122*HF122*VLOOKUP('Données projet'!$B$18,Paramètres!$A$1:$I$89,3,0)*0.475*44/12</f>
        <v>4.7496128447010503E-13</v>
      </c>
      <c r="HJ122" s="22">
        <f t="shared" si="84"/>
        <v>0.95734816315857929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384.05769230769226</v>
      </c>
      <c r="L123" s="12">
        <f>VLOOKUP(A123,'Données projet'!$A$35:$I$55,9,0)</f>
        <v>7.1749999999999998</v>
      </c>
      <c r="M123" s="12">
        <f t="array" ref="M123">INDEX(L:L,MIN(IF(ISNUMBER(L123:L319),ROW(L123:L319),"")))</f>
        <v>7.1749999999999998</v>
      </c>
      <c r="N123" s="13">
        <f>IF('Données projet'!$A$36&gt;35,N122+M123-V122,IF(A123&lt;'Données projet'!$A$36,$K$205^A123,IF(A123='Données projet'!$A$36,'Données projet'!$B$36,N122+M123-V122)))</f>
        <v>384.05769230769192</v>
      </c>
      <c r="O123" s="13">
        <f>N123*VLOOKUP('Données projet'!$B$9,Paramètres!$A$1:$I$89,3,0)*VLOOKUP('Données projet'!$B$9,Paramètres!$A$1:$I$89,5,0)</f>
        <v>347.49539999999962</v>
      </c>
      <c r="P123" s="13">
        <f t="shared" si="87"/>
        <v>81.046572724377867</v>
      </c>
      <c r="Q123" s="20">
        <f t="shared" si="107"/>
        <v>746.3772691616241</v>
      </c>
      <c r="R123" s="59">
        <f t="shared" si="55"/>
        <v>1039.7106024949574</v>
      </c>
      <c r="S123" s="59">
        <f ca="1">AVERAGE(OFFSET($R$3,0,0,'Données projet'!$E$9+1,1))-AVERAGE(OFFSET($H$3,0,0,'Données projet'!$E$9+1,1))</f>
        <v>309.07357540707869</v>
      </c>
      <c r="T123" s="59">
        <f t="shared" si="88"/>
        <v>155.9593924683299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44.929487179487182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227.99999999999986</v>
      </c>
      <c r="AJ123" s="13">
        <f>AI123*VLOOKUP('Données projet'!$B$10,Paramètres!$A$1:$I$89,3,0)*VLOOKUP('Données projet'!$B$10,Paramètres!$A$1:$I$89,5,0)</f>
        <v>199.18079999999992</v>
      </c>
      <c r="AK123" s="13">
        <f t="shared" si="89"/>
        <v>49.564089376413683</v>
      </c>
      <c r="AL123" s="20">
        <f t="shared" si="58"/>
        <v>433.23068233058694</v>
      </c>
      <c r="AM123" s="59">
        <f t="shared" si="59"/>
        <v>726.56401566392026</v>
      </c>
      <c r="AN123" s="59">
        <f ca="1">AVERAGE(OFFSET($AM$3,0,0,'Données projet'!$E$10+1,1))-AVERAGE(OFFSET($H$3,0,0,'Données projet'!$E$10+1,1))</f>
        <v>210.07838338464626</v>
      </c>
      <c r="AO123" s="59">
        <f t="shared" si="90"/>
        <v>241.76003724236273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0.89169552608378966</v>
      </c>
      <c r="AV123" s="21">
        <f>EXP(-LN(2)/25)*AV122+(1-EXP(-LN(2)/25))/(LN(2)/25)*Calculateur!AQ123*Calculateur!AS123*VLOOKUP('Données projet'!$B$10,Paramètres!$A$1:$I$89,3,0)*0.475*44/12</f>
        <v>1.1182752788653734</v>
      </c>
      <c r="AW123" s="21">
        <f>EXP(-LN(2)/2)*AW122+(1-EXP(-LN(2)/2))/(LN(2)/2)*AQ123*AT123*VLOOKUP('Données projet'!$B$10,Paramètres!$A$1:$I$89,3,0)*0.475*44/12</f>
        <v>4.5393518550012429E-13</v>
      </c>
      <c r="AX123" s="21">
        <f t="shared" si="60"/>
        <v>2.0099708049496168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2.2737367544323206E-13</v>
      </c>
      <c r="BE123" s="13">
        <f>BD123*VLOOKUP('Données projet'!$B$11,Paramètres!$A$1:$I$89,3,0)*VLOOKUP('Données projet'!$B$11,Paramètres!$A$1:$I$89,5,0)</f>
        <v>1.2414602679200471E-13</v>
      </c>
      <c r="BF123" s="13">
        <f t="shared" si="91"/>
        <v>1.8186582995804361E-12</v>
      </c>
      <c r="BG123" s="20">
        <f t="shared" si="61"/>
        <v>3.3837175350986671E-12</v>
      </c>
      <c r="BH123" s="59">
        <f t="shared" si="62"/>
        <v>293.33333333333672</v>
      </c>
      <c r="BI123" s="59">
        <f ca="1">AVERAGE(OFFSET($BH$3,0,0,'Données projet'!$E$11+1,1))-AVERAGE(OFFSET($H$3,0,0,'Données projet'!$E$11+1,1))</f>
        <v>168.72306536277267</v>
      </c>
      <c r="BJ123" s="59">
        <f t="shared" si="92"/>
        <v>203.35476578922339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0.51179160503045262</v>
      </c>
      <c r="BQ123" s="21">
        <f>EXP(-LN(2)/25)*BQ122+(1-EXP(-LN(2)/25))/(LN(2)/25)*Calculateur!BL123*Calculateur!BN123*VLOOKUP('Données projet'!$B$11,Paramètres!$A$1:$I$89,3,0)*0.475*44/12</f>
        <v>1.8955573599840245</v>
      </c>
      <c r="BR123" s="21">
        <f>EXP(-LN(2)/2)*BR122+(1-EXP(-LN(2)/2))/(LN(2)/2)*BL123*BO123*VLOOKUP('Données projet'!$B$11,Paramètres!$A$1:$I$89,3,0)*0.475*44/12</f>
        <v>5.6911195037199792E-13</v>
      </c>
      <c r="BS123" s="22">
        <f t="shared" si="63"/>
        <v>2.4073489650150464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3.4106051316484809E-13</v>
      </c>
      <c r="BZ123" s="13">
        <f>BY123*VLOOKUP('Données projet'!$B$12,Paramètres!$A$1:$I$89,3,0)*VLOOKUP('Données projet'!$B$12,Paramètres!$A$1:$I$89,5,0)</f>
        <v>1.5961632016114892E-13</v>
      </c>
      <c r="CA123" s="13">
        <f t="shared" si="93"/>
        <v>2.2708641912150958E-12</v>
      </c>
      <c r="CB123" s="20">
        <f t="shared" si="64"/>
        <v>4.2330868906469593E-12</v>
      </c>
      <c r="CC123" s="59">
        <f t="shared" si="65"/>
        <v>293.33333333333752</v>
      </c>
      <c r="CD123" s="59">
        <f ca="1">AVERAGE(OFFSET($CC$3,0,0,'Données projet'!$E$12+1,1))-AVERAGE(OFFSET($H$3,0,0,'Données projet'!$E$12+1,1))</f>
        <v>158.58786357608489</v>
      </c>
      <c r="CE123" s="59">
        <f t="shared" si="94"/>
        <v>163.20074068819849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4.1677594708744434E-14</v>
      </c>
      <c r="CV123" s="13">
        <f t="shared" si="95"/>
        <v>6.9326303456159188E-13</v>
      </c>
      <c r="CW123" s="20">
        <f t="shared" si="67"/>
        <v>1.2800215959791691E-12</v>
      </c>
      <c r="CX123" s="59">
        <f t="shared" si="68"/>
        <v>293.33333333333462</v>
      </c>
      <c r="CY123" s="59">
        <f ca="1">AVERAGE(OFFSET($CX$3,0,0,'Données projet'!$E$13+1,1))-AVERAGE(OFFSET($H$3,0,0,'Données projet'!$E$13+1,1))</f>
        <v>178.12968684094687</v>
      </c>
      <c r="CZ123" s="59">
        <f t="shared" si="96"/>
        <v>219.36004077210373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0.634061122829082</v>
      </c>
      <c r="DH123" s="21">
        <f>EXP(-LN(2)/2)*DH122+(1-EXP(-LN(2)/2))/(LN(2)/2)*DB123*DE123*VLOOKUP('Données projet'!$B$13,Paramètres!$A$1:$I$89,3,0)*0.475*44/12</f>
        <v>2.818727181668671E-13</v>
      </c>
      <c r="DI123" s="22">
        <f t="shared" si="69"/>
        <v>0.63406112282936389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-8.5265128291212022E-14</v>
      </c>
      <c r="DP123" s="17">
        <f>DO123*VLOOKUP('Données projet'!$B$14,Paramètres!$A$1:$I$89,3,0)*VLOOKUP('Données projet'!$B$14,Paramètres!$A$1:$I$89,5,0)</f>
        <v>-7.7147888077888636E-14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225.28075317732998</v>
      </c>
      <c r="DU123" s="59">
        <f t="shared" si="98"/>
        <v>358.43407531256207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0.37744493729415102</v>
      </c>
      <c r="EB123" s="21">
        <f>EXP(-LN(2)/25)*EB122+(1-EXP(-LN(2)/25))/(LN(2)/25)*Calculateur!DW123*Calculateur!DY123*VLOOKUP('Données projet'!$B$14,Paramètres!$A$1:$I$89,3,0)*0.475*44/12</f>
        <v>0.68219026423140994</v>
      </c>
      <c r="EC123" s="21">
        <f>EXP(-LN(2)/2)*EC122+(1-EXP(-LN(2)/2))/(LN(2)/2)*DW123*DZ123*VLOOKUP('Données projet'!$B$14,Paramètres!$A$1:$I$89,3,0)*0.475*44/12</f>
        <v>1.2545402554933172E-13</v>
      </c>
      <c r="ED123" s="22">
        <f t="shared" si="72"/>
        <v>1.0596352015256865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384.05769230769226</v>
      </c>
      <c r="EH123" s="12">
        <f>VLOOKUP(A123,'Données projet'!$A$191:$I$211,9,0)</f>
        <v>7.1749999999999998</v>
      </c>
      <c r="EI123" s="12">
        <f t="array" ref="EI123">INDEX(EH:EH,MIN(IF(ISNUMBER(EH123:EH319),ROW(EH123:EH319),"")))</f>
        <v>7.1749999999999998</v>
      </c>
      <c r="EJ123" s="12">
        <f>IF('Données projet'!$A$192&gt;35,EJ122+EI123-ER122,IF(A123&lt;'Données projet'!$A$192,$EG$205^A123,IF(A123='Données projet'!$A$192,'Données projet'!$B$192,EJ122+EI123-ER122)))</f>
        <v>384.05769230769192</v>
      </c>
      <c r="EK123" s="17">
        <f>EJ123*VLOOKUP('Données projet'!$B$15,Paramètres!$A$1:$I$89,3,0)*VLOOKUP('Données projet'!$B$15,Paramètres!$A$1:$I$89,5,0)</f>
        <v>389.43449999999962</v>
      </c>
      <c r="EL123" s="13">
        <f t="shared" si="99"/>
        <v>89.631346569738511</v>
      </c>
      <c r="EM123" s="20">
        <f t="shared" si="73"/>
        <v>834.37301610896054</v>
      </c>
      <c r="EN123" s="59">
        <f t="shared" si="74"/>
        <v>1127.7063494422939</v>
      </c>
      <c r="EO123" s="59">
        <f ca="1">AVERAGE(OFFSET($EN$3,0,0,'Données projet'!$E$15+1,1))-AVERAGE(OFFSET($H$3,0,0,'Données projet'!$E$15+1,1))</f>
        <v>363.98308691765931</v>
      </c>
      <c r="EP123" s="59">
        <f t="shared" si="100"/>
        <v>181.47089407988187</v>
      </c>
      <c r="EQ123" s="15">
        <f>IF(ISNA(VLOOKUP(A123,'Données projet'!$A$191:$I$211,3,0)),0,VLOOKUP(A123,'Données projet'!$A$191:$I$211,3,0))</f>
        <v>11</v>
      </c>
      <c r="ER123" s="15">
        <f>IF(ISNA(VLOOKUP(A123,'Données projet'!$A$191:$I$211,4,0)),0,VLOOKUP(A123,'Données projet'!$A$191:$I$211,4,0))</f>
        <v>44.929487179487182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384.05769230769226</v>
      </c>
      <c r="FC123" s="12">
        <f>VLOOKUP(A123,'Données projet'!$A$217:$I$237,9,0)</f>
        <v>7.1749999999999998</v>
      </c>
      <c r="FD123" s="12">
        <f t="array" ref="FD123">INDEX(FC:FC,MIN(IF(ISNUMBER(FC123:FC319),ROW(FC123:FC319),"")))</f>
        <v>7.1749999999999998</v>
      </c>
      <c r="FE123" s="12">
        <f>IF('Données projet'!$A$218&gt;35,FE122+FD123-FM122,IF(A123&lt;'Données projet'!$A$218,$FB$205^A123,IF(A123='Données projet'!$A$218,'Données projet'!$B$218,FE122+FD123-FM122)))</f>
        <v>384.05769230769192</v>
      </c>
      <c r="FF123" s="17">
        <f>FE123*VLOOKUP('Données projet'!$B$16,Paramètres!$A$1:$I$89,3,0)*VLOOKUP('Données projet'!$B$16,Paramètres!$A$1:$I$89,5,0)</f>
        <v>413.39969999999954</v>
      </c>
      <c r="FG123" s="13">
        <f t="shared" si="101"/>
        <v>94.488017232638157</v>
      </c>
      <c r="FH123" s="20">
        <f t="shared" si="76"/>
        <v>884.57110751351047</v>
      </c>
      <c r="FI123" s="59">
        <f t="shared" si="77"/>
        <v>1177.9044408468437</v>
      </c>
      <c r="FJ123" s="59">
        <f ca="1">AVERAGE(OFFSET($FI$3,0,0,'Données projet'!$E$16+1,1))-AVERAGE(OFFSET($H$3,0,0,'Données projet'!$E$16+1,1))</f>
        <v>395.30533160963489</v>
      </c>
      <c r="FK123" s="59">
        <f t="shared" si="102"/>
        <v>196.02102977695085</v>
      </c>
      <c r="FL123" s="15">
        <f>IF(ISNA(VLOOKUP(A123,'Données projet'!$A$217:$I$237,3,0)),0,VLOOKUP(A123,'Données projet'!$A$217:$I$237,3,0))</f>
        <v>11</v>
      </c>
      <c r="FM123" s="15">
        <f>IF(ISNA(VLOOKUP(A123,'Données projet'!$A$217:$I$237,4,0)),0,VLOOKUP(A123,'Données projet'!$A$217:$I$237,4,0))</f>
        <v>44.929487179487182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227.99999999999986</v>
      </c>
      <c r="GA123" s="17">
        <f>FZ123*VLOOKUP('Données projet'!$B$17,Paramètres!$A$1:$I$89,3,0)*VLOOKUP('Données projet'!$B$17,Paramètres!$A$1:$I$89,5,0)</f>
        <v>238.30559999999986</v>
      </c>
      <c r="GB123" s="13">
        <f t="shared" si="103"/>
        <v>58.074821878967043</v>
      </c>
      <c r="GC123" s="20">
        <f t="shared" si="79"/>
        <v>516.19590143920061</v>
      </c>
      <c r="GD123" s="59">
        <f t="shared" si="80"/>
        <v>809.52923477253398</v>
      </c>
      <c r="GE123" s="59">
        <f ca="1">AVERAGE(OFFSET($GD$3,0,0,'Données projet'!$E$17+1,1))-AVERAGE(OFFSET($H$3,0,0,'Données projet'!$E$17+1,1))</f>
        <v>269.41185214595805</v>
      </c>
      <c r="GF123" s="59">
        <f t="shared" si="104"/>
        <v>299.70148160580993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1.0668500044216771</v>
      </c>
      <c r="GM123" s="21">
        <f>EXP(-LN(2)/25)*GM122+(1-EXP(-LN(2)/25))/(LN(2)/25)*Calculateur!GH123*Calculateur!GJ123*VLOOKUP('Données projet'!$B$17,Paramètres!$A$1:$I$89,3,0)*0.475*44/12</f>
        <v>1.3379364943567862</v>
      </c>
      <c r="GN123" s="21">
        <f>EXP(-LN(2)/2)*GN122+(1-EXP(-LN(2)/2))/(LN(2)/2)*GH123*GK123*VLOOKUP('Données projet'!$B$17,Paramètres!$A$1:$I$89,3,0)*0.475*44/12</f>
        <v>5.4310102550907389E-13</v>
      </c>
      <c r="GO123" s="21">
        <f t="shared" si="81"/>
        <v>2.4047864987790066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5.6843418860808015E-14</v>
      </c>
      <c r="GV123" s="17">
        <f>GU123*VLOOKUP('Données projet'!$B$18,Paramètres!$A$1:$I$89,3,0)*VLOOKUP('Données projet'!$B$18,Paramètres!$A$1:$I$89,5,0)</f>
        <v>4.9658410716801891E-14</v>
      </c>
      <c r="GW123" s="13">
        <f t="shared" si="105"/>
        <v>8.0934058173791862E-13</v>
      </c>
      <c r="GX123" s="20">
        <f t="shared" si="82"/>
        <v>1.4960899118586383E-12</v>
      </c>
      <c r="GY123" s="59">
        <f t="shared" si="83"/>
        <v>293.33333333333479</v>
      </c>
      <c r="GZ123" s="59">
        <f ca="1">AVERAGE(OFFSET($GY$3,0,0,'Données projet'!$E$18+1,1))-AVERAGE(OFFSET($H$3,0,0,'Données projet'!$E$18+1,1))</f>
        <v>226.35975611953359</v>
      </c>
      <c r="HA123" s="59">
        <f t="shared" si="106"/>
        <v>271.65876694892461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0.93116942729179408</v>
      </c>
      <c r="HI123" s="21">
        <f>EXP(-LN(2)/2)*HI122+(1-EXP(-LN(2)/2))/(LN(2)/2)*HC123*HF123*VLOOKUP('Données projet'!$B$18,Paramètres!$A$1:$I$89,3,0)*0.475*44/12</f>
        <v>3.3584834504988412E-13</v>
      </c>
      <c r="HJ123" s="22">
        <f t="shared" si="84"/>
        <v>0.93116942729212993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7.1730769230769287</v>
      </c>
      <c r="N124" s="13">
        <f>IF('Données projet'!$A$36&gt;35,N123+M124-V123,IF(A124&lt;'Données projet'!$A$36,$K$205^A124,IF(A124='Données projet'!$A$36,'Données projet'!$B$36,N123+M124-V123)))</f>
        <v>346.30128205128165</v>
      </c>
      <c r="O124" s="13">
        <f>N124*VLOOKUP('Données projet'!$B$9,Paramètres!$A$1:$I$89,3,0)*VLOOKUP('Données projet'!$B$9,Paramètres!$A$1:$I$89,5,0)</f>
        <v>313.33339999999964</v>
      </c>
      <c r="P124" s="13">
        <f t="shared" si="87"/>
        <v>73.964542836466293</v>
      </c>
      <c r="Q124" s="20">
        <f t="shared" si="107"/>
        <v>674.5439171068449</v>
      </c>
      <c r="R124" s="59">
        <f t="shared" si="55"/>
        <v>967.87725044017816</v>
      </c>
      <c r="S124" s="59">
        <f ca="1">AVERAGE(OFFSET($R$3,0,0,'Données projet'!$E$9+1,1))-AVERAGE(OFFSET($H$3,0,0,'Données projet'!$E$9+1,1))</f>
        <v>309.07357540707869</v>
      </c>
      <c r="T124" s="59">
        <f t="shared" si="88"/>
        <v>155.9593924683299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227.99999999999986</v>
      </c>
      <c r="AJ124" s="13">
        <f>AI124*VLOOKUP('Données projet'!$B$10,Paramètres!$A$1:$I$89,3,0)*VLOOKUP('Données projet'!$B$10,Paramètres!$A$1:$I$89,5,0)</f>
        <v>199.18079999999992</v>
      </c>
      <c r="AK124" s="13">
        <f t="shared" si="89"/>
        <v>49.564089376413683</v>
      </c>
      <c r="AL124" s="20">
        <f t="shared" si="58"/>
        <v>433.23068233058694</v>
      </c>
      <c r="AM124" s="59">
        <f t="shared" si="59"/>
        <v>726.56401566392026</v>
      </c>
      <c r="AN124" s="59">
        <f ca="1">AVERAGE(OFFSET($AM$3,0,0,'Données projet'!$E$10+1,1))-AVERAGE(OFFSET($H$3,0,0,'Données projet'!$E$10+1,1))</f>
        <v>210.07838338464626</v>
      </c>
      <c r="AO124" s="59">
        <f t="shared" si="90"/>
        <v>241.76003724236273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0.87420992069785375</v>
      </c>
      <c r="AV124" s="21">
        <f>EXP(-LN(2)/25)*AV123+(1-EXP(-LN(2)/25))/(LN(2)/25)*Calculateur!AQ124*Calculateur!AS124*VLOOKUP('Données projet'!$B$10,Paramètres!$A$1:$I$89,3,0)*0.475*44/12</f>
        <v>1.0876959825572587</v>
      </c>
      <c r="AW124" s="21">
        <f>EXP(-LN(2)/2)*AW123+(1-EXP(-LN(2)/2))/(LN(2)/2)*AQ124*AT124*VLOOKUP('Données projet'!$B$10,Paramètres!$A$1:$I$89,3,0)*0.475*44/12</f>
        <v>3.2098064788631128E-13</v>
      </c>
      <c r="AX124" s="21">
        <f t="shared" si="60"/>
        <v>1.9619059032554336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2.2737367544323206E-13</v>
      </c>
      <c r="BE124" s="13">
        <f>BD124*VLOOKUP('Données projet'!$B$11,Paramètres!$A$1:$I$89,3,0)*VLOOKUP('Données projet'!$B$11,Paramètres!$A$1:$I$89,5,0)</f>
        <v>1.2414602679200471E-13</v>
      </c>
      <c r="BF124" s="13">
        <f t="shared" si="91"/>
        <v>1.8186582995804361E-12</v>
      </c>
      <c r="BG124" s="20">
        <f t="shared" si="61"/>
        <v>3.3837175350986671E-12</v>
      </c>
      <c r="BH124" s="59">
        <f t="shared" si="62"/>
        <v>293.33333333333672</v>
      </c>
      <c r="BI124" s="59">
        <f ca="1">AVERAGE(OFFSET($BH$3,0,0,'Données projet'!$E$11+1,1))-AVERAGE(OFFSET($H$3,0,0,'Données projet'!$E$11+1,1))</f>
        <v>168.72306536277267</v>
      </c>
      <c r="BJ124" s="59">
        <f t="shared" si="92"/>
        <v>203.35476578922339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0.50175568381786106</v>
      </c>
      <c r="BQ124" s="21">
        <f>EXP(-LN(2)/25)*BQ123+(1-EXP(-LN(2)/25))/(LN(2)/25)*Calculateur!BL124*Calculateur!BN124*VLOOKUP('Données projet'!$B$11,Paramètres!$A$1:$I$89,3,0)*0.475*44/12</f>
        <v>1.8437232442922322</v>
      </c>
      <c r="BR124" s="21">
        <f>EXP(-LN(2)/2)*BR123+(1-EXP(-LN(2)/2))/(LN(2)/2)*BL124*BO124*VLOOKUP('Données projet'!$B$11,Paramètres!$A$1:$I$89,3,0)*0.475*44/12</f>
        <v>4.0242291936234164E-13</v>
      </c>
      <c r="BS124" s="22">
        <f t="shared" si="63"/>
        <v>2.3454789281104955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3.4106051316484809E-13</v>
      </c>
      <c r="BZ124" s="13">
        <f>BY124*VLOOKUP('Données projet'!$B$12,Paramètres!$A$1:$I$89,3,0)*VLOOKUP('Données projet'!$B$12,Paramètres!$A$1:$I$89,5,0)</f>
        <v>1.5961632016114892E-13</v>
      </c>
      <c r="CA124" s="13">
        <f t="shared" si="93"/>
        <v>2.2708641912150958E-12</v>
      </c>
      <c r="CB124" s="20">
        <f t="shared" si="64"/>
        <v>4.2330868906469593E-12</v>
      </c>
      <c r="CC124" s="59">
        <f t="shared" si="65"/>
        <v>293.33333333333752</v>
      </c>
      <c r="CD124" s="59">
        <f ca="1">AVERAGE(OFFSET($CC$3,0,0,'Données projet'!$E$12+1,1))-AVERAGE(OFFSET($H$3,0,0,'Données projet'!$E$12+1,1))</f>
        <v>158.58786357608489</v>
      </c>
      <c r="CE124" s="59">
        <f t="shared" si="94"/>
        <v>163.20074068819849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4.1677594708744434E-14</v>
      </c>
      <c r="CV124" s="13">
        <f t="shared" si="95"/>
        <v>6.9326303456159188E-13</v>
      </c>
      <c r="CW124" s="20">
        <f t="shared" si="67"/>
        <v>1.2800215959791691E-12</v>
      </c>
      <c r="CX124" s="59">
        <f t="shared" si="68"/>
        <v>293.33333333333462</v>
      </c>
      <c r="CY124" s="59">
        <f ca="1">AVERAGE(OFFSET($CX$3,0,0,'Données projet'!$E$13+1,1))-AVERAGE(OFFSET($H$3,0,0,'Données projet'!$E$13+1,1))</f>
        <v>178.12968684094687</v>
      </c>
      <c r="CZ124" s="59">
        <f t="shared" si="96"/>
        <v>219.36004077210373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0.61672268808149544</v>
      </c>
      <c r="DH124" s="21">
        <f>EXP(-LN(2)/2)*DH123+(1-EXP(-LN(2)/2))/(LN(2)/2)*DB124*DE124*VLOOKUP('Données projet'!$B$13,Paramètres!$A$1:$I$89,3,0)*0.475*44/12</f>
        <v>1.9931411044727627E-13</v>
      </c>
      <c r="DI124" s="22">
        <f t="shared" si="69"/>
        <v>0.61672268808169473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-8.5265128291212022E-14</v>
      </c>
      <c r="DP124" s="17">
        <f>DO124*VLOOKUP('Données projet'!$B$14,Paramètres!$A$1:$I$89,3,0)*VLOOKUP('Données projet'!$B$14,Paramètres!$A$1:$I$89,5,0)</f>
        <v>-7.7147888077888636E-14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225.28075317732998</v>
      </c>
      <c r="DU124" s="59">
        <f t="shared" si="98"/>
        <v>358.43407531256207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0.37004347229249224</v>
      </c>
      <c r="EB124" s="21">
        <f>EXP(-LN(2)/25)*EB123+(1-EXP(-LN(2)/25))/(LN(2)/25)*Calculateur!DW124*Calculateur!DY124*VLOOKUP('Données projet'!$B$14,Paramètres!$A$1:$I$89,3,0)*0.475*44/12</f>
        <v>0.66353573558117518</v>
      </c>
      <c r="EC124" s="21">
        <f>EXP(-LN(2)/2)*EC123+(1-EXP(-LN(2)/2))/(LN(2)/2)*DW124*DZ124*VLOOKUP('Données projet'!$B$14,Paramètres!$A$1:$I$89,3,0)*0.475*44/12</f>
        <v>8.8709392193082848E-14</v>
      </c>
      <c r="ED124" s="22">
        <f t="shared" si="72"/>
        <v>1.0335792078737562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7.1730769230769287</v>
      </c>
      <c r="EJ124" s="12">
        <f>IF('Données projet'!$A$192&gt;35,EJ123+EI124-ER123,IF(A124&lt;'Données projet'!$A$192,$EG$205^A124,IF(A124='Données projet'!$A$192,'Données projet'!$B$192,EJ123+EI124-ER123)))</f>
        <v>346.30128205128165</v>
      </c>
      <c r="EK124" s="17">
        <f>EJ124*VLOOKUP('Données projet'!$B$15,Paramètres!$A$1:$I$89,3,0)*VLOOKUP('Données projet'!$B$15,Paramètres!$A$1:$I$89,5,0)</f>
        <v>351.14949999999959</v>
      </c>
      <c r="EL124" s="13">
        <f t="shared" si="99"/>
        <v>81.79916003842925</v>
      </c>
      <c r="EM124" s="20">
        <f t="shared" si="73"/>
        <v>754.05224956693019</v>
      </c>
      <c r="EN124" s="59">
        <f t="shared" si="74"/>
        <v>1047.3855829002634</v>
      </c>
      <c r="EO124" s="59">
        <f ca="1">AVERAGE(OFFSET($EN$3,0,0,'Données projet'!$E$15+1,1))-AVERAGE(OFFSET($H$3,0,0,'Données projet'!$E$15+1,1))</f>
        <v>363.98308691765931</v>
      </c>
      <c r="EP124" s="59">
        <f t="shared" si="100"/>
        <v>181.47089407988187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7.1730769230769287</v>
      </c>
      <c r="FE124" s="12">
        <f>IF('Données projet'!$A$218&gt;35,FE123+FD124-FM123,IF(A124&lt;'Données projet'!$A$218,$FB$205^A124,IF(A124='Données projet'!$A$218,'Données projet'!$B$218,FE123+FD124-FM123)))</f>
        <v>346.30128205128165</v>
      </c>
      <c r="FF124" s="17">
        <f>FE124*VLOOKUP('Données projet'!$B$16,Paramètres!$A$1:$I$89,3,0)*VLOOKUP('Données projet'!$B$16,Paramètres!$A$1:$I$89,5,0)</f>
        <v>372.75869999999952</v>
      </c>
      <c r="FG124" s="13">
        <f t="shared" si="101"/>
        <v>86.231444010637176</v>
      </c>
      <c r="FH124" s="20">
        <f t="shared" si="76"/>
        <v>799.40783415185888</v>
      </c>
      <c r="FI124" s="59">
        <f t="shared" si="77"/>
        <v>1092.7411674851921</v>
      </c>
      <c r="FJ124" s="59">
        <f ca="1">AVERAGE(OFFSET($FI$3,0,0,'Données projet'!$E$16+1,1))-AVERAGE(OFFSET($H$3,0,0,'Données projet'!$E$16+1,1))</f>
        <v>395.30533160963489</v>
      </c>
      <c r="FK124" s="59">
        <f t="shared" si="102"/>
        <v>196.02102977695085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227.99999999999986</v>
      </c>
      <c r="GA124" s="17">
        <f>FZ124*VLOOKUP('Données projet'!$B$17,Paramètres!$A$1:$I$89,3,0)*VLOOKUP('Données projet'!$B$17,Paramètres!$A$1:$I$89,5,0)</f>
        <v>238.30559999999986</v>
      </c>
      <c r="GB124" s="13">
        <f t="shared" si="103"/>
        <v>58.074821878967043</v>
      </c>
      <c r="GC124" s="20">
        <f t="shared" si="79"/>
        <v>516.19590143920061</v>
      </c>
      <c r="GD124" s="59">
        <f t="shared" si="80"/>
        <v>809.52923477253398</v>
      </c>
      <c r="GE124" s="59">
        <f ca="1">AVERAGE(OFFSET($GD$3,0,0,'Données projet'!$E$17+1,1))-AVERAGE(OFFSET($H$3,0,0,'Données projet'!$E$17+1,1))</f>
        <v>269.41185214595805</v>
      </c>
      <c r="GF124" s="59">
        <f t="shared" si="104"/>
        <v>299.70148160580993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1.045929726549218</v>
      </c>
      <c r="GM124" s="21">
        <f>EXP(-LN(2)/25)*GM123+(1-EXP(-LN(2)/25))/(LN(2)/25)*Calculateur!GH124*Calculateur!GJ124*VLOOKUP('Données projet'!$B$17,Paramètres!$A$1:$I$89,3,0)*0.475*44/12</f>
        <v>1.3013505505595775</v>
      </c>
      <c r="GN124" s="21">
        <f>EXP(-LN(2)/2)*GN123+(1-EXP(-LN(2)/2))/(LN(2)/2)*GH124*GK124*VLOOKUP('Données projet'!$B$17,Paramètres!$A$1:$I$89,3,0)*0.475*44/12</f>
        <v>3.8403041800683428E-13</v>
      </c>
      <c r="GO124" s="21">
        <f t="shared" si="81"/>
        <v>2.3472802771091796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5.6843418860808015E-14</v>
      </c>
      <c r="GV124" s="17">
        <f>GU124*VLOOKUP('Données projet'!$B$18,Paramètres!$A$1:$I$89,3,0)*VLOOKUP('Données projet'!$B$18,Paramètres!$A$1:$I$89,5,0)</f>
        <v>4.9658410716801891E-14</v>
      </c>
      <c r="GW124" s="13">
        <f t="shared" si="105"/>
        <v>8.0934058173791862E-13</v>
      </c>
      <c r="GX124" s="20">
        <f t="shared" si="82"/>
        <v>1.4960899118586383E-12</v>
      </c>
      <c r="GY124" s="59">
        <f t="shared" si="83"/>
        <v>293.33333333333479</v>
      </c>
      <c r="GZ124" s="59">
        <f ca="1">AVERAGE(OFFSET($GY$3,0,0,'Données projet'!$E$18+1,1))-AVERAGE(OFFSET($H$3,0,0,'Données projet'!$E$18+1,1))</f>
        <v>226.35975611953359</v>
      </c>
      <c r="HA124" s="59">
        <f t="shared" si="106"/>
        <v>271.65876694892461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0.90570655033442804</v>
      </c>
      <c r="HI124" s="21">
        <f>EXP(-LN(2)/2)*HI123+(1-EXP(-LN(2)/2))/(LN(2)/2)*HC124*HF124*VLOOKUP('Données projet'!$B$18,Paramètres!$A$1:$I$89,3,0)*0.475*44/12</f>
        <v>2.3748064223505252E-13</v>
      </c>
      <c r="HJ124" s="22">
        <f t="shared" si="84"/>
        <v>0.90570655033466552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7.1730769230769287</v>
      </c>
      <c r="N125" s="13">
        <f>IF('Données projet'!$A$36&gt;35,N124+M125-V124,IF(A125&lt;'Données projet'!$A$36,$K$205^A125,IF(A125='Données projet'!$A$36,'Données projet'!$B$36,N124+M125-V124)))</f>
        <v>353.47435897435855</v>
      </c>
      <c r="O125" s="13">
        <f>N125*VLOOKUP('Données projet'!$B$9,Paramètres!$A$1:$I$89,3,0)*VLOOKUP('Données projet'!$B$9,Paramètres!$A$1:$I$89,5,0)</f>
        <v>319.8235999999996</v>
      </c>
      <c r="P125" s="13">
        <f t="shared" si="87"/>
        <v>75.316649034447607</v>
      </c>
      <c r="Q125" s="20">
        <f t="shared" si="107"/>
        <v>688.20260040166215</v>
      </c>
      <c r="R125" s="59">
        <f t="shared" si="55"/>
        <v>981.53593373499552</v>
      </c>
      <c r="S125" s="59">
        <f ca="1">AVERAGE(OFFSET($R$3,0,0,'Données projet'!$E$9+1,1))-AVERAGE(OFFSET($H$3,0,0,'Données projet'!$E$9+1,1))</f>
        <v>309.07357540707869</v>
      </c>
      <c r="T125" s="59">
        <f t="shared" si="88"/>
        <v>155.9593924683299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227.99999999999986</v>
      </c>
      <c r="AJ125" s="13">
        <f>AI125*VLOOKUP('Données projet'!$B$10,Paramètres!$A$1:$I$89,3,0)*VLOOKUP('Données projet'!$B$10,Paramètres!$A$1:$I$89,5,0)</f>
        <v>199.18079999999992</v>
      </c>
      <c r="AK125" s="13">
        <f t="shared" si="89"/>
        <v>49.564089376413683</v>
      </c>
      <c r="AL125" s="20">
        <f t="shared" si="58"/>
        <v>433.23068233058694</v>
      </c>
      <c r="AM125" s="59">
        <f t="shared" si="59"/>
        <v>726.56401566392026</v>
      </c>
      <c r="AN125" s="59">
        <f ca="1">AVERAGE(OFFSET($AM$3,0,0,'Données projet'!$E$10+1,1))-AVERAGE(OFFSET($H$3,0,0,'Données projet'!$E$10+1,1))</f>
        <v>210.07838338464626</v>
      </c>
      <c r="AO125" s="59">
        <f t="shared" si="90"/>
        <v>241.76003724236273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0.85706719736836978</v>
      </c>
      <c r="AV125" s="21">
        <f>EXP(-LN(2)/25)*AV124+(1-EXP(-LN(2)/25))/(LN(2)/25)*Calculateur!AQ125*Calculateur!AS125*VLOOKUP('Données projet'!$B$10,Paramètres!$A$1:$I$89,3,0)*0.475*44/12</f>
        <v>1.0579528787147847</v>
      </c>
      <c r="AW125" s="21">
        <f>EXP(-LN(2)/2)*AW124+(1-EXP(-LN(2)/2))/(LN(2)/2)*AQ125*AT125*VLOOKUP('Données projet'!$B$10,Paramètres!$A$1:$I$89,3,0)*0.475*44/12</f>
        <v>2.269675927500622E-13</v>
      </c>
      <c r="AX125" s="21">
        <f t="shared" si="60"/>
        <v>1.9150200760833815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2.2737367544323206E-13</v>
      </c>
      <c r="BE125" s="13">
        <f>BD125*VLOOKUP('Données projet'!$B$11,Paramètres!$A$1:$I$89,3,0)*VLOOKUP('Données projet'!$B$11,Paramètres!$A$1:$I$89,5,0)</f>
        <v>1.2414602679200471E-13</v>
      </c>
      <c r="BF125" s="13">
        <f t="shared" si="91"/>
        <v>1.8186582995804361E-12</v>
      </c>
      <c r="BG125" s="20">
        <f t="shared" si="61"/>
        <v>3.3837175350986671E-12</v>
      </c>
      <c r="BH125" s="59">
        <f t="shared" si="62"/>
        <v>293.33333333333672</v>
      </c>
      <c r="BI125" s="59">
        <f ca="1">AVERAGE(OFFSET($BH$3,0,0,'Données projet'!$E$11+1,1))-AVERAGE(OFFSET($H$3,0,0,'Données projet'!$E$11+1,1))</f>
        <v>168.72306536277267</v>
      </c>
      <c r="BJ125" s="59">
        <f t="shared" si="92"/>
        <v>203.35476578922339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0.49191656089894092</v>
      </c>
      <c r="BQ125" s="21">
        <f>EXP(-LN(2)/25)*BQ124+(1-EXP(-LN(2)/25))/(LN(2)/25)*Calculateur!BL125*Calculateur!BN125*VLOOKUP('Données projet'!$B$11,Paramètres!$A$1:$I$89,3,0)*0.475*44/12</f>
        <v>1.7933065352198696</v>
      </c>
      <c r="BR125" s="21">
        <f>EXP(-LN(2)/2)*BR124+(1-EXP(-LN(2)/2))/(LN(2)/2)*BL125*BO125*VLOOKUP('Données projet'!$B$11,Paramètres!$A$1:$I$89,3,0)*0.475*44/12</f>
        <v>2.8455597518599896E-13</v>
      </c>
      <c r="BS125" s="22">
        <f t="shared" si="63"/>
        <v>2.2852230961190951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3.4106051316484809E-13</v>
      </c>
      <c r="BZ125" s="13">
        <f>BY125*VLOOKUP('Données projet'!$B$12,Paramètres!$A$1:$I$89,3,0)*VLOOKUP('Données projet'!$B$12,Paramètres!$A$1:$I$89,5,0)</f>
        <v>1.5961632016114892E-13</v>
      </c>
      <c r="CA125" s="13">
        <f t="shared" si="93"/>
        <v>2.2708641912150958E-12</v>
      </c>
      <c r="CB125" s="20">
        <f t="shared" si="64"/>
        <v>4.2330868906469593E-12</v>
      </c>
      <c r="CC125" s="59">
        <f t="shared" si="65"/>
        <v>293.33333333333752</v>
      </c>
      <c r="CD125" s="59">
        <f ca="1">AVERAGE(OFFSET($CC$3,0,0,'Données projet'!$E$12+1,1))-AVERAGE(OFFSET($H$3,0,0,'Données projet'!$E$12+1,1))</f>
        <v>158.58786357608489</v>
      </c>
      <c r="CE125" s="59">
        <f t="shared" si="94"/>
        <v>163.20074068819849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4.1677594708744434E-14</v>
      </c>
      <c r="CV125" s="13">
        <f t="shared" si="95"/>
        <v>6.9326303456159188E-13</v>
      </c>
      <c r="CW125" s="20">
        <f t="shared" si="67"/>
        <v>1.2800215959791691E-12</v>
      </c>
      <c r="CX125" s="59">
        <f t="shared" si="68"/>
        <v>293.33333333333462</v>
      </c>
      <c r="CY125" s="59">
        <f ca="1">AVERAGE(OFFSET($CX$3,0,0,'Données projet'!$E$13+1,1))-AVERAGE(OFFSET($H$3,0,0,'Données projet'!$E$13+1,1))</f>
        <v>178.12968684094687</v>
      </c>
      <c r="CZ125" s="59">
        <f t="shared" si="96"/>
        <v>219.36004077210373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0.5998583737438703</v>
      </c>
      <c r="DH125" s="21">
        <f>EXP(-LN(2)/2)*DH124+(1-EXP(-LN(2)/2))/(LN(2)/2)*DB125*DE125*VLOOKUP('Données projet'!$B$13,Paramètres!$A$1:$I$89,3,0)*0.475*44/12</f>
        <v>1.4093635908343355E-13</v>
      </c>
      <c r="DI125" s="22">
        <f t="shared" si="69"/>
        <v>0.59985837374401119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-8.5265128291212022E-14</v>
      </c>
      <c r="DP125" s="17">
        <f>DO125*VLOOKUP('Données projet'!$B$14,Paramètres!$A$1:$I$89,3,0)*VLOOKUP('Données projet'!$B$14,Paramètres!$A$1:$I$89,5,0)</f>
        <v>-7.7147888077888636E-14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225.28075317732998</v>
      </c>
      <c r="DU125" s="59">
        <f t="shared" si="98"/>
        <v>358.43407531256207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0.36278714550506813</v>
      </c>
      <c r="EB125" s="21">
        <f>EXP(-LN(2)/25)*EB124+(1-EXP(-LN(2)/25))/(LN(2)/25)*Calculateur!DW125*Calculateur!DY125*VLOOKUP('Données projet'!$B$14,Paramètres!$A$1:$I$89,3,0)*0.475*44/12</f>
        <v>0.64539131599788013</v>
      </c>
      <c r="EC125" s="21">
        <f>EXP(-LN(2)/2)*EC124+(1-EXP(-LN(2)/2))/(LN(2)/2)*DW125*DZ125*VLOOKUP('Données projet'!$B$14,Paramètres!$A$1:$I$89,3,0)*0.475*44/12</f>
        <v>6.2727012774665861E-14</v>
      </c>
      <c r="ED125" s="22">
        <f t="shared" si="72"/>
        <v>1.0081784615030109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7.1730769230769287</v>
      </c>
      <c r="EJ125" s="12">
        <f>IF('Données projet'!$A$192&gt;35,EJ124+EI125-ER124,IF(A125&lt;'Données projet'!$A$192,$EG$205^A125,IF(A125='Données projet'!$A$192,'Données projet'!$B$192,EJ124+EI125-ER124)))</f>
        <v>353.47435897435855</v>
      </c>
      <c r="EK125" s="17">
        <f>EJ125*VLOOKUP('Données projet'!$B$15,Paramètres!$A$1:$I$89,3,0)*VLOOKUP('Données projet'!$B$15,Paramètres!$A$1:$I$89,5,0)</f>
        <v>358.4229999999996</v>
      </c>
      <c r="EL125" s="13">
        <f t="shared" si="99"/>
        <v>83.294486677872726</v>
      </c>
      <c r="EM125" s="20">
        <f t="shared" si="73"/>
        <v>769.32462263062769</v>
      </c>
      <c r="EN125" s="59">
        <f t="shared" si="74"/>
        <v>1062.6579559639611</v>
      </c>
      <c r="EO125" s="59">
        <f ca="1">AVERAGE(OFFSET($EN$3,0,0,'Données projet'!$E$15+1,1))-AVERAGE(OFFSET($H$3,0,0,'Données projet'!$E$15+1,1))</f>
        <v>363.98308691765931</v>
      </c>
      <c r="EP125" s="59">
        <f t="shared" si="100"/>
        <v>181.47089407988187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7.1730769230769287</v>
      </c>
      <c r="FE125" s="12">
        <f>IF('Données projet'!$A$218&gt;35,FE124+FD125-FM124,IF(A125&lt;'Données projet'!$A$218,$FB$205^A125,IF(A125='Données projet'!$A$218,'Données projet'!$B$218,FE124+FD125-FM124)))</f>
        <v>353.47435897435855</v>
      </c>
      <c r="FF125" s="17">
        <f>FE125*VLOOKUP('Données projet'!$B$16,Paramètres!$A$1:$I$89,3,0)*VLOOKUP('Données projet'!$B$16,Paramètres!$A$1:$I$89,5,0)</f>
        <v>380.4797999999995</v>
      </c>
      <c r="FG125" s="13">
        <f t="shared" si="101"/>
        <v>87.807794859792665</v>
      </c>
      <c r="FH125" s="20">
        <f t="shared" si="76"/>
        <v>815.60089438080468</v>
      </c>
      <c r="FI125" s="59">
        <f t="shared" si="77"/>
        <v>1108.9342277141379</v>
      </c>
      <c r="FJ125" s="59">
        <f ca="1">AVERAGE(OFFSET($FI$3,0,0,'Données projet'!$E$16+1,1))-AVERAGE(OFFSET($H$3,0,0,'Données projet'!$E$16+1,1))</f>
        <v>395.30533160963489</v>
      </c>
      <c r="FK125" s="59">
        <f t="shared" si="102"/>
        <v>196.02102977695085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227.99999999999986</v>
      </c>
      <c r="GA125" s="17">
        <f>FZ125*VLOOKUP('Données projet'!$B$17,Paramètres!$A$1:$I$89,3,0)*VLOOKUP('Données projet'!$B$17,Paramètres!$A$1:$I$89,5,0)</f>
        <v>238.30559999999986</v>
      </c>
      <c r="GB125" s="13">
        <f t="shared" si="103"/>
        <v>58.074821878967043</v>
      </c>
      <c r="GC125" s="20">
        <f t="shared" si="79"/>
        <v>516.19590143920061</v>
      </c>
      <c r="GD125" s="59">
        <f t="shared" si="80"/>
        <v>809.52923477253398</v>
      </c>
      <c r="GE125" s="59">
        <f ca="1">AVERAGE(OFFSET($GD$3,0,0,'Données projet'!$E$17+1,1))-AVERAGE(OFFSET($H$3,0,0,'Données projet'!$E$17+1,1))</f>
        <v>269.41185214595805</v>
      </c>
      <c r="GF125" s="59">
        <f t="shared" si="104"/>
        <v>299.70148160580993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1.0254196825657282</v>
      </c>
      <c r="GM125" s="21">
        <f>EXP(-LN(2)/25)*GM124+(1-EXP(-LN(2)/25))/(LN(2)/25)*Calculateur!GH125*Calculateur!GJ125*VLOOKUP('Données projet'!$B$17,Paramètres!$A$1:$I$89,3,0)*0.475*44/12</f>
        <v>1.2657650513194747</v>
      </c>
      <c r="GN125" s="21">
        <f>EXP(-LN(2)/2)*GN124+(1-EXP(-LN(2)/2))/(LN(2)/2)*GH125*GK125*VLOOKUP('Données projet'!$B$17,Paramètres!$A$1:$I$89,3,0)*0.475*44/12</f>
        <v>2.7155051275453695E-13</v>
      </c>
      <c r="GO125" s="21">
        <f t="shared" si="81"/>
        <v>2.2911847338854741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5.6843418860808015E-14</v>
      </c>
      <c r="GV125" s="17">
        <f>GU125*VLOOKUP('Données projet'!$B$18,Paramètres!$A$1:$I$89,3,0)*VLOOKUP('Données projet'!$B$18,Paramètres!$A$1:$I$89,5,0)</f>
        <v>4.9658410716801891E-14</v>
      </c>
      <c r="GW125" s="13">
        <f t="shared" si="105"/>
        <v>8.0934058173791862E-13</v>
      </c>
      <c r="GX125" s="20">
        <f t="shared" si="82"/>
        <v>1.4960899118586383E-12</v>
      </c>
      <c r="GY125" s="59">
        <f t="shared" si="83"/>
        <v>293.33333333333479</v>
      </c>
      <c r="GZ125" s="59">
        <f ca="1">AVERAGE(OFFSET($GY$3,0,0,'Données projet'!$E$18+1,1))-AVERAGE(OFFSET($H$3,0,0,'Données projet'!$E$18+1,1))</f>
        <v>226.35975611953359</v>
      </c>
      <c r="HA125" s="59">
        <f t="shared" si="106"/>
        <v>271.65876694892461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0.88093995708649564</v>
      </c>
      <c r="HI125" s="21">
        <f>EXP(-LN(2)/2)*HI124+(1-EXP(-LN(2)/2))/(LN(2)/2)*HC125*HF125*VLOOKUP('Données projet'!$B$18,Paramètres!$A$1:$I$89,3,0)*0.475*44/12</f>
        <v>1.6792417252494206E-13</v>
      </c>
      <c r="HJ125" s="22">
        <f t="shared" si="84"/>
        <v>0.88093995708666362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7.1730769230769287</v>
      </c>
      <c r="N126" s="13">
        <f>IF('Données projet'!$A$36&gt;35,N125+M126-V125,IF(A126&lt;'Données projet'!$A$36,$K$205^A126,IF(A126='Données projet'!$A$36,'Données projet'!$B$36,N125+M126-V125)))</f>
        <v>360.64743589743546</v>
      </c>
      <c r="O126" s="13">
        <f>N126*VLOOKUP('Données projet'!$B$9,Paramètres!$A$1:$I$89,3,0)*VLOOKUP('Données projet'!$B$9,Paramètres!$A$1:$I$89,5,0)</f>
        <v>326.31379999999962</v>
      </c>
      <c r="P126" s="13">
        <f t="shared" si="87"/>
        <v>76.665564943323318</v>
      </c>
      <c r="Q126" s="20">
        <f t="shared" si="107"/>
        <v>701.85572727628733</v>
      </c>
      <c r="R126" s="59">
        <f t="shared" si="55"/>
        <v>995.18906060962058</v>
      </c>
      <c r="S126" s="59">
        <f ca="1">AVERAGE(OFFSET($R$3,0,0,'Données projet'!$E$9+1,1))-AVERAGE(OFFSET($H$3,0,0,'Données projet'!$E$9+1,1))</f>
        <v>309.07357540707869</v>
      </c>
      <c r="T126" s="59">
        <f t="shared" si="88"/>
        <v>155.9593924683299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227.99999999999986</v>
      </c>
      <c r="AJ126" s="13">
        <f>AI126*VLOOKUP('Données projet'!$B$10,Paramètres!$A$1:$I$89,3,0)*VLOOKUP('Données projet'!$B$10,Paramètres!$A$1:$I$89,5,0)</f>
        <v>199.18079999999992</v>
      </c>
      <c r="AK126" s="13">
        <f t="shared" si="89"/>
        <v>49.564089376413683</v>
      </c>
      <c r="AL126" s="20">
        <f t="shared" si="58"/>
        <v>433.23068233058694</v>
      </c>
      <c r="AM126" s="59">
        <f t="shared" si="59"/>
        <v>726.56401566392026</v>
      </c>
      <c r="AN126" s="59">
        <f ca="1">AVERAGE(OFFSET($AM$3,0,0,'Données projet'!$E$10+1,1))-AVERAGE(OFFSET($H$3,0,0,'Données projet'!$E$10+1,1))</f>
        <v>210.07838338464626</v>
      </c>
      <c r="AO126" s="59">
        <f t="shared" si="90"/>
        <v>241.76003724236273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0.84026063238734827</v>
      </c>
      <c r="AV126" s="21">
        <f>EXP(-LN(2)/25)*AV125+(1-EXP(-LN(2)/25))/(LN(2)/25)*Calculateur!AQ126*Calculateur!AS126*VLOOKUP('Données projet'!$B$10,Paramètres!$A$1:$I$89,3,0)*0.475*44/12</f>
        <v>1.029023101611005</v>
      </c>
      <c r="AW126" s="21">
        <f>EXP(-LN(2)/2)*AW125+(1-EXP(-LN(2)/2))/(LN(2)/2)*AQ126*AT126*VLOOKUP('Données projet'!$B$10,Paramètres!$A$1:$I$89,3,0)*0.475*44/12</f>
        <v>1.6049032394315567E-13</v>
      </c>
      <c r="AX126" s="21">
        <f t="shared" si="60"/>
        <v>1.8692837339985138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2.2737367544323206E-13</v>
      </c>
      <c r="BE126" s="13">
        <f>BD126*VLOOKUP('Données projet'!$B$11,Paramètres!$A$1:$I$89,3,0)*VLOOKUP('Données projet'!$B$11,Paramètres!$A$1:$I$89,5,0)</f>
        <v>1.2414602679200471E-13</v>
      </c>
      <c r="BF126" s="13">
        <f t="shared" si="91"/>
        <v>1.8186582995804361E-12</v>
      </c>
      <c r="BG126" s="20">
        <f t="shared" si="61"/>
        <v>3.3837175350986671E-12</v>
      </c>
      <c r="BH126" s="59">
        <f t="shared" si="62"/>
        <v>293.33333333333672</v>
      </c>
      <c r="BI126" s="59">
        <f ca="1">AVERAGE(OFFSET($BH$3,0,0,'Données projet'!$E$11+1,1))-AVERAGE(OFFSET($H$3,0,0,'Données projet'!$E$11+1,1))</f>
        <v>168.72306536277267</v>
      </c>
      <c r="BJ126" s="59">
        <f t="shared" si="92"/>
        <v>203.35476578922339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0.48227037717918841</v>
      </c>
      <c r="BQ126" s="21">
        <f>EXP(-LN(2)/25)*BQ125+(1-EXP(-LN(2)/25))/(LN(2)/25)*Calculateur!BL126*Calculateur!BN126*VLOOKUP('Données projet'!$B$11,Paramètres!$A$1:$I$89,3,0)*0.475*44/12</f>
        <v>1.7442684737083902</v>
      </c>
      <c r="BR126" s="21">
        <f>EXP(-LN(2)/2)*BR125+(1-EXP(-LN(2)/2))/(LN(2)/2)*BL126*BO126*VLOOKUP('Données projet'!$B$11,Paramètres!$A$1:$I$89,3,0)*0.475*44/12</f>
        <v>2.0121145968117082E-13</v>
      </c>
      <c r="BS126" s="22">
        <f t="shared" si="63"/>
        <v>2.2265388508877799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3.4106051316484809E-13</v>
      </c>
      <c r="BZ126" s="13">
        <f>BY126*VLOOKUP('Données projet'!$B$12,Paramètres!$A$1:$I$89,3,0)*VLOOKUP('Données projet'!$B$12,Paramètres!$A$1:$I$89,5,0)</f>
        <v>1.5961632016114892E-13</v>
      </c>
      <c r="CA126" s="13">
        <f t="shared" si="93"/>
        <v>2.2708641912150958E-12</v>
      </c>
      <c r="CB126" s="20">
        <f t="shared" si="64"/>
        <v>4.2330868906469593E-12</v>
      </c>
      <c r="CC126" s="59">
        <f t="shared" si="65"/>
        <v>293.33333333333752</v>
      </c>
      <c r="CD126" s="59">
        <f ca="1">AVERAGE(OFFSET($CC$3,0,0,'Données projet'!$E$12+1,1))-AVERAGE(OFFSET($H$3,0,0,'Données projet'!$E$12+1,1))</f>
        <v>158.58786357608489</v>
      </c>
      <c r="CE126" s="59">
        <f t="shared" si="94"/>
        <v>163.20074068819849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4.1677594708744434E-14</v>
      </c>
      <c r="CV126" s="13">
        <f t="shared" si="95"/>
        <v>6.9326303456159188E-13</v>
      </c>
      <c r="CW126" s="20">
        <f t="shared" si="67"/>
        <v>1.2800215959791691E-12</v>
      </c>
      <c r="CX126" s="59">
        <f t="shared" si="68"/>
        <v>293.33333333333462</v>
      </c>
      <c r="CY126" s="59">
        <f ca="1">AVERAGE(OFFSET($CX$3,0,0,'Données projet'!$E$13+1,1))-AVERAGE(OFFSET($H$3,0,0,'Données projet'!$E$13+1,1))</f>
        <v>178.12968684094687</v>
      </c>
      <c r="CZ126" s="59">
        <f t="shared" si="96"/>
        <v>219.36004077210373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0.58345521496866326</v>
      </c>
      <c r="DH126" s="21">
        <f>EXP(-LN(2)/2)*DH125+(1-EXP(-LN(2)/2))/(LN(2)/2)*DB126*DE126*VLOOKUP('Données projet'!$B$13,Paramètres!$A$1:$I$89,3,0)*0.475*44/12</f>
        <v>9.9657055223638137E-14</v>
      </c>
      <c r="DI126" s="22">
        <f t="shared" si="69"/>
        <v>0.58345521496876296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-8.5265128291212022E-14</v>
      </c>
      <c r="DP126" s="17">
        <f>DO126*VLOOKUP('Données projet'!$B$14,Paramètres!$A$1:$I$89,3,0)*VLOOKUP('Données projet'!$B$14,Paramètres!$A$1:$I$89,5,0)</f>
        <v>-7.7147888077888636E-14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225.28075317732998</v>
      </c>
      <c r="DU126" s="59">
        <f t="shared" si="98"/>
        <v>358.43407531256207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0.35567311086002307</v>
      </c>
      <c r="EB126" s="21">
        <f>EXP(-LN(2)/25)*EB125+(1-EXP(-LN(2)/25))/(LN(2)/25)*Calculateur!DW126*Calculateur!DY126*VLOOKUP('Données projet'!$B$14,Paramètres!$A$1:$I$89,3,0)*0.475*44/12</f>
        <v>0.62774305652226381</v>
      </c>
      <c r="EC126" s="21">
        <f>EXP(-LN(2)/2)*EC125+(1-EXP(-LN(2)/2))/(LN(2)/2)*DW126*DZ126*VLOOKUP('Données projet'!$B$14,Paramètres!$A$1:$I$89,3,0)*0.475*44/12</f>
        <v>4.4354696096541424E-14</v>
      </c>
      <c r="ED126" s="22">
        <f t="shared" si="72"/>
        <v>0.98341616738233129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7.1730769230769287</v>
      </c>
      <c r="EJ126" s="12">
        <f>IF('Données projet'!$A$192&gt;35,EJ125+EI126-ER125,IF(A126&lt;'Données projet'!$A$192,$EG$205^A126,IF(A126='Données projet'!$A$192,'Données projet'!$B$192,EJ125+EI126-ER125)))</f>
        <v>360.64743589743546</v>
      </c>
      <c r="EK126" s="17">
        <f>EJ126*VLOOKUP('Données projet'!$B$15,Paramètres!$A$1:$I$89,3,0)*VLOOKUP('Données projet'!$B$15,Paramètres!$A$1:$I$89,5,0)</f>
        <v>365.69649999999962</v>
      </c>
      <c r="EL126" s="13">
        <f t="shared" si="99"/>
        <v>84.786285100158196</v>
      </c>
      <c r="EM126" s="20">
        <f t="shared" si="73"/>
        <v>784.59085071610809</v>
      </c>
      <c r="EN126" s="59">
        <f t="shared" si="74"/>
        <v>1077.9241840494415</v>
      </c>
      <c r="EO126" s="59">
        <f ca="1">AVERAGE(OFFSET($EN$3,0,0,'Données projet'!$E$15+1,1))-AVERAGE(OFFSET($H$3,0,0,'Données projet'!$E$15+1,1))</f>
        <v>363.98308691765931</v>
      </c>
      <c r="EP126" s="59">
        <f t="shared" si="100"/>
        <v>181.47089407988187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7.1730769230769287</v>
      </c>
      <c r="FE126" s="12">
        <f>IF('Données projet'!$A$218&gt;35,FE125+FD126-FM125,IF(A126&lt;'Données projet'!$A$218,$FB$205^A126,IF(A126='Données projet'!$A$218,'Données projet'!$B$218,FE125+FD126-FM125)))</f>
        <v>360.64743589743546</v>
      </c>
      <c r="FF126" s="17">
        <f>FE126*VLOOKUP('Données projet'!$B$16,Paramètres!$A$1:$I$89,3,0)*VLOOKUP('Données projet'!$B$16,Paramètres!$A$1:$I$89,5,0)</f>
        <v>388.20089999999954</v>
      </c>
      <c r="FG126" s="13">
        <f t="shared" si="101"/>
        <v>89.380426315495043</v>
      </c>
      <c r="FH126" s="20">
        <f t="shared" si="76"/>
        <v>831.787476666153</v>
      </c>
      <c r="FI126" s="59">
        <f t="shared" si="77"/>
        <v>1125.1208099994863</v>
      </c>
      <c r="FJ126" s="59">
        <f ca="1">AVERAGE(OFFSET($FI$3,0,0,'Données projet'!$E$16+1,1))-AVERAGE(OFFSET($H$3,0,0,'Données projet'!$E$16+1,1))</f>
        <v>395.30533160963489</v>
      </c>
      <c r="FK126" s="59">
        <f t="shared" si="102"/>
        <v>196.02102977695085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227.99999999999986</v>
      </c>
      <c r="GA126" s="17">
        <f>FZ126*VLOOKUP('Données projet'!$B$17,Paramètres!$A$1:$I$89,3,0)*VLOOKUP('Données projet'!$B$17,Paramètres!$A$1:$I$89,5,0)</f>
        <v>238.30559999999986</v>
      </c>
      <c r="GB126" s="13">
        <f t="shared" si="103"/>
        <v>58.074821878967043</v>
      </c>
      <c r="GC126" s="20">
        <f t="shared" si="79"/>
        <v>516.19590143920061</v>
      </c>
      <c r="GD126" s="59">
        <f t="shared" si="80"/>
        <v>809.52923477253398</v>
      </c>
      <c r="GE126" s="59">
        <f ca="1">AVERAGE(OFFSET($GD$3,0,0,'Données projet'!$E$17+1,1))-AVERAGE(OFFSET($H$3,0,0,'Données projet'!$E$17+1,1))</f>
        <v>269.41185214595805</v>
      </c>
      <c r="GF126" s="59">
        <f t="shared" si="104"/>
        <v>299.70148160580993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1.0053118280348632</v>
      </c>
      <c r="GM126" s="21">
        <f>EXP(-LN(2)/25)*GM125+(1-EXP(-LN(2)/25))/(LN(2)/25)*Calculateur!GH126*Calculateur!GJ126*VLOOKUP('Données projet'!$B$17,Paramètres!$A$1:$I$89,3,0)*0.475*44/12</f>
        <v>1.2311526394274526</v>
      </c>
      <c r="GN126" s="21">
        <f>EXP(-LN(2)/2)*GN125+(1-EXP(-LN(2)/2))/(LN(2)/2)*GH126*GK126*VLOOKUP('Données projet'!$B$17,Paramètres!$A$1:$I$89,3,0)*0.475*44/12</f>
        <v>1.9201520900341714E-13</v>
      </c>
      <c r="GO126" s="21">
        <f t="shared" si="81"/>
        <v>2.2364644674625076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5.6843418860808015E-14</v>
      </c>
      <c r="GV126" s="17">
        <f>GU126*VLOOKUP('Données projet'!$B$18,Paramètres!$A$1:$I$89,3,0)*VLOOKUP('Données projet'!$B$18,Paramètres!$A$1:$I$89,5,0)</f>
        <v>4.9658410716801891E-14</v>
      </c>
      <c r="GW126" s="13">
        <f t="shared" si="105"/>
        <v>8.0934058173791862E-13</v>
      </c>
      <c r="GX126" s="20">
        <f t="shared" si="82"/>
        <v>1.4960899118586383E-12</v>
      </c>
      <c r="GY126" s="59">
        <f t="shared" si="83"/>
        <v>293.33333333333479</v>
      </c>
      <c r="GZ126" s="59">
        <f ca="1">AVERAGE(OFFSET($GY$3,0,0,'Données projet'!$E$18+1,1))-AVERAGE(OFFSET($H$3,0,0,'Données projet'!$E$18+1,1))</f>
        <v>226.35975611953359</v>
      </c>
      <c r="HA126" s="59">
        <f t="shared" si="106"/>
        <v>271.65876694892461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0.85685060763334653</v>
      </c>
      <c r="HI126" s="21">
        <f>EXP(-LN(2)/2)*HI125+(1-EXP(-LN(2)/2))/(LN(2)/2)*HC126*HF126*VLOOKUP('Données projet'!$B$18,Paramètres!$A$1:$I$89,3,0)*0.475*44/12</f>
        <v>1.1874032111752626E-13</v>
      </c>
      <c r="HJ126" s="22">
        <f t="shared" si="84"/>
        <v>0.85685060763346532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7.1730769230769287</v>
      </c>
      <c r="N127" s="13">
        <f>IF('Données projet'!$A$36&gt;35,N126+M127-V126,IF(A127&lt;'Données projet'!$A$36,$K$205^A127,IF(A127='Données projet'!$A$36,'Données projet'!$B$36,N126+M127-V126)))</f>
        <v>367.82051282051236</v>
      </c>
      <c r="O127" s="13">
        <f>N127*VLOOKUP('Données projet'!$B$9,Paramètres!$A$1:$I$89,3,0)*VLOOKUP('Données projet'!$B$9,Paramètres!$A$1:$I$89,5,0)</f>
        <v>332.80399999999958</v>
      </c>
      <c r="P127" s="13">
        <f t="shared" si="87"/>
        <v>78.011361329585995</v>
      </c>
      <c r="Q127" s="20">
        <f t="shared" si="107"/>
        <v>715.50342098236149</v>
      </c>
      <c r="R127" s="59">
        <f t="shared" si="55"/>
        <v>1008.8367543156949</v>
      </c>
      <c r="S127" s="59">
        <f ca="1">AVERAGE(OFFSET($R$3,0,0,'Données projet'!$E$9+1,1))-AVERAGE(OFFSET($H$3,0,0,'Données projet'!$E$9+1,1))</f>
        <v>309.07357540707869</v>
      </c>
      <c r="T127" s="59">
        <f t="shared" si="88"/>
        <v>155.9593924683299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227.99999999999986</v>
      </c>
      <c r="AJ127" s="13">
        <f>AI127*VLOOKUP('Données projet'!$B$10,Paramètres!$A$1:$I$89,3,0)*VLOOKUP('Données projet'!$B$10,Paramètres!$A$1:$I$89,5,0)</f>
        <v>199.18079999999992</v>
      </c>
      <c r="AK127" s="13">
        <f t="shared" si="89"/>
        <v>49.564089376413683</v>
      </c>
      <c r="AL127" s="20">
        <f t="shared" si="58"/>
        <v>433.23068233058694</v>
      </c>
      <c r="AM127" s="59">
        <f t="shared" si="59"/>
        <v>726.56401566392026</v>
      </c>
      <c r="AN127" s="59">
        <f ca="1">AVERAGE(OFFSET($AM$3,0,0,'Données projet'!$E$10+1,1))-AVERAGE(OFFSET($H$3,0,0,'Données projet'!$E$10+1,1))</f>
        <v>210.07838338464626</v>
      </c>
      <c r="AO127" s="59">
        <f t="shared" si="90"/>
        <v>241.76003724236273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0.82378363389461218</v>
      </c>
      <c r="AV127" s="21">
        <f>EXP(-LN(2)/25)*AV126+(1-EXP(-LN(2)/25))/(LN(2)/25)*Calculateur!AQ127*Calculateur!AS127*VLOOKUP('Données projet'!$B$10,Paramètres!$A$1:$I$89,3,0)*0.475*44/12</f>
        <v>1.0008844107834789</v>
      </c>
      <c r="AW127" s="21">
        <f>EXP(-LN(2)/2)*AW126+(1-EXP(-LN(2)/2))/(LN(2)/2)*AQ127*AT127*VLOOKUP('Données projet'!$B$10,Paramètres!$A$1:$I$89,3,0)*0.475*44/12</f>
        <v>1.1348379637503111E-13</v>
      </c>
      <c r="AX127" s="21">
        <f t="shared" si="60"/>
        <v>1.8246680446782044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2.2737367544323206E-13</v>
      </c>
      <c r="BE127" s="13">
        <f>BD127*VLOOKUP('Données projet'!$B$11,Paramètres!$A$1:$I$89,3,0)*VLOOKUP('Données projet'!$B$11,Paramètres!$A$1:$I$89,5,0)</f>
        <v>1.2414602679200471E-13</v>
      </c>
      <c r="BF127" s="13">
        <f t="shared" si="91"/>
        <v>1.8186582995804361E-12</v>
      </c>
      <c r="BG127" s="20">
        <f t="shared" si="61"/>
        <v>3.3837175350986671E-12</v>
      </c>
      <c r="BH127" s="59">
        <f t="shared" si="62"/>
        <v>293.33333333333672</v>
      </c>
      <c r="BI127" s="59">
        <f ca="1">AVERAGE(OFFSET($BH$3,0,0,'Données projet'!$E$11+1,1))-AVERAGE(OFFSET($H$3,0,0,'Données projet'!$E$11+1,1))</f>
        <v>168.72306536277267</v>
      </c>
      <c r="BJ127" s="59">
        <f t="shared" si="92"/>
        <v>203.35476578922339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0.47281334923858914</v>
      </c>
      <c r="BQ127" s="21">
        <f>EXP(-LN(2)/25)*BQ126+(1-EXP(-LN(2)/25))/(LN(2)/25)*Calculateur!BL127*Calculateur!BN127*VLOOKUP('Données projet'!$B$11,Paramètres!$A$1:$I$89,3,0)*0.475*44/12</f>
        <v>1.6965713605677419</v>
      </c>
      <c r="BR127" s="21">
        <f>EXP(-LN(2)/2)*BR126+(1-EXP(-LN(2)/2))/(LN(2)/2)*BL127*BO127*VLOOKUP('Données projet'!$B$11,Paramètres!$A$1:$I$89,3,0)*0.475*44/12</f>
        <v>1.4227798759299948E-13</v>
      </c>
      <c r="BS127" s="22">
        <f t="shared" si="63"/>
        <v>2.1693847098064731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3.4106051316484809E-13</v>
      </c>
      <c r="BZ127" s="13">
        <f>BY127*VLOOKUP('Données projet'!$B$12,Paramètres!$A$1:$I$89,3,0)*VLOOKUP('Données projet'!$B$12,Paramètres!$A$1:$I$89,5,0)</f>
        <v>1.5961632016114892E-13</v>
      </c>
      <c r="CA127" s="13">
        <f t="shared" si="93"/>
        <v>2.2708641912150958E-12</v>
      </c>
      <c r="CB127" s="20">
        <f t="shared" si="64"/>
        <v>4.2330868906469593E-12</v>
      </c>
      <c r="CC127" s="59">
        <f t="shared" si="65"/>
        <v>293.33333333333752</v>
      </c>
      <c r="CD127" s="59">
        <f ca="1">AVERAGE(OFFSET($CC$3,0,0,'Données projet'!$E$12+1,1))-AVERAGE(OFFSET($H$3,0,0,'Données projet'!$E$12+1,1))</f>
        <v>158.58786357608489</v>
      </c>
      <c r="CE127" s="59">
        <f t="shared" si="94"/>
        <v>163.20074068819849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4.1677594708744434E-14</v>
      </c>
      <c r="CV127" s="13">
        <f t="shared" si="95"/>
        <v>6.9326303456159188E-13</v>
      </c>
      <c r="CW127" s="20">
        <f t="shared" si="67"/>
        <v>1.2800215959791691E-12</v>
      </c>
      <c r="CX127" s="59">
        <f t="shared" si="68"/>
        <v>293.33333333333462</v>
      </c>
      <c r="CY127" s="59">
        <f ca="1">AVERAGE(OFFSET($CX$3,0,0,'Données projet'!$E$13+1,1))-AVERAGE(OFFSET($H$3,0,0,'Données projet'!$E$13+1,1))</f>
        <v>178.12968684094687</v>
      </c>
      <c r="CZ127" s="59">
        <f t="shared" si="96"/>
        <v>219.36004077210373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0.56750060143276893</v>
      </c>
      <c r="DH127" s="21">
        <f>EXP(-LN(2)/2)*DH126+(1-EXP(-LN(2)/2))/(LN(2)/2)*DB127*DE127*VLOOKUP('Données projet'!$B$13,Paramètres!$A$1:$I$89,3,0)*0.475*44/12</f>
        <v>7.0468179541716774E-14</v>
      </c>
      <c r="DI127" s="22">
        <f t="shared" si="69"/>
        <v>0.56750060143283942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-8.5265128291212022E-14</v>
      </c>
      <c r="DP127" s="17">
        <f>DO127*VLOOKUP('Données projet'!$B$14,Paramètres!$A$1:$I$89,3,0)*VLOOKUP('Données projet'!$B$14,Paramètres!$A$1:$I$89,5,0)</f>
        <v>-7.7147888077888636E-14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225.28075317732998</v>
      </c>
      <c r="DU127" s="59">
        <f t="shared" si="98"/>
        <v>358.43407531256207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0.34869857809523469</v>
      </c>
      <c r="EB127" s="21">
        <f>EXP(-LN(2)/25)*EB126+(1-EXP(-LN(2)/25))/(LN(2)/25)*Calculateur!DW127*Calculateur!DY127*VLOOKUP('Données projet'!$B$14,Paramètres!$A$1:$I$89,3,0)*0.475*44/12</f>
        <v>0.6105773896300899</v>
      </c>
      <c r="EC127" s="21">
        <f>EXP(-LN(2)/2)*EC126+(1-EXP(-LN(2)/2))/(LN(2)/2)*DW127*DZ127*VLOOKUP('Données projet'!$B$14,Paramètres!$A$1:$I$89,3,0)*0.475*44/12</f>
        <v>3.136350638733293E-14</v>
      </c>
      <c r="ED127" s="22">
        <f t="shared" si="72"/>
        <v>0.95927596772535595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7.1730769230769287</v>
      </c>
      <c r="EJ127" s="12">
        <f>IF('Données projet'!$A$192&gt;35,EJ126+EI127-ER126,IF(A127&lt;'Données projet'!$A$192,$EG$205^A127,IF(A127='Données projet'!$A$192,'Données projet'!$B$192,EJ126+EI127-ER126)))</f>
        <v>367.82051282051236</v>
      </c>
      <c r="EK127" s="17">
        <f>EJ127*VLOOKUP('Données projet'!$B$15,Paramètres!$A$1:$I$89,3,0)*VLOOKUP('Données projet'!$B$15,Paramètres!$A$1:$I$89,5,0)</f>
        <v>372.96999999999952</v>
      </c>
      <c r="EL127" s="13">
        <f t="shared" si="99"/>
        <v>86.274633567645409</v>
      </c>
      <c r="EM127" s="20">
        <f t="shared" si="73"/>
        <v>799.85107013031484</v>
      </c>
      <c r="EN127" s="59">
        <f t="shared" si="74"/>
        <v>1093.1844034636481</v>
      </c>
      <c r="EO127" s="59">
        <f ca="1">AVERAGE(OFFSET($EN$3,0,0,'Données projet'!$E$15+1,1))-AVERAGE(OFFSET($H$3,0,0,'Données projet'!$E$15+1,1))</f>
        <v>363.98308691765931</v>
      </c>
      <c r="EP127" s="59">
        <f t="shared" si="100"/>
        <v>181.47089407988187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7.1730769230769287</v>
      </c>
      <c r="FE127" s="12">
        <f>IF('Données projet'!$A$218&gt;35,FE126+FD127-FM126,IF(A127&lt;'Données projet'!$A$218,$FB$205^A127,IF(A127='Données projet'!$A$218,'Données projet'!$B$218,FE126+FD127-FM126)))</f>
        <v>367.82051282051236</v>
      </c>
      <c r="FF127" s="17">
        <f>FE127*VLOOKUP('Données projet'!$B$16,Paramètres!$A$1:$I$89,3,0)*VLOOKUP('Données projet'!$B$16,Paramètres!$A$1:$I$89,5,0)</f>
        <v>395.92199999999951</v>
      </c>
      <c r="FG127" s="13">
        <f t="shared" si="101"/>
        <v>90.949420880746644</v>
      </c>
      <c r="FH127" s="20">
        <f t="shared" si="76"/>
        <v>847.96772470063286</v>
      </c>
      <c r="FI127" s="59">
        <f t="shared" si="77"/>
        <v>1141.3010580339662</v>
      </c>
      <c r="FJ127" s="59">
        <f ca="1">AVERAGE(OFFSET($FI$3,0,0,'Données projet'!$E$16+1,1))-AVERAGE(OFFSET($H$3,0,0,'Données projet'!$E$16+1,1))</f>
        <v>395.30533160963489</v>
      </c>
      <c r="FK127" s="59">
        <f t="shared" si="102"/>
        <v>196.02102977695085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227.99999999999986</v>
      </c>
      <c r="GA127" s="17">
        <f>FZ127*VLOOKUP('Données projet'!$B$17,Paramètres!$A$1:$I$89,3,0)*VLOOKUP('Données projet'!$B$17,Paramètres!$A$1:$I$89,5,0)</f>
        <v>238.30559999999986</v>
      </c>
      <c r="GB127" s="13">
        <f t="shared" si="103"/>
        <v>58.074821878967043</v>
      </c>
      <c r="GC127" s="20">
        <f t="shared" si="79"/>
        <v>516.19590143920061</v>
      </c>
      <c r="GD127" s="59">
        <f t="shared" si="80"/>
        <v>809.52923477253398</v>
      </c>
      <c r="GE127" s="59">
        <f ca="1">AVERAGE(OFFSET($GD$3,0,0,'Données projet'!$E$17+1,1))-AVERAGE(OFFSET($H$3,0,0,'Données projet'!$E$17+1,1))</f>
        <v>269.41185214595805</v>
      </c>
      <c r="GF127" s="59">
        <f t="shared" si="104"/>
        <v>299.70148160580993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0.9855982762667681</v>
      </c>
      <c r="GM127" s="21">
        <f>EXP(-LN(2)/25)*GM126+(1-EXP(-LN(2)/25))/(LN(2)/25)*Calculateur!GH127*Calculateur!GJ127*VLOOKUP('Données projet'!$B$17,Paramètres!$A$1:$I$89,3,0)*0.475*44/12</f>
        <v>1.1974867057588054</v>
      </c>
      <c r="GN127" s="21">
        <f>EXP(-LN(2)/2)*GN126+(1-EXP(-LN(2)/2))/(LN(2)/2)*GH127*GK127*VLOOKUP('Données projet'!$B$17,Paramètres!$A$1:$I$89,3,0)*0.475*44/12</f>
        <v>1.3577525637726847E-13</v>
      </c>
      <c r="GO127" s="21">
        <f t="shared" si="81"/>
        <v>2.1830849820257097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5.6843418860808015E-14</v>
      </c>
      <c r="GV127" s="17">
        <f>GU127*VLOOKUP('Données projet'!$B$18,Paramètres!$A$1:$I$89,3,0)*VLOOKUP('Données projet'!$B$18,Paramètres!$A$1:$I$89,5,0)</f>
        <v>4.9658410716801891E-14</v>
      </c>
      <c r="GW127" s="13">
        <f t="shared" si="105"/>
        <v>8.0934058173791862E-13</v>
      </c>
      <c r="GX127" s="20">
        <f t="shared" si="82"/>
        <v>1.4960899118586383E-12</v>
      </c>
      <c r="GY127" s="59">
        <f t="shared" si="83"/>
        <v>293.33333333333479</v>
      </c>
      <c r="GZ127" s="59">
        <f ca="1">AVERAGE(OFFSET($GY$3,0,0,'Données projet'!$E$18+1,1))-AVERAGE(OFFSET($H$3,0,0,'Données projet'!$E$18+1,1))</f>
        <v>226.35975611953359</v>
      </c>
      <c r="HA127" s="59">
        <f t="shared" si="106"/>
        <v>271.65876694892461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0.8334199827077976</v>
      </c>
      <c r="HI127" s="21">
        <f>EXP(-LN(2)/2)*HI126+(1-EXP(-LN(2)/2))/(LN(2)/2)*HC127*HF127*VLOOKUP('Données projet'!$B$18,Paramètres!$A$1:$I$89,3,0)*0.475*44/12</f>
        <v>8.3962086262471031E-14</v>
      </c>
      <c r="HJ127" s="22">
        <f t="shared" si="84"/>
        <v>0.83341998270788153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7.1730769230769287</v>
      </c>
      <c r="N128" s="13">
        <f>IF('Données projet'!$A$36&gt;35,N127+M128-V127,IF(A128&lt;'Données projet'!$A$36,$K$205^A128,IF(A128='Données projet'!$A$36,'Données projet'!$B$36,N127+M128-V127)))</f>
        <v>374.99358974358927</v>
      </c>
      <c r="O128" s="13">
        <f>N128*VLOOKUP('Données projet'!$B$9,Paramètres!$A$1:$I$89,3,0)*VLOOKUP('Données projet'!$B$9,Paramètres!$A$1:$I$89,5,0)</f>
        <v>339.29419999999953</v>
      </c>
      <c r="P128" s="13">
        <f t="shared" si="87"/>
        <v>79.354106041732479</v>
      </c>
      <c r="Q128" s="20">
        <f t="shared" si="107"/>
        <v>729.14579968934993</v>
      </c>
      <c r="R128" s="59">
        <f t="shared" si="55"/>
        <v>1022.4791330226833</v>
      </c>
      <c r="S128" s="59">
        <f ca="1">AVERAGE(OFFSET($R$3,0,0,'Données projet'!$E$9+1,1))-AVERAGE(OFFSET($H$3,0,0,'Données projet'!$E$9+1,1))</f>
        <v>309.07357540707869</v>
      </c>
      <c r="T128" s="59">
        <f t="shared" si="88"/>
        <v>155.9593924683299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227.99999999999986</v>
      </c>
      <c r="AJ128" s="13">
        <f>AI128*VLOOKUP('Données projet'!$B$10,Paramètres!$A$1:$I$89,3,0)*VLOOKUP('Données projet'!$B$10,Paramètres!$A$1:$I$89,5,0)</f>
        <v>199.18079999999992</v>
      </c>
      <c r="AK128" s="13">
        <f t="shared" si="89"/>
        <v>49.564089376413683</v>
      </c>
      <c r="AL128" s="20">
        <f t="shared" si="58"/>
        <v>433.23068233058694</v>
      </c>
      <c r="AM128" s="59">
        <f t="shared" si="59"/>
        <v>726.56401566392026</v>
      </c>
      <c r="AN128" s="59">
        <f ca="1">AVERAGE(OFFSET($AM$3,0,0,'Données projet'!$E$10+1,1))-AVERAGE(OFFSET($H$3,0,0,'Données projet'!$E$10+1,1))</f>
        <v>210.07838338464626</v>
      </c>
      <c r="AO128" s="59">
        <f t="shared" si="90"/>
        <v>241.76003724236273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0.80762973929234183</v>
      </c>
      <c r="AV128" s="21">
        <f>EXP(-LN(2)/25)*AV127+(1-EXP(-LN(2)/25))/(LN(2)/25)*Calculateur!AQ128*Calculateur!AS128*VLOOKUP('Données projet'!$B$10,Paramètres!$A$1:$I$89,3,0)*0.475*44/12</f>
        <v>0.9735151739363811</v>
      </c>
      <c r="AW128" s="21">
        <f>EXP(-LN(2)/2)*AW127+(1-EXP(-LN(2)/2))/(LN(2)/2)*AQ128*AT128*VLOOKUP('Données projet'!$B$10,Paramètres!$A$1:$I$89,3,0)*0.475*44/12</f>
        <v>8.0245161971577845E-14</v>
      </c>
      <c r="AX128" s="21">
        <f t="shared" si="60"/>
        <v>1.7811449132288031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2.2737367544323206E-13</v>
      </c>
      <c r="BE128" s="13">
        <f>BD128*VLOOKUP('Données projet'!$B$11,Paramètres!$A$1:$I$89,3,0)*VLOOKUP('Données projet'!$B$11,Paramètres!$A$1:$I$89,5,0)</f>
        <v>1.2414602679200471E-13</v>
      </c>
      <c r="BF128" s="13">
        <f t="shared" si="91"/>
        <v>1.8186582995804361E-12</v>
      </c>
      <c r="BG128" s="20">
        <f t="shared" si="61"/>
        <v>3.3837175350986671E-12</v>
      </c>
      <c r="BH128" s="59">
        <f t="shared" si="62"/>
        <v>293.33333333333672</v>
      </c>
      <c r="BI128" s="59">
        <f ca="1">AVERAGE(OFFSET($BH$3,0,0,'Données projet'!$E$11+1,1))-AVERAGE(OFFSET($H$3,0,0,'Données projet'!$E$11+1,1))</f>
        <v>168.72306536277267</v>
      </c>
      <c r="BJ128" s="59">
        <f t="shared" si="92"/>
        <v>203.35476578922339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0.46354176784768752</v>
      </c>
      <c r="BQ128" s="21">
        <f>EXP(-LN(2)/25)*BQ127+(1-EXP(-LN(2)/25))/(LN(2)/25)*Calculateur!BL128*Calculateur!BN128*VLOOKUP('Données projet'!$B$11,Paramètres!$A$1:$I$89,3,0)*0.475*44/12</f>
        <v>1.6501785274942067</v>
      </c>
      <c r="BR128" s="21">
        <f>EXP(-LN(2)/2)*BR127+(1-EXP(-LN(2)/2))/(LN(2)/2)*BL128*BO128*VLOOKUP('Données projet'!$B$11,Paramètres!$A$1:$I$89,3,0)*0.475*44/12</f>
        <v>1.0060572984058541E-13</v>
      </c>
      <c r="BS128" s="22">
        <f t="shared" si="63"/>
        <v>2.1137202953419951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3.4106051316484809E-13</v>
      </c>
      <c r="BZ128" s="13">
        <f>BY128*VLOOKUP('Données projet'!$B$12,Paramètres!$A$1:$I$89,3,0)*VLOOKUP('Données projet'!$B$12,Paramètres!$A$1:$I$89,5,0)</f>
        <v>1.5961632016114892E-13</v>
      </c>
      <c r="CA128" s="13">
        <f t="shared" si="93"/>
        <v>2.2708641912150958E-12</v>
      </c>
      <c r="CB128" s="20">
        <f t="shared" si="64"/>
        <v>4.2330868906469593E-12</v>
      </c>
      <c r="CC128" s="59">
        <f t="shared" si="65"/>
        <v>293.33333333333752</v>
      </c>
      <c r="CD128" s="59">
        <f ca="1">AVERAGE(OFFSET($CC$3,0,0,'Données projet'!$E$12+1,1))-AVERAGE(OFFSET($H$3,0,0,'Données projet'!$E$12+1,1))</f>
        <v>158.58786357608489</v>
      </c>
      <c r="CE128" s="59">
        <f t="shared" si="94"/>
        <v>163.20074068819849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4.1677594708744434E-14</v>
      </c>
      <c r="CV128" s="13">
        <f t="shared" si="95"/>
        <v>6.9326303456159188E-13</v>
      </c>
      <c r="CW128" s="20">
        <f t="shared" si="67"/>
        <v>1.2800215959791691E-12</v>
      </c>
      <c r="CX128" s="59">
        <f t="shared" si="68"/>
        <v>293.33333333333462</v>
      </c>
      <c r="CY128" s="59">
        <f ca="1">AVERAGE(OFFSET($CX$3,0,0,'Données projet'!$E$13+1,1))-AVERAGE(OFFSET($H$3,0,0,'Données projet'!$E$13+1,1))</f>
        <v>178.12968684094687</v>
      </c>
      <c r="CZ128" s="59">
        <f t="shared" si="96"/>
        <v>219.36004077210373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0.55198226764303027</v>
      </c>
      <c r="DH128" s="21">
        <f>EXP(-LN(2)/2)*DH127+(1-EXP(-LN(2)/2))/(LN(2)/2)*DB128*DE128*VLOOKUP('Données projet'!$B$13,Paramètres!$A$1:$I$89,3,0)*0.475*44/12</f>
        <v>4.9828527611819068E-14</v>
      </c>
      <c r="DI128" s="22">
        <f t="shared" si="69"/>
        <v>0.55198226764308012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-8.5265128291212022E-14</v>
      </c>
      <c r="DP128" s="17">
        <f>DO128*VLOOKUP('Données projet'!$B$14,Paramètres!$A$1:$I$89,3,0)*VLOOKUP('Données projet'!$B$14,Paramètres!$A$1:$I$89,5,0)</f>
        <v>-7.7147888077888636E-14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225.28075317732998</v>
      </c>
      <c r="DU128" s="59">
        <f t="shared" si="98"/>
        <v>358.43407531256207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0.34186081166391885</v>
      </c>
      <c r="EB128" s="21">
        <f>EXP(-LN(2)/25)*EB127+(1-EXP(-LN(2)/25))/(LN(2)/25)*Calculateur!DW128*Calculateur!DY128*VLOOKUP('Données projet'!$B$14,Paramètres!$A$1:$I$89,3,0)*0.475*44/12</f>
        <v>0.59388111880178562</v>
      </c>
      <c r="EC128" s="21">
        <f>EXP(-LN(2)/2)*EC127+(1-EXP(-LN(2)/2))/(LN(2)/2)*DW128*DZ128*VLOOKUP('Données projet'!$B$14,Paramètres!$A$1:$I$89,3,0)*0.475*44/12</f>
        <v>2.2177348048270712E-14</v>
      </c>
      <c r="ED128" s="22">
        <f t="shared" si="72"/>
        <v>0.93574193046572662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7.1730769230769287</v>
      </c>
      <c r="EJ128" s="12">
        <f>IF('Données projet'!$A$192&gt;35,EJ127+EI128-ER127,IF(A128&lt;'Données projet'!$A$192,$EG$205^A128,IF(A128='Données projet'!$A$192,'Données projet'!$B$192,EJ127+EI128-ER127)))</f>
        <v>374.99358974358927</v>
      </c>
      <c r="EK128" s="17">
        <f>EJ128*VLOOKUP('Données projet'!$B$15,Paramètres!$A$1:$I$89,3,0)*VLOOKUP('Données projet'!$B$15,Paramètres!$A$1:$I$89,5,0)</f>
        <v>380.24349999999953</v>
      </c>
      <c r="EL128" s="13">
        <f t="shared" si="99"/>
        <v>87.75960711561234</v>
      </c>
      <c r="EM128" s="20">
        <f t="shared" si="73"/>
        <v>815.10541155969076</v>
      </c>
      <c r="EN128" s="59">
        <f t="shared" si="74"/>
        <v>1108.438744893024</v>
      </c>
      <c r="EO128" s="59">
        <f ca="1">AVERAGE(OFFSET($EN$3,0,0,'Données projet'!$E$15+1,1))-AVERAGE(OFFSET($H$3,0,0,'Données projet'!$E$15+1,1))</f>
        <v>363.98308691765931</v>
      </c>
      <c r="EP128" s="59">
        <f t="shared" si="100"/>
        <v>181.47089407988187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7.1730769230769287</v>
      </c>
      <c r="FE128" s="12">
        <f>IF('Données projet'!$A$218&gt;35,FE127+FD128-FM127,IF(A128&lt;'Données projet'!$A$218,$FB$205^A128,IF(A128='Données projet'!$A$218,'Données projet'!$B$218,FE127+FD128-FM127)))</f>
        <v>374.99358974358927</v>
      </c>
      <c r="FF128" s="17">
        <f>FE128*VLOOKUP('Données projet'!$B$16,Paramètres!$A$1:$I$89,3,0)*VLOOKUP('Données projet'!$B$16,Paramètres!$A$1:$I$89,5,0)</f>
        <v>403.64309999999944</v>
      </c>
      <c r="FG128" s="13">
        <f t="shared" si="101"/>
        <v>92.514857656608825</v>
      </c>
      <c r="FH128" s="20">
        <f t="shared" si="76"/>
        <v>864.14177625192588</v>
      </c>
      <c r="FI128" s="59">
        <f t="shared" si="77"/>
        <v>1157.4751095852591</v>
      </c>
      <c r="FJ128" s="59">
        <f ca="1">AVERAGE(OFFSET($FI$3,0,0,'Données projet'!$E$16+1,1))-AVERAGE(OFFSET($H$3,0,0,'Données projet'!$E$16+1,1))</f>
        <v>395.30533160963489</v>
      </c>
      <c r="FK128" s="59">
        <f t="shared" si="102"/>
        <v>196.02102977695085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227.99999999999986</v>
      </c>
      <c r="GA128" s="17">
        <f>FZ128*VLOOKUP('Données projet'!$B$17,Paramètres!$A$1:$I$89,3,0)*VLOOKUP('Données projet'!$B$17,Paramètres!$A$1:$I$89,5,0)</f>
        <v>238.30559999999986</v>
      </c>
      <c r="GB128" s="13">
        <f t="shared" si="103"/>
        <v>58.074821878967043</v>
      </c>
      <c r="GC128" s="20">
        <f t="shared" si="79"/>
        <v>516.19590143920061</v>
      </c>
      <c r="GD128" s="59">
        <f t="shared" si="80"/>
        <v>809.52923477253398</v>
      </c>
      <c r="GE128" s="59">
        <f ca="1">AVERAGE(OFFSET($GD$3,0,0,'Données projet'!$E$17+1,1))-AVERAGE(OFFSET($H$3,0,0,'Données projet'!$E$17+1,1))</f>
        <v>269.41185214595805</v>
      </c>
      <c r="GF128" s="59">
        <f t="shared" si="104"/>
        <v>299.70148160580993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0.96627129522476607</v>
      </c>
      <c r="GM128" s="21">
        <f>EXP(-LN(2)/25)*GM127+(1-EXP(-LN(2)/25))/(LN(2)/25)*Calculateur!GH128*Calculateur!GJ128*VLOOKUP('Données projet'!$B$17,Paramètres!$A$1:$I$89,3,0)*0.475*44/12</f>
        <v>1.1647413688167418</v>
      </c>
      <c r="GN128" s="21">
        <f>EXP(-LN(2)/2)*GN127+(1-EXP(-LN(2)/2))/(LN(2)/2)*GH128*GK128*VLOOKUP('Données projet'!$B$17,Paramètres!$A$1:$I$89,3,0)*0.475*44/12</f>
        <v>9.600760450170857E-14</v>
      </c>
      <c r="GO128" s="21">
        <f t="shared" si="81"/>
        <v>2.1310126640416041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5.6843418860808015E-14</v>
      </c>
      <c r="GV128" s="17">
        <f>GU128*VLOOKUP('Données projet'!$B$18,Paramètres!$A$1:$I$89,3,0)*VLOOKUP('Données projet'!$B$18,Paramètres!$A$1:$I$89,5,0)</f>
        <v>4.9658410716801891E-14</v>
      </c>
      <c r="GW128" s="13">
        <f t="shared" si="105"/>
        <v>8.0934058173791862E-13</v>
      </c>
      <c r="GX128" s="20">
        <f t="shared" si="82"/>
        <v>1.4960899118586383E-12</v>
      </c>
      <c r="GY128" s="59">
        <f t="shared" si="83"/>
        <v>293.33333333333479</v>
      </c>
      <c r="GZ128" s="59">
        <f ca="1">AVERAGE(OFFSET($GY$3,0,0,'Données projet'!$E$18+1,1))-AVERAGE(OFFSET($H$3,0,0,'Données projet'!$E$18+1,1))</f>
        <v>226.35975611953359</v>
      </c>
      <c r="HA128" s="59">
        <f t="shared" si="106"/>
        <v>271.65876694892461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0.81063006945300076</v>
      </c>
      <c r="HI128" s="21">
        <f>EXP(-LN(2)/2)*HI127+(1-EXP(-LN(2)/2))/(LN(2)/2)*HC128*HF128*VLOOKUP('Données projet'!$B$18,Paramètres!$A$1:$I$89,3,0)*0.475*44/12</f>
        <v>5.9370160558763129E-14</v>
      </c>
      <c r="HJ128" s="22">
        <f t="shared" si="84"/>
        <v>0.81063006945306015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7.1730769230769287</v>
      </c>
      <c r="N129" s="13">
        <f>IF('Données projet'!$A$36&gt;35,N128+M129-V128,IF(A129&lt;'Données projet'!$A$36,$K$205^A129,IF(A129='Données projet'!$A$36,'Données projet'!$B$36,N128+M129-V128)))</f>
        <v>382.16666666666617</v>
      </c>
      <c r="O129" s="13">
        <f>N129*VLOOKUP('Données projet'!$B$9,Paramètres!$A$1:$I$89,3,0)*VLOOKUP('Données projet'!$B$9,Paramètres!$A$1:$I$89,5,0)</f>
        <v>345.78439999999955</v>
      </c>
      <c r="P129" s="13">
        <f t="shared" si="87"/>
        <v>80.69386418406053</v>
      </c>
      <c r="Q129" s="20">
        <f t="shared" si="107"/>
        <v>742.782976787238</v>
      </c>
      <c r="R129" s="59">
        <f t="shared" si="55"/>
        <v>1036.1163101205714</v>
      </c>
      <c r="S129" s="59">
        <f ca="1">AVERAGE(OFFSET($R$3,0,0,'Données projet'!$E$9+1,1))-AVERAGE(OFFSET($H$3,0,0,'Données projet'!$E$9+1,1))</f>
        <v>309.07357540707869</v>
      </c>
      <c r="T129" s="59">
        <f t="shared" si="88"/>
        <v>155.9593924683299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227.99999999999986</v>
      </c>
      <c r="AJ129" s="13">
        <f>AI129*VLOOKUP('Données projet'!$B$10,Paramètres!$A$1:$I$89,3,0)*VLOOKUP('Données projet'!$B$10,Paramètres!$A$1:$I$89,5,0)</f>
        <v>199.18079999999992</v>
      </c>
      <c r="AK129" s="13">
        <f t="shared" si="89"/>
        <v>49.564089376413683</v>
      </c>
      <c r="AL129" s="20">
        <f t="shared" si="58"/>
        <v>433.23068233058694</v>
      </c>
      <c r="AM129" s="59">
        <f t="shared" si="59"/>
        <v>726.56401566392026</v>
      </c>
      <c r="AN129" s="59">
        <f ca="1">AVERAGE(OFFSET($AM$3,0,0,'Données projet'!$E$10+1,1))-AVERAGE(OFFSET($H$3,0,0,'Données projet'!$E$10+1,1))</f>
        <v>210.07838338464626</v>
      </c>
      <c r="AO129" s="59">
        <f t="shared" si="90"/>
        <v>241.76003724236273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0.7917926127103192</v>
      </c>
      <c r="AV129" s="21">
        <f>EXP(-LN(2)/25)*AV128+(1-EXP(-LN(2)/25))/(LN(2)/25)*Calculateur!AQ129*Calculateur!AS129*VLOOKUP('Données projet'!$B$10,Paramètres!$A$1:$I$89,3,0)*0.475*44/12</f>
        <v>0.94689435031015279</v>
      </c>
      <c r="AW129" s="21">
        <f>EXP(-LN(2)/2)*AW128+(1-EXP(-LN(2)/2))/(LN(2)/2)*AQ129*AT129*VLOOKUP('Données projet'!$B$10,Paramètres!$A$1:$I$89,3,0)*0.475*44/12</f>
        <v>5.6741898187515562E-14</v>
      </c>
      <c r="AX129" s="21">
        <f t="shared" si="60"/>
        <v>1.7386869630205288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2.2737367544323206E-13</v>
      </c>
      <c r="BE129" s="13">
        <f>BD129*VLOOKUP('Données projet'!$B$11,Paramètres!$A$1:$I$89,3,0)*VLOOKUP('Données projet'!$B$11,Paramètres!$A$1:$I$89,5,0)</f>
        <v>1.2414602679200471E-13</v>
      </c>
      <c r="BF129" s="13">
        <f t="shared" si="91"/>
        <v>1.8186582995804361E-12</v>
      </c>
      <c r="BG129" s="20">
        <f t="shared" si="61"/>
        <v>3.3837175350986671E-12</v>
      </c>
      <c r="BH129" s="59">
        <f t="shared" si="62"/>
        <v>293.33333333333672</v>
      </c>
      <c r="BI129" s="59">
        <f ca="1">AVERAGE(OFFSET($BH$3,0,0,'Données projet'!$E$11+1,1))-AVERAGE(OFFSET($H$3,0,0,'Données projet'!$E$11+1,1))</f>
        <v>168.72306536277267</v>
      </c>
      <c r="BJ129" s="59">
        <f t="shared" si="92"/>
        <v>203.35476578922339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0.45445199651275525</v>
      </c>
      <c r="BQ129" s="21">
        <f>EXP(-LN(2)/25)*BQ128+(1-EXP(-LN(2)/25))/(LN(2)/25)*Calculateur!BL129*Calculateur!BN129*VLOOKUP('Données projet'!$B$11,Paramètres!$A$1:$I$89,3,0)*0.475*44/12</f>
        <v>1.6050543088807603</v>
      </c>
      <c r="BR129" s="21">
        <f>EXP(-LN(2)/2)*BR128+(1-EXP(-LN(2)/2))/(LN(2)/2)*BL129*BO129*VLOOKUP('Données projet'!$B$11,Paramètres!$A$1:$I$89,3,0)*0.475*44/12</f>
        <v>7.1138993796499741E-14</v>
      </c>
      <c r="BS129" s="22">
        <f t="shared" si="63"/>
        <v>2.0595063053935867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3.4106051316484809E-13</v>
      </c>
      <c r="BZ129" s="13">
        <f>BY129*VLOOKUP('Données projet'!$B$12,Paramètres!$A$1:$I$89,3,0)*VLOOKUP('Données projet'!$B$12,Paramètres!$A$1:$I$89,5,0)</f>
        <v>1.5961632016114892E-13</v>
      </c>
      <c r="CA129" s="13">
        <f t="shared" si="93"/>
        <v>2.2708641912150958E-12</v>
      </c>
      <c r="CB129" s="20">
        <f t="shared" si="64"/>
        <v>4.2330868906469593E-12</v>
      </c>
      <c r="CC129" s="59">
        <f t="shared" si="65"/>
        <v>293.33333333333752</v>
      </c>
      <c r="CD129" s="59">
        <f ca="1">AVERAGE(OFFSET($CC$3,0,0,'Données projet'!$E$12+1,1))-AVERAGE(OFFSET($H$3,0,0,'Données projet'!$E$12+1,1))</f>
        <v>158.58786357608489</v>
      </c>
      <c r="CE129" s="59">
        <f t="shared" si="94"/>
        <v>163.20074068819849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4.1677594708744434E-14</v>
      </c>
      <c r="CV129" s="13">
        <f t="shared" si="95"/>
        <v>6.9326303456159188E-13</v>
      </c>
      <c r="CW129" s="20">
        <f t="shared" si="67"/>
        <v>1.2800215959791691E-12</v>
      </c>
      <c r="CX129" s="59">
        <f t="shared" si="68"/>
        <v>293.33333333333462</v>
      </c>
      <c r="CY129" s="59">
        <f ca="1">AVERAGE(OFFSET($CX$3,0,0,'Données projet'!$E$13+1,1))-AVERAGE(OFFSET($H$3,0,0,'Données projet'!$E$13+1,1))</f>
        <v>178.12968684094687</v>
      </c>
      <c r="CZ129" s="59">
        <f t="shared" si="96"/>
        <v>219.36004077210373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0.5368882835068457</v>
      </c>
      <c r="DH129" s="21">
        <f>EXP(-LN(2)/2)*DH128+(1-EXP(-LN(2)/2))/(LN(2)/2)*DB129*DE129*VLOOKUP('Données projet'!$B$13,Paramètres!$A$1:$I$89,3,0)*0.475*44/12</f>
        <v>3.5234089770858387E-14</v>
      </c>
      <c r="DI129" s="22">
        <f t="shared" si="69"/>
        <v>0.53688828350688089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-8.5265128291212022E-14</v>
      </c>
      <c r="DP129" s="17">
        <f>DO129*VLOOKUP('Données projet'!$B$14,Paramètres!$A$1:$I$89,3,0)*VLOOKUP('Données projet'!$B$14,Paramètres!$A$1:$I$89,5,0)</f>
        <v>-7.7147888077888636E-14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225.28075317732998</v>
      </c>
      <c r="DU129" s="59">
        <f t="shared" si="98"/>
        <v>358.43407531256207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0.33515712966169542</v>
      </c>
      <c r="EB129" s="21">
        <f>EXP(-LN(2)/25)*EB128+(1-EXP(-LN(2)/25))/(LN(2)/25)*Calculateur!DW129*Calculateur!DY129*VLOOKUP('Données projet'!$B$14,Paramètres!$A$1:$I$89,3,0)*0.475*44/12</f>
        <v>0.57764140837730005</v>
      </c>
      <c r="EC129" s="21">
        <f>EXP(-LN(2)/2)*EC128+(1-EXP(-LN(2)/2))/(LN(2)/2)*DW129*DZ129*VLOOKUP('Données projet'!$B$14,Paramètres!$A$1:$I$89,3,0)*0.475*44/12</f>
        <v>1.5681753193666465E-14</v>
      </c>
      <c r="ED129" s="22">
        <f t="shared" si="72"/>
        <v>0.91279853803901112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7.1730769230769287</v>
      </c>
      <c r="EJ129" s="12">
        <f>IF('Données projet'!$A$192&gt;35,EJ128+EI129-ER128,IF(A129&lt;'Données projet'!$A$192,$EG$205^A129,IF(A129='Données projet'!$A$192,'Données projet'!$B$192,EJ128+EI129-ER128)))</f>
        <v>382.16666666666617</v>
      </c>
      <c r="EK129" s="17">
        <f>EJ129*VLOOKUP('Données projet'!$B$15,Paramètres!$A$1:$I$89,3,0)*VLOOKUP('Données projet'!$B$15,Paramètres!$A$1:$I$89,5,0)</f>
        <v>387.51699999999954</v>
      </c>
      <c r="EL129" s="13">
        <f t="shared" si="99"/>
        <v>89.241277744462025</v>
      </c>
      <c r="EM129" s="20">
        <f t="shared" si="73"/>
        <v>830.35400040493721</v>
      </c>
      <c r="EN129" s="59">
        <f t="shared" si="74"/>
        <v>1123.6873337382706</v>
      </c>
      <c r="EO129" s="59">
        <f ca="1">AVERAGE(OFFSET($EN$3,0,0,'Données projet'!$E$15+1,1))-AVERAGE(OFFSET($H$3,0,0,'Données projet'!$E$15+1,1))</f>
        <v>363.98308691765931</v>
      </c>
      <c r="EP129" s="59">
        <f t="shared" si="100"/>
        <v>181.47089407988187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7.1730769230769287</v>
      </c>
      <c r="FE129" s="12">
        <f>IF('Données projet'!$A$218&gt;35,FE128+FD129-FM128,IF(A129&lt;'Données projet'!$A$218,$FB$205^A129,IF(A129='Données projet'!$A$218,'Données projet'!$B$218,FE128+FD129-FM128)))</f>
        <v>382.16666666666617</v>
      </c>
      <c r="FF129" s="17">
        <f>FE129*VLOOKUP('Données projet'!$B$16,Paramètres!$A$1:$I$89,3,0)*VLOOKUP('Données projet'!$B$16,Paramètres!$A$1:$I$89,5,0)</f>
        <v>411.36419999999947</v>
      </c>
      <c r="FG129" s="13">
        <f t="shared" si="101"/>
        <v>94.076812544823156</v>
      </c>
      <c r="FH129" s="20">
        <f t="shared" si="76"/>
        <v>880.30976351556603</v>
      </c>
      <c r="FI129" s="59">
        <f t="shared" si="77"/>
        <v>1173.6430968488994</v>
      </c>
      <c r="FJ129" s="59">
        <f ca="1">AVERAGE(OFFSET($FI$3,0,0,'Données projet'!$E$16+1,1))-AVERAGE(OFFSET($H$3,0,0,'Données projet'!$E$16+1,1))</f>
        <v>395.30533160963489</v>
      </c>
      <c r="FK129" s="59">
        <f t="shared" si="102"/>
        <v>196.02102977695085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227.99999999999986</v>
      </c>
      <c r="GA129" s="17">
        <f>FZ129*VLOOKUP('Données projet'!$B$17,Paramètres!$A$1:$I$89,3,0)*VLOOKUP('Données projet'!$B$17,Paramètres!$A$1:$I$89,5,0)</f>
        <v>238.30559999999986</v>
      </c>
      <c r="GB129" s="13">
        <f t="shared" si="103"/>
        <v>58.074821878967043</v>
      </c>
      <c r="GC129" s="20">
        <f t="shared" si="79"/>
        <v>516.19590143920061</v>
      </c>
      <c r="GD129" s="59">
        <f t="shared" si="80"/>
        <v>809.52923477253398</v>
      </c>
      <c r="GE129" s="59">
        <f ca="1">AVERAGE(OFFSET($GD$3,0,0,'Données projet'!$E$17+1,1))-AVERAGE(OFFSET($H$3,0,0,'Données projet'!$E$17+1,1))</f>
        <v>269.41185214595805</v>
      </c>
      <c r="GF129" s="59">
        <f t="shared" si="104"/>
        <v>299.70148160580993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0.9473233044927033</v>
      </c>
      <c r="GM129" s="21">
        <f>EXP(-LN(2)/25)*GM128+(1-EXP(-LN(2)/25))/(LN(2)/25)*Calculateur!GH129*Calculateur!GJ129*VLOOKUP('Données projet'!$B$17,Paramètres!$A$1:$I$89,3,0)*0.475*44/12</f>
        <v>1.1328914548353615</v>
      </c>
      <c r="GN129" s="21">
        <f>EXP(-LN(2)/2)*GN128+(1-EXP(-LN(2)/2))/(LN(2)/2)*GH129*GK129*VLOOKUP('Données projet'!$B$17,Paramètres!$A$1:$I$89,3,0)*0.475*44/12</f>
        <v>6.7887628188634237E-14</v>
      </c>
      <c r="GO129" s="21">
        <f t="shared" si="81"/>
        <v>2.0802147593281326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5.6843418860808015E-14</v>
      </c>
      <c r="GV129" s="17">
        <f>GU129*VLOOKUP('Données projet'!$B$18,Paramètres!$A$1:$I$89,3,0)*VLOOKUP('Données projet'!$B$18,Paramètres!$A$1:$I$89,5,0)</f>
        <v>4.9658410716801891E-14</v>
      </c>
      <c r="GW129" s="13">
        <f t="shared" si="105"/>
        <v>8.0934058173791862E-13</v>
      </c>
      <c r="GX129" s="20">
        <f t="shared" si="82"/>
        <v>1.4960899118586383E-12</v>
      </c>
      <c r="GY129" s="59">
        <f t="shared" si="83"/>
        <v>293.33333333333479</v>
      </c>
      <c r="GZ129" s="59">
        <f ca="1">AVERAGE(OFFSET($GY$3,0,0,'Données projet'!$E$18+1,1))-AVERAGE(OFFSET($H$3,0,0,'Données projet'!$E$18+1,1))</f>
        <v>226.35975611953359</v>
      </c>
      <c r="HA129" s="59">
        <f t="shared" si="106"/>
        <v>271.65876694892461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0.78846334757462577</v>
      </c>
      <c r="HI129" s="21">
        <f>EXP(-LN(2)/2)*HI128+(1-EXP(-LN(2)/2))/(LN(2)/2)*HC129*HF129*VLOOKUP('Données projet'!$B$18,Paramètres!$A$1:$I$89,3,0)*0.475*44/12</f>
        <v>4.1981043131235515E-14</v>
      </c>
      <c r="HJ129" s="22">
        <f t="shared" si="84"/>
        <v>0.78846334757466774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7.1730769230769287</v>
      </c>
      <c r="N130" s="13">
        <f>IF('Données projet'!$A$36&gt;35,N129+M130-V129,IF(A130&lt;'Données projet'!$A$36,$K$205^A130,IF(A130='Données projet'!$A$36,'Données projet'!$B$36,N129+M130-V129)))</f>
        <v>389.33974358974308</v>
      </c>
      <c r="O130" s="13">
        <f>N130*VLOOKUP('Données projet'!$B$9,Paramètres!$A$1:$I$89,3,0)*VLOOKUP('Données projet'!$B$9,Paramètres!$A$1:$I$89,5,0)</f>
        <v>352.27459999999957</v>
      </c>
      <c r="P130" s="13">
        <f t="shared" si="87"/>
        <v>82.030698277048387</v>
      </c>
      <c r="Q130" s="20">
        <f t="shared" si="107"/>
        <v>756.41506116585845</v>
      </c>
      <c r="R130" s="59">
        <f t="shared" si="55"/>
        <v>1049.7483944991918</v>
      </c>
      <c r="S130" s="59">
        <f ca="1">AVERAGE(OFFSET($R$3,0,0,'Données projet'!$E$9+1,1))-AVERAGE(OFFSET($H$3,0,0,'Données projet'!$E$9+1,1))</f>
        <v>309.07357540707869</v>
      </c>
      <c r="T130" s="59">
        <f t="shared" si="88"/>
        <v>155.9593924683299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227.99999999999986</v>
      </c>
      <c r="AJ130" s="13">
        <f>AI130*VLOOKUP('Données projet'!$B$10,Paramètres!$A$1:$I$89,3,0)*VLOOKUP('Données projet'!$B$10,Paramètres!$A$1:$I$89,5,0)</f>
        <v>199.18079999999992</v>
      </c>
      <c r="AK130" s="13">
        <f t="shared" si="89"/>
        <v>49.564089376413683</v>
      </c>
      <c r="AL130" s="20">
        <f t="shared" si="58"/>
        <v>433.23068233058694</v>
      </c>
      <c r="AM130" s="59">
        <f t="shared" si="59"/>
        <v>726.56401566392026</v>
      </c>
      <c r="AN130" s="59">
        <f ca="1">AVERAGE(OFFSET($AM$3,0,0,'Données projet'!$E$10+1,1))-AVERAGE(OFFSET($H$3,0,0,'Données projet'!$E$10+1,1))</f>
        <v>210.07838338464626</v>
      </c>
      <c r="AO130" s="59">
        <f t="shared" si="90"/>
        <v>241.76003724236273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0.77626604252087661</v>
      </c>
      <c r="AV130" s="21">
        <f>EXP(-LN(2)/25)*AV129+(1-EXP(-LN(2)/25))/(LN(2)/25)*Calculateur!AQ130*Calculateur!AS130*VLOOKUP('Données projet'!$B$10,Paramètres!$A$1:$I$89,3,0)*0.475*44/12</f>
        <v>0.92100147450591197</v>
      </c>
      <c r="AW130" s="21">
        <f>EXP(-LN(2)/2)*AW129+(1-EXP(-LN(2)/2))/(LN(2)/2)*AQ130*AT130*VLOOKUP('Données projet'!$B$10,Paramètres!$A$1:$I$89,3,0)*0.475*44/12</f>
        <v>4.0122580985788929E-14</v>
      </c>
      <c r="AX130" s="21">
        <f t="shared" si="60"/>
        <v>1.6972675170268288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2.2737367544323206E-13</v>
      </c>
      <c r="BE130" s="13">
        <f>BD130*VLOOKUP('Données projet'!$B$11,Paramètres!$A$1:$I$89,3,0)*VLOOKUP('Données projet'!$B$11,Paramètres!$A$1:$I$89,5,0)</f>
        <v>1.2414602679200471E-13</v>
      </c>
      <c r="BF130" s="13">
        <f t="shared" si="91"/>
        <v>1.8186582995804361E-12</v>
      </c>
      <c r="BG130" s="20">
        <f t="shared" si="61"/>
        <v>3.3837175350986671E-12</v>
      </c>
      <c r="BH130" s="59">
        <f t="shared" si="62"/>
        <v>293.33333333333672</v>
      </c>
      <c r="BI130" s="59">
        <f ca="1">AVERAGE(OFFSET($BH$3,0,0,'Données projet'!$E$11+1,1))-AVERAGE(OFFSET($H$3,0,0,'Données projet'!$E$11+1,1))</f>
        <v>168.72306536277267</v>
      </c>
      <c r="BJ130" s="59">
        <f t="shared" si="92"/>
        <v>203.35476578922339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0.44554047004948794</v>
      </c>
      <c r="BQ130" s="21">
        <f>EXP(-LN(2)/25)*BQ129+(1-EXP(-LN(2)/25))/(LN(2)/25)*Calculateur!BL130*Calculateur!BN130*VLOOKUP('Données projet'!$B$11,Paramètres!$A$1:$I$89,3,0)*0.475*44/12</f>
        <v>1.5611640143982781</v>
      </c>
      <c r="BR130" s="21">
        <f>EXP(-LN(2)/2)*BR129+(1-EXP(-LN(2)/2))/(LN(2)/2)*BL130*BO130*VLOOKUP('Données projet'!$B$11,Paramètres!$A$1:$I$89,3,0)*0.475*44/12</f>
        <v>5.0302864920292705E-14</v>
      </c>
      <c r="BS130" s="22">
        <f t="shared" si="63"/>
        <v>2.0067044844478161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3.4106051316484809E-13</v>
      </c>
      <c r="BZ130" s="13">
        <f>BY130*VLOOKUP('Données projet'!$B$12,Paramètres!$A$1:$I$89,3,0)*VLOOKUP('Données projet'!$B$12,Paramètres!$A$1:$I$89,5,0)</f>
        <v>1.5961632016114892E-13</v>
      </c>
      <c r="CA130" s="13">
        <f t="shared" si="93"/>
        <v>2.2708641912150958E-12</v>
      </c>
      <c r="CB130" s="20">
        <f t="shared" si="64"/>
        <v>4.2330868906469593E-12</v>
      </c>
      <c r="CC130" s="59">
        <f t="shared" si="65"/>
        <v>293.33333333333752</v>
      </c>
      <c r="CD130" s="59">
        <f ca="1">AVERAGE(OFFSET($CC$3,0,0,'Données projet'!$E$12+1,1))-AVERAGE(OFFSET($H$3,0,0,'Données projet'!$E$12+1,1))</f>
        <v>158.58786357608489</v>
      </c>
      <c r="CE130" s="59">
        <f t="shared" si="94"/>
        <v>163.20074068819849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4.1677594708744434E-14</v>
      </c>
      <c r="CV130" s="13">
        <f t="shared" si="95"/>
        <v>6.9326303456159188E-13</v>
      </c>
      <c r="CW130" s="20">
        <f t="shared" si="67"/>
        <v>1.2800215959791691E-12</v>
      </c>
      <c r="CX130" s="59">
        <f t="shared" si="68"/>
        <v>293.33333333333462</v>
      </c>
      <c r="CY130" s="59">
        <f ca="1">AVERAGE(OFFSET($CX$3,0,0,'Données projet'!$E$13+1,1))-AVERAGE(OFFSET($H$3,0,0,'Données projet'!$E$13+1,1))</f>
        <v>178.12968684094687</v>
      </c>
      <c r="CZ130" s="59">
        <f t="shared" si="96"/>
        <v>219.36004077210373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0.52220704516062322</v>
      </c>
      <c r="DH130" s="21">
        <f>EXP(-LN(2)/2)*DH129+(1-EXP(-LN(2)/2))/(LN(2)/2)*DB130*DE130*VLOOKUP('Données projet'!$B$13,Paramètres!$A$1:$I$89,3,0)*0.475*44/12</f>
        <v>2.4914263805909534E-14</v>
      </c>
      <c r="DI130" s="22">
        <f t="shared" si="69"/>
        <v>0.52220704516064809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-8.5265128291212022E-14</v>
      </c>
      <c r="DP130" s="17">
        <f>DO130*VLOOKUP('Données projet'!$B$14,Paramètres!$A$1:$I$89,3,0)*VLOOKUP('Données projet'!$B$14,Paramètres!$A$1:$I$89,5,0)</f>
        <v>-7.7147888077888636E-14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225.28075317732998</v>
      </c>
      <c r="DU130" s="59">
        <f t="shared" si="98"/>
        <v>358.43407531256207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0.32858490277469332</v>
      </c>
      <c r="EB130" s="21">
        <f>EXP(-LN(2)/25)*EB129+(1-EXP(-LN(2)/25))/(LN(2)/25)*Calculateur!DW130*Calculateur!DY130*VLOOKUP('Données projet'!$B$14,Paramètres!$A$1:$I$89,3,0)*0.475*44/12</f>
        <v>0.56184577368838129</v>
      </c>
      <c r="EC130" s="21">
        <f>EXP(-LN(2)/2)*EC129+(1-EXP(-LN(2)/2))/(LN(2)/2)*DW130*DZ130*VLOOKUP('Données projet'!$B$14,Paramètres!$A$1:$I$89,3,0)*0.475*44/12</f>
        <v>1.1088674024135356E-14</v>
      </c>
      <c r="ED130" s="22">
        <f t="shared" si="72"/>
        <v>0.89043067646308571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7.1730769230769287</v>
      </c>
      <c r="EJ130" s="12">
        <f>IF('Données projet'!$A$192&gt;35,EJ129+EI130-ER129,IF(A130&lt;'Données projet'!$A$192,$EG$205^A130,IF(A130='Données projet'!$A$192,'Données projet'!$B$192,EJ129+EI130-ER129)))</f>
        <v>389.33974358974308</v>
      </c>
      <c r="EK130" s="17">
        <f>EJ130*VLOOKUP('Données projet'!$B$15,Paramètres!$A$1:$I$89,3,0)*VLOOKUP('Données projet'!$B$15,Paramètres!$A$1:$I$89,5,0)</f>
        <v>394.7904999999995</v>
      </c>
      <c r="EL130" s="13">
        <f t="shared" si="99"/>
        <v>90.719714597089066</v>
      </c>
      <c r="EM130" s="20">
        <f t="shared" si="73"/>
        <v>845.59695708992922</v>
      </c>
      <c r="EN130" s="59">
        <f t="shared" si="74"/>
        <v>1138.9302904232625</v>
      </c>
      <c r="EO130" s="59">
        <f ca="1">AVERAGE(OFFSET($EN$3,0,0,'Données projet'!$E$15+1,1))-AVERAGE(OFFSET($H$3,0,0,'Données projet'!$E$15+1,1))</f>
        <v>363.98308691765931</v>
      </c>
      <c r="EP130" s="59">
        <f t="shared" si="100"/>
        <v>181.47089407988187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7.1730769230769287</v>
      </c>
      <c r="FE130" s="12">
        <f>IF('Données projet'!$A$218&gt;35,FE129+FD130-FM129,IF(A130&lt;'Données projet'!$A$218,$FB$205^A130,IF(A130='Données projet'!$A$218,'Données projet'!$B$218,FE129+FD130-FM129)))</f>
        <v>389.33974358974308</v>
      </c>
      <c r="FF130" s="17">
        <f>FE130*VLOOKUP('Données projet'!$B$16,Paramètres!$A$1:$I$89,3,0)*VLOOKUP('Données projet'!$B$16,Paramètres!$A$1:$I$89,5,0)</f>
        <v>419.08529999999939</v>
      </c>
      <c r="FG130" s="13">
        <f t="shared" si="101"/>
        <v>95.635358434789225</v>
      </c>
      <c r="FH130" s="20">
        <f t="shared" si="76"/>
        <v>896.47181344059027</v>
      </c>
      <c r="FI130" s="59">
        <f t="shared" si="77"/>
        <v>1189.8051467739235</v>
      </c>
      <c r="FJ130" s="59">
        <f ca="1">AVERAGE(OFFSET($FI$3,0,0,'Données projet'!$E$16+1,1))-AVERAGE(OFFSET($H$3,0,0,'Données projet'!$E$16+1,1))</f>
        <v>395.30533160963489</v>
      </c>
      <c r="FK130" s="59">
        <f t="shared" si="102"/>
        <v>196.02102977695085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227.99999999999986</v>
      </c>
      <c r="GA130" s="17">
        <f>FZ130*VLOOKUP('Données projet'!$B$17,Paramètres!$A$1:$I$89,3,0)*VLOOKUP('Données projet'!$B$17,Paramètres!$A$1:$I$89,5,0)</f>
        <v>238.30559999999986</v>
      </c>
      <c r="GB130" s="13">
        <f t="shared" si="103"/>
        <v>58.074821878967043</v>
      </c>
      <c r="GC130" s="20">
        <f t="shared" si="79"/>
        <v>516.19590143920061</v>
      </c>
      <c r="GD130" s="59">
        <f t="shared" si="80"/>
        <v>809.52923477253398</v>
      </c>
      <c r="GE130" s="59">
        <f ca="1">AVERAGE(OFFSET($GD$3,0,0,'Données projet'!$E$17+1,1))-AVERAGE(OFFSET($H$3,0,0,'Données projet'!$E$17+1,1))</f>
        <v>269.41185214595805</v>
      </c>
      <c r="GF130" s="59">
        <f t="shared" si="104"/>
        <v>299.70148160580993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0.92874687230176312</v>
      </c>
      <c r="GM130" s="21">
        <f>EXP(-LN(2)/25)*GM129+(1-EXP(-LN(2)/25))/(LN(2)/25)*Calculateur!GH130*Calculateur!GJ130*VLOOKUP('Données projet'!$B$17,Paramètres!$A$1:$I$89,3,0)*0.475*44/12</f>
        <v>1.1019124784267162</v>
      </c>
      <c r="GN130" s="21">
        <f>EXP(-LN(2)/2)*GN129+(1-EXP(-LN(2)/2))/(LN(2)/2)*GH130*GK130*VLOOKUP('Données projet'!$B$17,Paramètres!$A$1:$I$89,3,0)*0.475*44/12</f>
        <v>4.8003802250854285E-14</v>
      </c>
      <c r="GO130" s="21">
        <f t="shared" si="81"/>
        <v>2.0306593507285271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5.6843418860808015E-14</v>
      </c>
      <c r="GV130" s="17">
        <f>GU130*VLOOKUP('Données projet'!$B$18,Paramètres!$A$1:$I$89,3,0)*VLOOKUP('Données projet'!$B$18,Paramètres!$A$1:$I$89,5,0)</f>
        <v>4.9658410716801891E-14</v>
      </c>
      <c r="GW130" s="13">
        <f t="shared" si="105"/>
        <v>8.0934058173791862E-13</v>
      </c>
      <c r="GX130" s="20">
        <f t="shared" si="82"/>
        <v>1.4960899118586383E-12</v>
      </c>
      <c r="GY130" s="59">
        <f t="shared" si="83"/>
        <v>293.33333333333479</v>
      </c>
      <c r="GZ130" s="59">
        <f ca="1">AVERAGE(OFFSET($GY$3,0,0,'Données projet'!$E$18+1,1))-AVERAGE(OFFSET($H$3,0,0,'Données projet'!$E$18+1,1))</f>
        <v>226.35975611953359</v>
      </c>
      <c r="HA130" s="59">
        <f t="shared" si="106"/>
        <v>271.65876694892461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0.76690277587171229</v>
      </c>
      <c r="HI130" s="21">
        <f>EXP(-LN(2)/2)*HI129+(1-EXP(-LN(2)/2))/(LN(2)/2)*HC130*HF130*VLOOKUP('Données projet'!$B$18,Paramètres!$A$1:$I$89,3,0)*0.475*44/12</f>
        <v>2.9685080279381565E-14</v>
      </c>
      <c r="HJ130" s="22">
        <f t="shared" si="84"/>
        <v>0.76690277587174194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7.1730769230769287</v>
      </c>
      <c r="N131" s="13">
        <f>IF('Données projet'!$A$36&gt;35,N130+M131-V130,IF(A131&lt;'Données projet'!$A$36,$K$205^A131,IF(A131='Données projet'!$A$36,'Données projet'!$B$36,N130+M131-V130)))</f>
        <v>396.51282051281999</v>
      </c>
      <c r="O131" s="13">
        <f>N131*VLOOKUP('Données projet'!$B$9,Paramètres!$A$1:$I$89,3,0)*VLOOKUP('Données projet'!$B$9,Paramètres!$A$1:$I$89,5,0)</f>
        <v>358.76479999999952</v>
      </c>
      <c r="P131" s="13">
        <f t="shared" si="87"/>
        <v>83.364668405580957</v>
      </c>
      <c r="Q131" s="20">
        <f t="shared" ref="Q131:Q153" si="108">(O131+P131)*0.475*44/12</f>
        <v>770.04215747305261</v>
      </c>
      <c r="R131" s="59">
        <f t="shared" ref="R131:R194" si="109">Q131+(I131+J131)*44/12</f>
        <v>1063.3754908063859</v>
      </c>
      <c r="S131" s="59">
        <f ca="1">AVERAGE(OFFSET($R$3,0,0,'Données projet'!$E$9+1,1))-AVERAGE(OFFSET($H$3,0,0,'Données projet'!$E$9+1,1))</f>
        <v>309.07357540707869</v>
      </c>
      <c r="T131" s="59">
        <f t="shared" si="88"/>
        <v>155.9593924683299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227.99999999999986</v>
      </c>
      <c r="AJ131" s="13">
        <f>AI131*VLOOKUP('Données projet'!$B$10,Paramètres!$A$1:$I$89,3,0)*VLOOKUP('Données projet'!$B$10,Paramètres!$A$1:$I$89,5,0)</f>
        <v>199.18079999999992</v>
      </c>
      <c r="AK131" s="13">
        <f t="shared" si="89"/>
        <v>49.564089376413683</v>
      </c>
      <c r="AL131" s="20">
        <f t="shared" si="58"/>
        <v>433.23068233058694</v>
      </c>
      <c r="AM131" s="59">
        <f t="shared" si="59"/>
        <v>726.56401566392026</v>
      </c>
      <c r="AN131" s="59">
        <f ca="1">AVERAGE(OFFSET($AM$3,0,0,'Données projet'!$E$10+1,1))-AVERAGE(OFFSET($H$3,0,0,'Données projet'!$E$10+1,1))</f>
        <v>210.07838338464626</v>
      </c>
      <c r="AO131" s="59">
        <f t="shared" si="90"/>
        <v>241.76003724236273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0.76104393890257638</v>
      </c>
      <c r="AV131" s="21">
        <f>EXP(-LN(2)/25)*AV130+(1-EXP(-LN(2)/25))/(LN(2)/25)*Calculateur!AQ131*Calculateur!AS131*VLOOKUP('Données projet'!$B$10,Paramètres!$A$1:$I$89,3,0)*0.475*44/12</f>
        <v>0.89581664075218526</v>
      </c>
      <c r="AW131" s="21">
        <f>EXP(-LN(2)/2)*AW130+(1-EXP(-LN(2)/2))/(LN(2)/2)*AQ131*AT131*VLOOKUP('Données projet'!$B$10,Paramètres!$A$1:$I$89,3,0)*0.475*44/12</f>
        <v>2.8370949093757787E-14</v>
      </c>
      <c r="AX131" s="21">
        <f t="shared" si="60"/>
        <v>1.6568605796547899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2.2737367544323206E-13</v>
      </c>
      <c r="BE131" s="13">
        <f>BD131*VLOOKUP('Données projet'!$B$11,Paramètres!$A$1:$I$89,3,0)*VLOOKUP('Données projet'!$B$11,Paramètres!$A$1:$I$89,5,0)</f>
        <v>1.2414602679200471E-13</v>
      </c>
      <c r="BF131" s="13">
        <f t="shared" si="91"/>
        <v>1.8186582995804361E-12</v>
      </c>
      <c r="BG131" s="20">
        <f t="shared" si="61"/>
        <v>3.3837175350986671E-12</v>
      </c>
      <c r="BH131" s="59">
        <f t="shared" si="62"/>
        <v>293.33333333333672</v>
      </c>
      <c r="BI131" s="59">
        <f ca="1">AVERAGE(OFFSET($BH$3,0,0,'Données projet'!$E$11+1,1))-AVERAGE(OFFSET($H$3,0,0,'Données projet'!$E$11+1,1))</f>
        <v>168.72306536277267</v>
      </c>
      <c r="BJ131" s="59">
        <f t="shared" si="92"/>
        <v>203.35476578922339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0.43680369318467083</v>
      </c>
      <c r="BQ131" s="21">
        <f>EXP(-LN(2)/25)*BQ130+(1-EXP(-LN(2)/25))/(LN(2)/25)*Calculateur!BL131*Calculateur!BN131*VLOOKUP('Données projet'!$B$11,Paramètres!$A$1:$I$89,3,0)*0.475*44/12</f>
        <v>1.5184739023265097</v>
      </c>
      <c r="BR131" s="21">
        <f>EXP(-LN(2)/2)*BR130+(1-EXP(-LN(2)/2))/(LN(2)/2)*BL131*BO131*VLOOKUP('Données projet'!$B$11,Paramètres!$A$1:$I$89,3,0)*0.475*44/12</f>
        <v>3.556949689824987E-14</v>
      </c>
      <c r="BS131" s="22">
        <f t="shared" si="63"/>
        <v>1.955277595511216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3.4106051316484809E-13</v>
      </c>
      <c r="BZ131" s="13">
        <f>BY131*VLOOKUP('Données projet'!$B$12,Paramètres!$A$1:$I$89,3,0)*VLOOKUP('Données projet'!$B$12,Paramètres!$A$1:$I$89,5,0)</f>
        <v>1.5961632016114892E-13</v>
      </c>
      <c r="CA131" s="13">
        <f t="shared" si="93"/>
        <v>2.2708641912150958E-12</v>
      </c>
      <c r="CB131" s="20">
        <f t="shared" si="64"/>
        <v>4.2330868906469593E-12</v>
      </c>
      <c r="CC131" s="59">
        <f t="shared" si="65"/>
        <v>293.33333333333752</v>
      </c>
      <c r="CD131" s="59">
        <f ca="1">AVERAGE(OFFSET($CC$3,0,0,'Données projet'!$E$12+1,1))-AVERAGE(OFFSET($H$3,0,0,'Données projet'!$E$12+1,1))</f>
        <v>158.58786357608489</v>
      </c>
      <c r="CE131" s="59">
        <f t="shared" si="94"/>
        <v>163.20074068819849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4.1677594708744434E-14</v>
      </c>
      <c r="CV131" s="13">
        <f t="shared" si="95"/>
        <v>6.9326303456159188E-13</v>
      </c>
      <c r="CW131" s="20">
        <f t="shared" si="67"/>
        <v>1.2800215959791691E-12</v>
      </c>
      <c r="CX131" s="59">
        <f t="shared" si="68"/>
        <v>293.33333333333462</v>
      </c>
      <c r="CY131" s="59">
        <f ca="1">AVERAGE(OFFSET($CX$3,0,0,'Données projet'!$E$13+1,1))-AVERAGE(OFFSET($H$3,0,0,'Données projet'!$E$13+1,1))</f>
        <v>178.12968684094687</v>
      </c>
      <c r="CZ131" s="59">
        <f t="shared" si="96"/>
        <v>219.36004077210373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0.50792726604903105</v>
      </c>
      <c r="DH131" s="21">
        <f>EXP(-LN(2)/2)*DH130+(1-EXP(-LN(2)/2))/(LN(2)/2)*DB131*DE131*VLOOKUP('Données projet'!$B$13,Paramètres!$A$1:$I$89,3,0)*0.475*44/12</f>
        <v>1.7617044885429193E-14</v>
      </c>
      <c r="DI131" s="22">
        <f t="shared" si="69"/>
        <v>0.5079272660490487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-8.5265128291212022E-14</v>
      </c>
      <c r="DP131" s="17">
        <f>DO131*VLOOKUP('Données projet'!$B$14,Paramètres!$A$1:$I$89,3,0)*VLOOKUP('Données projet'!$B$14,Paramètres!$A$1:$I$89,5,0)</f>
        <v>-7.7147888077888636E-14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225.28075317732998</v>
      </c>
      <c r="DU131" s="59">
        <f t="shared" si="98"/>
        <v>358.43407531256207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0.32214155324828275</v>
      </c>
      <c r="EB131" s="21">
        <f>EXP(-LN(2)/25)*EB130+(1-EXP(-LN(2)/25))/(LN(2)/25)*Calculateur!DW131*Calculateur!DY131*VLOOKUP('Données projet'!$B$14,Paramètres!$A$1:$I$89,3,0)*0.475*44/12</f>
        <v>0.54648207146068739</v>
      </c>
      <c r="EC131" s="21">
        <f>EXP(-LN(2)/2)*EC130+(1-EXP(-LN(2)/2))/(LN(2)/2)*DW131*DZ131*VLOOKUP('Données projet'!$B$14,Paramètres!$A$1:$I$89,3,0)*0.475*44/12</f>
        <v>7.8408765968332326E-15</v>
      </c>
      <c r="ED131" s="22">
        <f t="shared" si="72"/>
        <v>0.86862362470897803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7.1730769230769287</v>
      </c>
      <c r="EJ131" s="12">
        <f>IF('Données projet'!$A$192&gt;35,EJ130+EI131-ER130,IF(A131&lt;'Données projet'!$A$192,$EG$205^A131,IF(A131='Données projet'!$A$192,'Données projet'!$B$192,EJ130+EI131-ER130)))</f>
        <v>396.51282051281999</v>
      </c>
      <c r="EK131" s="17">
        <f>EJ131*VLOOKUP('Données projet'!$B$15,Paramètres!$A$1:$I$89,3,0)*VLOOKUP('Données projet'!$B$15,Paramètres!$A$1:$I$89,5,0)</f>
        <v>402.06399999999951</v>
      </c>
      <c r="EL131" s="13">
        <f t="shared" si="99"/>
        <v>92.194984122807213</v>
      </c>
      <c r="EM131" s="20">
        <f t="shared" si="73"/>
        <v>860.83439734722162</v>
      </c>
      <c r="EN131" s="59">
        <f t="shared" si="74"/>
        <v>1154.167730680555</v>
      </c>
      <c r="EO131" s="59">
        <f ca="1">AVERAGE(OFFSET($EN$3,0,0,'Données projet'!$E$15+1,1))-AVERAGE(OFFSET($H$3,0,0,'Données projet'!$E$15+1,1))</f>
        <v>363.98308691765931</v>
      </c>
      <c r="EP131" s="59">
        <f t="shared" si="100"/>
        <v>181.47089407988187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7.1730769230769287</v>
      </c>
      <c r="FE131" s="12">
        <f>IF('Données projet'!$A$218&gt;35,FE130+FD131-FM130,IF(A131&lt;'Données projet'!$A$218,$FB$205^A131,IF(A131='Données projet'!$A$218,'Données projet'!$B$218,FE130+FD131-FM130)))</f>
        <v>396.51282051281999</v>
      </c>
      <c r="FF131" s="17">
        <f>FE131*VLOOKUP('Données projet'!$B$16,Paramètres!$A$1:$I$89,3,0)*VLOOKUP('Données projet'!$B$16,Paramètres!$A$1:$I$89,5,0)</f>
        <v>426.80639999999943</v>
      </c>
      <c r="FG131" s="13">
        <f t="shared" si="101"/>
        <v>97.190565376374039</v>
      </c>
      <c r="FH131" s="20">
        <f t="shared" si="76"/>
        <v>912.62804803051722</v>
      </c>
      <c r="FI131" s="59">
        <f t="shared" si="77"/>
        <v>1205.9613813638505</v>
      </c>
      <c r="FJ131" s="59">
        <f ca="1">AVERAGE(OFFSET($FI$3,0,0,'Données projet'!$E$16+1,1))-AVERAGE(OFFSET($H$3,0,0,'Données projet'!$E$16+1,1))</f>
        <v>395.30533160963489</v>
      </c>
      <c r="FK131" s="59">
        <f t="shared" si="102"/>
        <v>196.02102977695085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227.99999999999986</v>
      </c>
      <c r="GA131" s="17">
        <f>FZ131*VLOOKUP('Données projet'!$B$17,Paramètres!$A$1:$I$89,3,0)*VLOOKUP('Données projet'!$B$17,Paramètres!$A$1:$I$89,5,0)</f>
        <v>238.30559999999986</v>
      </c>
      <c r="GB131" s="13">
        <f t="shared" si="103"/>
        <v>58.074821878967043</v>
      </c>
      <c r="GC131" s="20">
        <f t="shared" si="79"/>
        <v>516.19590143920061</v>
      </c>
      <c r="GD131" s="59">
        <f t="shared" si="80"/>
        <v>809.52923477253398</v>
      </c>
      <c r="GE131" s="59">
        <f ca="1">AVERAGE(OFFSET($GD$3,0,0,'Données projet'!$E$17+1,1))-AVERAGE(OFFSET($H$3,0,0,'Données projet'!$E$17+1,1))</f>
        <v>269.41185214595805</v>
      </c>
      <c r="GF131" s="59">
        <f t="shared" si="104"/>
        <v>299.70148160580993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0.91053471261558239</v>
      </c>
      <c r="GM131" s="21">
        <f>EXP(-LN(2)/25)*GM130+(1-EXP(-LN(2)/25))/(LN(2)/25)*Calculateur!GH131*Calculateur!GJ131*VLOOKUP('Données projet'!$B$17,Paramètres!$A$1:$I$89,3,0)*0.475*44/12</f>
        <v>1.0717806237570788</v>
      </c>
      <c r="GN131" s="21">
        <f>EXP(-LN(2)/2)*GN130+(1-EXP(-LN(2)/2))/(LN(2)/2)*GH131*GK131*VLOOKUP('Données projet'!$B$17,Paramètres!$A$1:$I$89,3,0)*0.475*44/12</f>
        <v>3.3943814094317118E-14</v>
      </c>
      <c r="GO131" s="21">
        <f t="shared" si="81"/>
        <v>1.9823153363726951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5.6843418860808015E-14</v>
      </c>
      <c r="GV131" s="17">
        <f>GU131*VLOOKUP('Données projet'!$B$18,Paramètres!$A$1:$I$89,3,0)*VLOOKUP('Données projet'!$B$18,Paramètres!$A$1:$I$89,5,0)</f>
        <v>4.9658410716801891E-14</v>
      </c>
      <c r="GW131" s="13">
        <f t="shared" si="105"/>
        <v>8.0934058173791862E-13</v>
      </c>
      <c r="GX131" s="20">
        <f t="shared" si="82"/>
        <v>1.4960899118586383E-12</v>
      </c>
      <c r="GY131" s="59">
        <f t="shared" si="83"/>
        <v>293.33333333333479</v>
      </c>
      <c r="GZ131" s="59">
        <f ca="1">AVERAGE(OFFSET($GY$3,0,0,'Données projet'!$E$18+1,1))-AVERAGE(OFFSET($H$3,0,0,'Données projet'!$E$18+1,1))</f>
        <v>226.35975611953359</v>
      </c>
      <c r="HA131" s="59">
        <f t="shared" si="106"/>
        <v>271.65876694892461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0.74593177913583608</v>
      </c>
      <c r="HI131" s="21">
        <f>EXP(-LN(2)/2)*HI130+(1-EXP(-LN(2)/2))/(LN(2)/2)*HC131*HF131*VLOOKUP('Données projet'!$B$18,Paramètres!$A$1:$I$89,3,0)*0.475*44/12</f>
        <v>2.0990521565617758E-14</v>
      </c>
      <c r="HJ131" s="22">
        <f t="shared" si="84"/>
        <v>0.74593177913585706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7.1730769230769287</v>
      </c>
      <c r="N132" s="13">
        <f>IF('Données projet'!$A$36&gt;35,N131+M132-V131,IF(A132&lt;'Données projet'!$A$36,$K$205^A132,IF(A132='Données projet'!$A$36,'Données projet'!$B$36,N131+M132-V131)))</f>
        <v>403.68589743589689</v>
      </c>
      <c r="O132" s="13">
        <f>N132*VLOOKUP('Données projet'!$B$9,Paramètres!$A$1:$I$89,3,0)*VLOOKUP('Données projet'!$B$9,Paramètres!$A$1:$I$89,5,0)</f>
        <v>365.25499999999948</v>
      </c>
      <c r="P132" s="13">
        <f t="shared" si="87"/>
        <v>84.695832356146539</v>
      </c>
      <c r="Q132" s="20">
        <f t="shared" si="108"/>
        <v>783.66436635362095</v>
      </c>
      <c r="R132" s="59">
        <f t="shared" si="109"/>
        <v>1076.9976996869543</v>
      </c>
      <c r="S132" s="59">
        <f ca="1">AVERAGE(OFFSET($R$3,0,0,'Données projet'!$E$9+1,1))-AVERAGE(OFFSET($H$3,0,0,'Données projet'!$E$9+1,1))</f>
        <v>309.07357540707869</v>
      </c>
      <c r="T132" s="59">
        <f t="shared" si="88"/>
        <v>155.9593924683299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227.99999999999986</v>
      </c>
      <c r="AJ132" s="13">
        <f>AI132*VLOOKUP('Données projet'!$B$10,Paramètres!$A$1:$I$89,3,0)*VLOOKUP('Données projet'!$B$10,Paramètres!$A$1:$I$89,5,0)</f>
        <v>199.18079999999992</v>
      </c>
      <c r="AK132" s="13">
        <f t="shared" si="89"/>
        <v>49.564089376413683</v>
      </c>
      <c r="AL132" s="20">
        <f t="shared" ref="AL132:AL153" si="112">(AJ132+AK132)*0.475*44/12</f>
        <v>433.23068233058694</v>
      </c>
      <c r="AM132" s="59">
        <f t="shared" ref="AM132:AM195" si="113">AL132+(AD132+AE132)*44/12</f>
        <v>726.56401566392026</v>
      </c>
      <c r="AN132" s="59">
        <f ca="1">AVERAGE(OFFSET($AM$3,0,0,'Données projet'!$E$10+1,1))-AVERAGE(OFFSET($H$3,0,0,'Données projet'!$E$10+1,1))</f>
        <v>210.07838338464626</v>
      </c>
      <c r="AO132" s="59">
        <f t="shared" si="90"/>
        <v>241.76003724236273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0.74612033145166456</v>
      </c>
      <c r="AV132" s="21">
        <f>EXP(-LN(2)/25)*AV131+(1-EXP(-LN(2)/25))/(LN(2)/25)*Calculateur!AQ132*Calculateur!AS132*VLOOKUP('Données projet'!$B$10,Paramètres!$A$1:$I$89,3,0)*0.475*44/12</f>
        <v>0.87132048760186698</v>
      </c>
      <c r="AW132" s="21">
        <f>EXP(-LN(2)/2)*AW131+(1-EXP(-LN(2)/2))/(LN(2)/2)*AQ132*AT132*VLOOKUP('Données projet'!$B$10,Paramètres!$A$1:$I$89,3,0)*0.475*44/12</f>
        <v>2.0061290492894468E-14</v>
      </c>
      <c r="AX132" s="21">
        <f t="shared" ref="AX132:AX153" si="114">SUM(AU132:AW132)</f>
        <v>1.6174408190535514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2.2737367544323206E-13</v>
      </c>
      <c r="BE132" s="13">
        <f>BD132*VLOOKUP('Données projet'!$B$11,Paramètres!$A$1:$I$89,3,0)*VLOOKUP('Données projet'!$B$11,Paramètres!$A$1:$I$89,5,0)</f>
        <v>1.2414602679200471E-13</v>
      </c>
      <c r="BF132" s="13">
        <f t="shared" si="91"/>
        <v>1.8186582995804361E-12</v>
      </c>
      <c r="BG132" s="20">
        <f t="shared" ref="BG132:BG153" si="115">(BE132+BF132)*0.475*44/12</f>
        <v>3.3837175350986671E-12</v>
      </c>
      <c r="BH132" s="59">
        <f t="shared" ref="BH132:BH195" si="116">BG132+(AY132+AZ132)*44/12</f>
        <v>293.33333333333672</v>
      </c>
      <c r="BI132" s="59">
        <f ca="1">AVERAGE(OFFSET($BH$3,0,0,'Données projet'!$E$11+1,1))-AVERAGE(OFFSET($H$3,0,0,'Données projet'!$E$11+1,1))</f>
        <v>168.72306536277267</v>
      </c>
      <c r="BJ132" s="59">
        <f t="shared" si="92"/>
        <v>203.35476578922339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0.4282382391852651</v>
      </c>
      <c r="BQ132" s="21">
        <f>EXP(-LN(2)/25)*BQ131+(1-EXP(-LN(2)/25))/(LN(2)/25)*Calculateur!BL132*Calculateur!BN132*VLOOKUP('Données projet'!$B$11,Paramètres!$A$1:$I$89,3,0)*0.475*44/12</f>
        <v>1.4769511536143194</v>
      </c>
      <c r="BR132" s="21">
        <f>EXP(-LN(2)/2)*BR131+(1-EXP(-LN(2)/2))/(LN(2)/2)*BL132*BO132*VLOOKUP('Données projet'!$B$11,Paramètres!$A$1:$I$89,3,0)*0.475*44/12</f>
        <v>2.5151432460146352E-14</v>
      </c>
      <c r="BS132" s="22">
        <f t="shared" ref="BS132:BS153" si="117">SUM(BP132:BR132)</f>
        <v>1.9051893927996095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3.4106051316484809E-13</v>
      </c>
      <c r="BZ132" s="13">
        <f>BY132*VLOOKUP('Données projet'!$B$12,Paramètres!$A$1:$I$89,3,0)*VLOOKUP('Données projet'!$B$12,Paramètres!$A$1:$I$89,5,0)</f>
        <v>1.5961632016114892E-13</v>
      </c>
      <c r="CA132" s="13">
        <f t="shared" si="93"/>
        <v>2.2708641912150958E-12</v>
      </c>
      <c r="CB132" s="20">
        <f t="shared" ref="CB132:CB153" si="118">(BZ132+CA132)*0.475*44/12</f>
        <v>4.2330868906469593E-12</v>
      </c>
      <c r="CC132" s="59">
        <f t="shared" ref="CC132:CC195" si="119">CB132+(BT132+BU132)*44/12</f>
        <v>293.33333333333752</v>
      </c>
      <c r="CD132" s="59">
        <f ca="1">AVERAGE(OFFSET($CC$3,0,0,'Données projet'!$E$12+1,1))-AVERAGE(OFFSET($H$3,0,0,'Données projet'!$E$12+1,1))</f>
        <v>158.58786357608489</v>
      </c>
      <c r="CE132" s="59">
        <f t="shared" si="94"/>
        <v>163.20074068819849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4.1677594708744434E-14</v>
      </c>
      <c r="CV132" s="13">
        <f t="shared" si="95"/>
        <v>6.9326303456159188E-13</v>
      </c>
      <c r="CW132" s="20">
        <f t="shared" ref="CW132:CW153" si="121">(CU132+CV132)*0.475*44/12</f>
        <v>1.2800215959791691E-12</v>
      </c>
      <c r="CX132" s="59">
        <f t="shared" ref="CX132:CX195" si="122">CW132+(CO132+CP132)*44/12</f>
        <v>293.33333333333462</v>
      </c>
      <c r="CY132" s="59">
        <f ca="1">AVERAGE(OFFSET($CX$3,0,0,'Données projet'!$E$13+1,1))-AVERAGE(OFFSET($H$3,0,0,'Données projet'!$E$13+1,1))</f>
        <v>178.12968684094687</v>
      </c>
      <c r="CZ132" s="59">
        <f t="shared" si="96"/>
        <v>219.36004077210373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0.49403796824818624</v>
      </c>
      <c r="DH132" s="21">
        <f>EXP(-LN(2)/2)*DH131+(1-EXP(-LN(2)/2))/(LN(2)/2)*DB132*DE132*VLOOKUP('Données projet'!$B$13,Paramètres!$A$1:$I$89,3,0)*0.475*44/12</f>
        <v>1.2457131902954767E-14</v>
      </c>
      <c r="DI132" s="22">
        <f t="shared" ref="DI132:DI153" si="123">SUM(DF132:DH132)</f>
        <v>0.49403796824819868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-8.5265128291212022E-14</v>
      </c>
      <c r="DP132" s="17">
        <f>DO132*VLOOKUP('Données projet'!$B$14,Paramètres!$A$1:$I$89,3,0)*VLOOKUP('Données projet'!$B$14,Paramètres!$A$1:$I$89,5,0)</f>
        <v>-7.7147888077888636E-14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225.28075317732998</v>
      </c>
      <c r="DU132" s="59">
        <f t="shared" si="98"/>
        <v>358.43407531256207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0.31582455387602992</v>
      </c>
      <c r="EB132" s="21">
        <f>EXP(-LN(2)/25)*EB131+(1-EXP(-LN(2)/25))/(LN(2)/25)*Calculateur!DW132*Calculateur!DY132*VLOOKUP('Données projet'!$B$14,Paramètres!$A$1:$I$89,3,0)*0.475*44/12</f>
        <v>0.53153849047835178</v>
      </c>
      <c r="EC132" s="21">
        <f>EXP(-LN(2)/2)*EC131+(1-EXP(-LN(2)/2))/(LN(2)/2)*DW132*DZ132*VLOOKUP('Données projet'!$B$14,Paramètres!$A$1:$I$89,3,0)*0.475*44/12</f>
        <v>5.544337012067678E-15</v>
      </c>
      <c r="ED132" s="22">
        <f t="shared" ref="ED132:ED153" si="126">SUM(EA132:EC132)</f>
        <v>0.84736304435438725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7.1730769230769287</v>
      </c>
      <c r="EJ132" s="12">
        <f>IF('Données projet'!$A$192&gt;35,EJ131+EI132-ER131,IF(A132&lt;'Données projet'!$A$192,$EG$205^A132,IF(A132='Données projet'!$A$192,'Données projet'!$B$192,EJ131+EI132-ER131)))</f>
        <v>403.68589743589689</v>
      </c>
      <c r="EK132" s="17">
        <f>EJ132*VLOOKUP('Données projet'!$B$15,Paramètres!$A$1:$I$89,3,0)*VLOOKUP('Données projet'!$B$15,Paramètres!$A$1:$I$89,5,0)</f>
        <v>409.33749999999947</v>
      </c>
      <c r="EL132" s="13">
        <f t="shared" si="99"/>
        <v>93.667150229078572</v>
      </c>
      <c r="EM132" s="20">
        <f t="shared" ref="EM132:EM153" si="127">(EK132+EL132)*0.475*44/12</f>
        <v>876.06643248231092</v>
      </c>
      <c r="EN132" s="59">
        <f t="shared" ref="EN132:EN195" si="128">EM132+(EE132+EF132)*44/12</f>
        <v>1169.3997658156443</v>
      </c>
      <c r="EO132" s="59">
        <f ca="1">AVERAGE(OFFSET($EN$3,0,0,'Données projet'!$E$15+1,1))-AVERAGE(OFFSET($H$3,0,0,'Données projet'!$E$15+1,1))</f>
        <v>363.98308691765931</v>
      </c>
      <c r="EP132" s="59">
        <f t="shared" si="100"/>
        <v>181.47089407988187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7.1730769230769287</v>
      </c>
      <c r="FE132" s="12">
        <f>IF('Données projet'!$A$218&gt;35,FE131+FD132-FM131,IF(A132&lt;'Données projet'!$A$218,$FB$205^A132,IF(A132='Données projet'!$A$218,'Données projet'!$B$218,FE131+FD132-FM131)))</f>
        <v>403.68589743589689</v>
      </c>
      <c r="FF132" s="17">
        <f>FE132*VLOOKUP('Données projet'!$B$16,Paramètres!$A$1:$I$89,3,0)*VLOOKUP('Données projet'!$B$16,Paramètres!$A$1:$I$89,5,0)</f>
        <v>434.52749999999941</v>
      </c>
      <c r="FG132" s="13">
        <f t="shared" si="101"/>
        <v>98.742500739862464</v>
      </c>
      <c r="FH132" s="20">
        <f t="shared" ref="FH132:FH153" si="130">(FF132+FG132)*0.475*44/12</f>
        <v>928.77858462192614</v>
      </c>
      <c r="FI132" s="59">
        <f t="shared" ref="FI132:FI195" si="131">FH132+(EZ132+FA132)*44/12</f>
        <v>1222.1119179552595</v>
      </c>
      <c r="FJ132" s="59">
        <f ca="1">AVERAGE(OFFSET($FI$3,0,0,'Données projet'!$E$16+1,1))-AVERAGE(OFFSET($H$3,0,0,'Données projet'!$E$16+1,1))</f>
        <v>395.30533160963489</v>
      </c>
      <c r="FK132" s="59">
        <f t="shared" si="102"/>
        <v>196.02102977695085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227.99999999999986</v>
      </c>
      <c r="GA132" s="17">
        <f>FZ132*VLOOKUP('Données projet'!$B$17,Paramètres!$A$1:$I$89,3,0)*VLOOKUP('Données projet'!$B$17,Paramètres!$A$1:$I$89,5,0)</f>
        <v>238.30559999999986</v>
      </c>
      <c r="GB132" s="13">
        <f t="shared" si="103"/>
        <v>58.074821878967043</v>
      </c>
      <c r="GC132" s="20">
        <f t="shared" ref="GC132:GC153" si="133">(GA132+GB132)*0.475*44/12</f>
        <v>516.19590143920061</v>
      </c>
      <c r="GD132" s="59">
        <f t="shared" ref="GD132:GD195" si="134">GC132+(FU132+FV132)*44/12</f>
        <v>809.52923477253398</v>
      </c>
      <c r="GE132" s="59">
        <f ca="1">AVERAGE(OFFSET($GD$3,0,0,'Données projet'!$E$17+1,1))-AVERAGE(OFFSET($H$3,0,0,'Données projet'!$E$17+1,1))</f>
        <v>269.41185214595805</v>
      </c>
      <c r="GF132" s="59">
        <f t="shared" si="104"/>
        <v>299.70148160580993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0.89267968227252714</v>
      </c>
      <c r="GM132" s="21">
        <f>EXP(-LN(2)/25)*GM131+(1-EXP(-LN(2)/25))/(LN(2)/25)*Calculateur!GH132*Calculateur!GJ132*VLOOKUP('Données projet'!$B$17,Paramètres!$A$1:$I$89,3,0)*0.475*44/12</f>
        <v>1.0424727262379481</v>
      </c>
      <c r="GN132" s="21">
        <f>EXP(-LN(2)/2)*GN131+(1-EXP(-LN(2)/2))/(LN(2)/2)*GH132*GK132*VLOOKUP('Données projet'!$B$17,Paramètres!$A$1:$I$89,3,0)*0.475*44/12</f>
        <v>2.4001901125427143E-14</v>
      </c>
      <c r="GO132" s="21">
        <f t="shared" ref="GO132:GO153" si="135">SUM(GL132:GN132)</f>
        <v>1.9351524085104992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5.6843418860808015E-14</v>
      </c>
      <c r="GV132" s="17">
        <f>GU132*VLOOKUP('Données projet'!$B$18,Paramètres!$A$1:$I$89,3,0)*VLOOKUP('Données projet'!$B$18,Paramètres!$A$1:$I$89,5,0)</f>
        <v>4.9658410716801891E-14</v>
      </c>
      <c r="GW132" s="13">
        <f t="shared" si="105"/>
        <v>8.0934058173791862E-13</v>
      </c>
      <c r="GX132" s="20">
        <f t="shared" ref="GX132:GX153" si="136">(GV132+GW132)*0.475*44/12</f>
        <v>1.4960899118586383E-12</v>
      </c>
      <c r="GY132" s="59">
        <f t="shared" ref="GY132:GY195" si="137">GX132+(GP132+GQ132)*44/12</f>
        <v>293.33333333333479</v>
      </c>
      <c r="GZ132" s="59">
        <f ca="1">AVERAGE(OFFSET($GY$3,0,0,'Données projet'!$E$18+1,1))-AVERAGE(OFFSET($H$3,0,0,'Données projet'!$E$18+1,1))</f>
        <v>226.35975611953359</v>
      </c>
      <c r="HA132" s="59">
        <f t="shared" si="106"/>
        <v>271.65876694892461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0.72553423540851925</v>
      </c>
      <c r="HI132" s="21">
        <f>EXP(-LN(2)/2)*HI131+(1-EXP(-LN(2)/2))/(LN(2)/2)*HC132*HF132*VLOOKUP('Données projet'!$B$18,Paramètres!$A$1:$I$89,3,0)*0.475*44/12</f>
        <v>1.4842540139690782E-14</v>
      </c>
      <c r="HJ132" s="22">
        <f t="shared" ref="HJ132:HJ153" si="138">SUM(HG132:HI132)</f>
        <v>0.72553423540853412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410.85897435897436</v>
      </c>
      <c r="L133" s="12">
        <f>VLOOKUP(A133,'Données projet'!$A$35:$I$55,9,0)</f>
        <v>7.1730769230769287</v>
      </c>
      <c r="M133" s="12">
        <f t="array" ref="M133">INDEX(L:L,MIN(IF(ISNUMBER(L133:L329),ROW(L133:L329),"")))</f>
        <v>7.1730769230769287</v>
      </c>
      <c r="N133" s="13">
        <f>IF('Données projet'!$A$36&gt;35,N132+M133-V132,IF(A133&lt;'Données projet'!$A$36,$K$205^A133,IF(A133='Données projet'!$A$36,'Données projet'!$B$36,N132+M133-V132)))</f>
        <v>410.8589743589738</v>
      </c>
      <c r="O133" s="13">
        <f>N133*VLOOKUP('Données projet'!$B$9,Paramètres!$A$1:$I$89,3,0)*VLOOKUP('Données projet'!$B$9,Paramètres!$A$1:$I$89,5,0)</f>
        <v>371.7451999999995</v>
      </c>
      <c r="P133" s="13">
        <f t="shared" ref="P133:P196" si="141">EXP(-1.0587+0.8836*LN(O133)+0.284)</f>
        <v>86.024245744005782</v>
      </c>
      <c r="Q133" s="20">
        <f t="shared" si="108"/>
        <v>797.28178467080909</v>
      </c>
      <c r="R133" s="59">
        <f t="shared" si="109"/>
        <v>1090.6151180041425</v>
      </c>
      <c r="S133" s="59">
        <f ca="1">AVERAGE(OFFSET($R$3,0,0,'Données projet'!$E$9+1,1))-AVERAGE(OFFSET($H$3,0,0,'Données projet'!$E$9+1,1))</f>
        <v>309.07357540707869</v>
      </c>
      <c r="T133" s="59">
        <f t="shared" ref="T133:T196" si="142">$T$3</f>
        <v>155.9593924683299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51.378205128205131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227.99999999999986</v>
      </c>
      <c r="AJ133" s="13">
        <f>AI133*VLOOKUP('Données projet'!$B$10,Paramètres!$A$1:$I$89,3,0)*VLOOKUP('Données projet'!$B$10,Paramètres!$A$1:$I$89,5,0)</f>
        <v>199.18079999999992</v>
      </c>
      <c r="AK133" s="13">
        <f t="shared" ref="AK133:AK153" si="143">EXP(-1.0587+0.8836*LN(AJ133)+0.284)</f>
        <v>49.564089376413683</v>
      </c>
      <c r="AL133" s="20">
        <f t="shared" si="112"/>
        <v>433.23068233058694</v>
      </c>
      <c r="AM133" s="59">
        <f t="shared" si="113"/>
        <v>726.56401566392026</v>
      </c>
      <c r="AN133" s="59">
        <f ca="1">AVERAGE(OFFSET($AM$3,0,0,'Données projet'!$E$10+1,1))-AVERAGE(OFFSET($H$3,0,0,'Données projet'!$E$10+1,1))</f>
        <v>210.07838338464626</v>
      </c>
      <c r="AO133" s="59">
        <f t="shared" ref="AO133:AO196" si="144">$AO$3</f>
        <v>241.76003724236273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0.73148936684036336</v>
      </c>
      <c r="AV133" s="21">
        <f>EXP(-LN(2)/25)*AV132+(1-EXP(-LN(2)/25))/(LN(2)/25)*Calculateur!AQ133*Calculateur!AS133*VLOOKUP('Données projet'!$B$10,Paramètres!$A$1:$I$89,3,0)*0.475*44/12</f>
        <v>0.8474941830476409</v>
      </c>
      <c r="AW133" s="21">
        <f>EXP(-LN(2)/2)*AW132+(1-EXP(-LN(2)/2))/(LN(2)/2)*AQ133*AT133*VLOOKUP('Données projet'!$B$10,Paramètres!$A$1:$I$89,3,0)*0.475*44/12</f>
        <v>1.4185474546878895E-14</v>
      </c>
      <c r="AX133" s="21">
        <f t="shared" si="114"/>
        <v>1.5789835498880185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2.2737367544323206E-13</v>
      </c>
      <c r="BE133" s="13">
        <f>BD133*VLOOKUP('Données projet'!$B$11,Paramètres!$A$1:$I$89,3,0)*VLOOKUP('Données projet'!$B$11,Paramètres!$A$1:$I$89,5,0)</f>
        <v>1.2414602679200471E-13</v>
      </c>
      <c r="BF133" s="13">
        <f t="shared" ref="BF133:BF153" si="145">EXP(-1.0587+0.8836*LN(BE133)+0.284)</f>
        <v>1.8186582995804361E-12</v>
      </c>
      <c r="BG133" s="20">
        <f t="shared" si="115"/>
        <v>3.3837175350986671E-12</v>
      </c>
      <c r="BH133" s="59">
        <f t="shared" si="116"/>
        <v>293.33333333333672</v>
      </c>
      <c r="BI133" s="59">
        <f ca="1">AVERAGE(OFFSET($BH$3,0,0,'Données projet'!$E$11+1,1))-AVERAGE(OFFSET($H$3,0,0,'Données projet'!$E$11+1,1))</f>
        <v>168.72306536277267</v>
      </c>
      <c r="BJ133" s="59">
        <f t="shared" ref="BJ133:BJ196" si="146">$BJ$3</f>
        <v>203.35476578922339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0.41984074851437664</v>
      </c>
      <c r="BQ133" s="21">
        <f>EXP(-LN(2)/25)*BQ132+(1-EXP(-LN(2)/25))/(LN(2)/25)*Calculateur!BL133*Calculateur!BN133*VLOOKUP('Données projet'!$B$11,Paramètres!$A$1:$I$89,3,0)*0.475*44/12</f>
        <v>1.4365638466492503</v>
      </c>
      <c r="BR133" s="21">
        <f>EXP(-LN(2)/2)*BR132+(1-EXP(-LN(2)/2))/(LN(2)/2)*BL133*BO133*VLOOKUP('Données projet'!$B$11,Paramètres!$A$1:$I$89,3,0)*0.475*44/12</f>
        <v>1.7784748449124935E-14</v>
      </c>
      <c r="BS133" s="22">
        <f t="shared" si="117"/>
        <v>1.8564045951636448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3.4106051316484809E-13</v>
      </c>
      <c r="BZ133" s="13">
        <f>BY133*VLOOKUP('Données projet'!$B$12,Paramètres!$A$1:$I$89,3,0)*VLOOKUP('Données projet'!$B$12,Paramètres!$A$1:$I$89,5,0)</f>
        <v>1.5961632016114892E-13</v>
      </c>
      <c r="CA133" s="13">
        <f t="shared" ref="CA133:CA153" si="147">EXP(-1.0587+0.8836*LN(BZ133)+0.284)</f>
        <v>2.2708641912150958E-12</v>
      </c>
      <c r="CB133" s="20">
        <f t="shared" si="118"/>
        <v>4.2330868906469593E-12</v>
      </c>
      <c r="CC133" s="59">
        <f t="shared" si="119"/>
        <v>293.33333333333752</v>
      </c>
      <c r="CD133" s="59">
        <f ca="1">AVERAGE(OFFSET($CC$3,0,0,'Données projet'!$E$12+1,1))-AVERAGE(OFFSET($H$3,0,0,'Données projet'!$E$12+1,1))</f>
        <v>158.58786357608489</v>
      </c>
      <c r="CE133" s="59">
        <f t="shared" ref="CE133:CE196" si="148">$CE$3</f>
        <v>163.20074068819849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4.1677594708744434E-14</v>
      </c>
      <c r="CV133" s="13">
        <f t="shared" ref="CV133:CV153" si="149">EXP(-1.0587+0.8836*LN(CU133)+0.284)</f>
        <v>6.9326303456159188E-13</v>
      </c>
      <c r="CW133" s="20">
        <f t="shared" si="121"/>
        <v>1.2800215959791691E-12</v>
      </c>
      <c r="CX133" s="59">
        <f t="shared" si="122"/>
        <v>293.33333333333462</v>
      </c>
      <c r="CY133" s="59">
        <f ca="1">AVERAGE(OFFSET($CX$3,0,0,'Données projet'!$E$13+1,1))-AVERAGE(OFFSET($H$3,0,0,'Données projet'!$E$13+1,1))</f>
        <v>178.12968684094687</v>
      </c>
      <c r="CZ133" s="59">
        <f t="shared" ref="CZ133:CZ196" si="150">$CZ$3</f>
        <v>219.36004077210373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0.48052847402611198</v>
      </c>
      <c r="DH133" s="21">
        <f>EXP(-LN(2)/2)*DH132+(1-EXP(-LN(2)/2))/(LN(2)/2)*DB133*DE133*VLOOKUP('Données projet'!$B$13,Paramètres!$A$1:$I$89,3,0)*0.475*44/12</f>
        <v>8.8085224427145967E-15</v>
      </c>
      <c r="DI133" s="22">
        <f t="shared" si="123"/>
        <v>0.48052847402612081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-8.5265128291212022E-14</v>
      </c>
      <c r="DP133" s="17">
        <f>DO133*VLOOKUP('Données projet'!$B$14,Paramètres!$A$1:$I$89,3,0)*VLOOKUP('Données projet'!$B$14,Paramètres!$A$1:$I$89,5,0)</f>
        <v>-7.7147888077888636E-14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225.28075317732998</v>
      </c>
      <c r="DU133" s="59">
        <f t="shared" ref="DU133:DU196" si="152">$DU$3</f>
        <v>358.43407531256207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0.30963142700847784</v>
      </c>
      <c r="EB133" s="21">
        <f>EXP(-LN(2)/25)*EB132+(1-EXP(-LN(2)/25))/(LN(2)/25)*Calculateur!DW133*Calculateur!DY133*VLOOKUP('Données projet'!$B$14,Paramètres!$A$1:$I$89,3,0)*0.475*44/12</f>
        <v>0.51700354250382685</v>
      </c>
      <c r="EC133" s="21">
        <f>EXP(-LN(2)/2)*EC132+(1-EXP(-LN(2)/2))/(LN(2)/2)*DW133*DZ133*VLOOKUP('Données projet'!$B$14,Paramètres!$A$1:$I$89,3,0)*0.475*44/12</f>
        <v>3.9204382984166163E-15</v>
      </c>
      <c r="ED133" s="22">
        <f t="shared" si="126"/>
        <v>0.82663496951230864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>
        <f>VLOOKUP(A133,'Données projet'!$A$191:$I$211,2,0)</f>
        <v>410.85897435897436</v>
      </c>
      <c r="EH133" s="12">
        <f>VLOOKUP(A133,'Données projet'!$A$191:$I$211,9,0)</f>
        <v>7.1730769230769287</v>
      </c>
      <c r="EI133" s="12">
        <f t="array" ref="EI133">INDEX(EH:EH,MIN(IF(ISNUMBER(EH133:EH329),ROW(EH133:EH329),"")))</f>
        <v>7.1730769230769287</v>
      </c>
      <c r="EJ133" s="12">
        <f>IF('Données projet'!$A$192&gt;35,EJ132+EI133-ER132,IF(A133&lt;'Données projet'!$A$192,$EG$205^A133,IF(A133='Données projet'!$A$192,'Données projet'!$B$192,EJ132+EI133-ER132)))</f>
        <v>410.8589743589738</v>
      </c>
      <c r="EK133" s="17">
        <f>EJ133*VLOOKUP('Données projet'!$B$15,Paramètres!$A$1:$I$89,3,0)*VLOOKUP('Données projet'!$B$15,Paramètres!$A$1:$I$89,5,0)</f>
        <v>416.61099999999948</v>
      </c>
      <c r="EL133" s="13">
        <f t="shared" ref="EL133:EL153" si="153">EXP(-1.0587+0.8836*LN(EK133)+0.284)</f>
        <v>95.136274422152283</v>
      </c>
      <c r="EM133" s="20">
        <f t="shared" si="127"/>
        <v>891.29316961858092</v>
      </c>
      <c r="EN133" s="59">
        <f t="shared" si="128"/>
        <v>1184.6265029519143</v>
      </c>
      <c r="EO133" s="59">
        <f ca="1">AVERAGE(OFFSET($EN$3,0,0,'Données projet'!$E$15+1,1))-AVERAGE(OFFSET($H$3,0,0,'Données projet'!$E$15+1,1))</f>
        <v>363.98308691765931</v>
      </c>
      <c r="EP133" s="59">
        <f t="shared" ref="EP133:EP196" si="154">$EP$3</f>
        <v>181.47089407988187</v>
      </c>
      <c r="EQ133" s="15">
        <f>IF(ISNA(VLOOKUP(A133,'Données projet'!$A$191:$I$211,3,0)),0,VLOOKUP(A133,'Données projet'!$A$191:$I$211,3,0))</f>
        <v>12</v>
      </c>
      <c r="ER133" s="15">
        <f>IF(ISNA(VLOOKUP(A133,'Données projet'!$A$191:$I$211,4,0)),0,VLOOKUP(A133,'Données projet'!$A$191:$I$211,4,0))</f>
        <v>51.378205128205131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>
        <f>VLOOKUP(A133,'Données projet'!$A$217:$I$237,2,0)</f>
        <v>410.85897435897436</v>
      </c>
      <c r="FC133" s="12">
        <f>VLOOKUP(A133,'Données projet'!$A$217:$I$237,9,0)</f>
        <v>7.1730769230769287</v>
      </c>
      <c r="FD133" s="12">
        <f t="array" ref="FD133">INDEX(FC:FC,MIN(IF(ISNUMBER(FC133:FC329),ROW(FC133:FC329),"")))</f>
        <v>7.1730769230769287</v>
      </c>
      <c r="FE133" s="12">
        <f>IF('Données projet'!$A$218&gt;35,FE132+FD133-FM132,IF(A133&lt;'Données projet'!$A$218,$FB$205^A133,IF(A133='Données projet'!$A$218,'Données projet'!$B$218,FE132+FD133-FM132)))</f>
        <v>410.8589743589738</v>
      </c>
      <c r="FF133" s="17">
        <f>FE133*VLOOKUP('Données projet'!$B$16,Paramètres!$A$1:$I$89,3,0)*VLOOKUP('Données projet'!$B$16,Paramètres!$A$1:$I$89,5,0)</f>
        <v>442.24859999999944</v>
      </c>
      <c r="FG133" s="13">
        <f t="shared" ref="FG133:FG153" si="155">EXP(-1.0587+0.8836*LN(FF133)+0.284)</f>
        <v>100.29122936421744</v>
      </c>
      <c r="FH133" s="20">
        <f t="shared" si="130"/>
        <v>944.92353614267756</v>
      </c>
      <c r="FI133" s="59">
        <f t="shared" si="131"/>
        <v>1238.2568694760109</v>
      </c>
      <c r="FJ133" s="59">
        <f ca="1">AVERAGE(OFFSET($FI$3,0,0,'Données projet'!$E$16+1,1))-AVERAGE(OFFSET($H$3,0,0,'Données projet'!$E$16+1,1))</f>
        <v>395.30533160963489</v>
      </c>
      <c r="FK133" s="59">
        <f t="shared" ref="FK133:FK196" si="156">$FK$3</f>
        <v>196.02102977695085</v>
      </c>
      <c r="FL133" s="15">
        <f>IF(ISNA(VLOOKUP(A133,'Données projet'!$A$217:$I$237,3,0)),0,VLOOKUP(A133,'Données projet'!$A$217:$I$237,3,0))</f>
        <v>12</v>
      </c>
      <c r="FM133" s="15">
        <f>IF(ISNA(VLOOKUP(A133,'Données projet'!$A$217:$I$237,4,0)),0,VLOOKUP(A133,'Données projet'!$A$217:$I$237,4,0))</f>
        <v>51.378205128205131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227.99999999999986</v>
      </c>
      <c r="GA133" s="17">
        <f>FZ133*VLOOKUP('Données projet'!$B$17,Paramètres!$A$1:$I$89,3,0)*VLOOKUP('Données projet'!$B$17,Paramètres!$A$1:$I$89,5,0)</f>
        <v>238.30559999999986</v>
      </c>
      <c r="GB133" s="13">
        <f t="shared" ref="GB133:GB153" si="157">EXP(-1.0587+0.8836*LN(GA133)+0.284)</f>
        <v>58.074821878967043</v>
      </c>
      <c r="GC133" s="20">
        <f t="shared" si="133"/>
        <v>516.19590143920061</v>
      </c>
      <c r="GD133" s="59">
        <f t="shared" si="134"/>
        <v>809.52923477253398</v>
      </c>
      <c r="GE133" s="59">
        <f ca="1">AVERAGE(OFFSET($GD$3,0,0,'Données projet'!$E$17+1,1))-AVERAGE(OFFSET($H$3,0,0,'Données projet'!$E$17+1,1))</f>
        <v>269.41185214595805</v>
      </c>
      <c r="GF133" s="59">
        <f t="shared" ref="GF133:GF196" si="158">$GF$3</f>
        <v>299.70148160580993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0.87517477818400602</v>
      </c>
      <c r="GM133" s="21">
        <f>EXP(-LN(2)/25)*GM132+(1-EXP(-LN(2)/25))/(LN(2)/25)*Calculateur!GH133*Calculateur!GJ133*VLOOKUP('Données projet'!$B$17,Paramètres!$A$1:$I$89,3,0)*0.475*44/12</f>
        <v>1.0139662547177133</v>
      </c>
      <c r="GN133" s="21">
        <f>EXP(-LN(2)/2)*GN132+(1-EXP(-LN(2)/2))/(LN(2)/2)*GH133*GK133*VLOOKUP('Données projet'!$B$17,Paramètres!$A$1:$I$89,3,0)*0.475*44/12</f>
        <v>1.6971907047158559E-14</v>
      </c>
      <c r="GO133" s="21">
        <f t="shared" si="135"/>
        <v>1.8891410329017362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5.6843418860808015E-14</v>
      </c>
      <c r="GV133" s="17">
        <f>GU133*VLOOKUP('Données projet'!$B$18,Paramètres!$A$1:$I$89,3,0)*VLOOKUP('Données projet'!$B$18,Paramètres!$A$1:$I$89,5,0)</f>
        <v>4.9658410716801891E-14</v>
      </c>
      <c r="GW133" s="13">
        <f t="shared" ref="GW133:GW153" si="159">EXP(-1.0587+0.8836*LN(GV133)+0.284)</f>
        <v>8.0934058173791862E-13</v>
      </c>
      <c r="GX133" s="20">
        <f t="shared" si="136"/>
        <v>1.4960899118586383E-12</v>
      </c>
      <c r="GY133" s="59">
        <f t="shared" si="137"/>
        <v>293.33333333333479</v>
      </c>
      <c r="GZ133" s="59">
        <f ca="1">AVERAGE(OFFSET($GY$3,0,0,'Données projet'!$E$18+1,1))-AVERAGE(OFFSET($H$3,0,0,'Données projet'!$E$18+1,1))</f>
        <v>226.35975611953359</v>
      </c>
      <c r="HA133" s="59">
        <f t="shared" ref="HA133:HA196" si="160">$HA$3</f>
        <v>271.65876694892461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0.7056944635870861</v>
      </c>
      <c r="HI133" s="21">
        <f>EXP(-LN(2)/2)*HI132+(1-EXP(-LN(2)/2))/(LN(2)/2)*HC133*HF133*VLOOKUP('Données projet'!$B$18,Paramètres!$A$1:$I$89,3,0)*0.475*44/12</f>
        <v>1.0495260782808879E-14</v>
      </c>
      <c r="HJ133" s="22">
        <f t="shared" si="138"/>
        <v>0.70569446358709664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7.2230769230769223</v>
      </c>
      <c r="N134" s="13">
        <f>IF('Données projet'!$A$36&gt;35,N133+M134-V133,IF(A134&lt;'Données projet'!$A$36,$K$205^A134,IF(A134='Données projet'!$A$36,'Données projet'!$B$36,N133+M134-V133)))</f>
        <v>366.70384615384557</v>
      </c>
      <c r="O134" s="13">
        <f>N134*VLOOKUP('Données projet'!$B$9,Paramètres!$A$1:$I$89,3,0)*VLOOKUP('Données projet'!$B$9,Paramètres!$A$1:$I$89,5,0)</f>
        <v>331.79363999999947</v>
      </c>
      <c r="P134" s="13">
        <f t="shared" si="141"/>
        <v>77.802057109037236</v>
      </c>
      <c r="Q134" s="20">
        <f t="shared" si="108"/>
        <v>713.37917246490554</v>
      </c>
      <c r="R134" s="59">
        <f t="shared" si="109"/>
        <v>1006.7125057982389</v>
      </c>
      <c r="S134" s="59">
        <f ca="1">AVERAGE(OFFSET($R$3,0,0,'Données projet'!$E$9+1,1))-AVERAGE(OFFSET($H$3,0,0,'Données projet'!$E$9+1,1))</f>
        <v>309.07357540707869</v>
      </c>
      <c r="T134" s="59">
        <f t="shared" si="142"/>
        <v>155.9593924683299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227.99999999999986</v>
      </c>
      <c r="AJ134" s="13">
        <f>AI134*VLOOKUP('Données projet'!$B$10,Paramètres!$A$1:$I$89,3,0)*VLOOKUP('Données projet'!$B$10,Paramètres!$A$1:$I$89,5,0)</f>
        <v>199.18079999999992</v>
      </c>
      <c r="AK134" s="13">
        <f t="shared" si="143"/>
        <v>49.564089376413683</v>
      </c>
      <c r="AL134" s="20">
        <f t="shared" si="112"/>
        <v>433.23068233058694</v>
      </c>
      <c r="AM134" s="59">
        <f t="shared" si="113"/>
        <v>726.56401566392026</v>
      </c>
      <c r="AN134" s="59">
        <f ca="1">AVERAGE(OFFSET($AM$3,0,0,'Données projet'!$E$10+1,1))-AVERAGE(OFFSET($H$3,0,0,'Données projet'!$E$10+1,1))</f>
        <v>210.07838338464626</v>
      </c>
      <c r="AO134" s="59">
        <f t="shared" si="144"/>
        <v>241.76003724236273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0.71714530652108255</v>
      </c>
      <c r="AV134" s="21">
        <f>EXP(-LN(2)/25)*AV133+(1-EXP(-LN(2)/25))/(LN(2)/25)*Calculateur!AQ134*Calculateur!AS134*VLOOKUP('Données projet'!$B$10,Paramètres!$A$1:$I$89,3,0)*0.475*44/12</f>
        <v>0.824319410044421</v>
      </c>
      <c r="AW134" s="21">
        <f>EXP(-LN(2)/2)*AW133+(1-EXP(-LN(2)/2))/(LN(2)/2)*AQ134*AT134*VLOOKUP('Données projet'!$B$10,Paramètres!$A$1:$I$89,3,0)*0.475*44/12</f>
        <v>1.0030645246447235E-14</v>
      </c>
      <c r="AX134" s="21">
        <f t="shared" si="114"/>
        <v>1.5414647165655135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2.2737367544323206E-13</v>
      </c>
      <c r="BE134" s="13">
        <f>BD134*VLOOKUP('Données projet'!$B$11,Paramètres!$A$1:$I$89,3,0)*VLOOKUP('Données projet'!$B$11,Paramètres!$A$1:$I$89,5,0)</f>
        <v>1.2414602679200471E-13</v>
      </c>
      <c r="BF134" s="13">
        <f t="shared" si="145"/>
        <v>1.8186582995804361E-12</v>
      </c>
      <c r="BG134" s="20">
        <f t="shared" si="115"/>
        <v>3.3837175350986671E-12</v>
      </c>
      <c r="BH134" s="59">
        <f t="shared" si="116"/>
        <v>293.33333333333672</v>
      </c>
      <c r="BI134" s="59">
        <f ca="1">AVERAGE(OFFSET($BH$3,0,0,'Données projet'!$E$11+1,1))-AVERAGE(OFFSET($H$3,0,0,'Données projet'!$E$11+1,1))</f>
        <v>168.72306536277267</v>
      </c>
      <c r="BJ134" s="59">
        <f t="shared" si="146"/>
        <v>203.35476578922339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0.41160792751358077</v>
      </c>
      <c r="BQ134" s="21">
        <f>EXP(-LN(2)/25)*BQ133+(1-EXP(-LN(2)/25))/(LN(2)/25)*Calculateur!BL134*Calculateur!BN134*VLOOKUP('Données projet'!$B$11,Paramètres!$A$1:$I$89,3,0)*0.475*44/12</f>
        <v>1.3972809327170173</v>
      </c>
      <c r="BR134" s="21">
        <f>EXP(-LN(2)/2)*BR133+(1-EXP(-LN(2)/2))/(LN(2)/2)*BL134*BO134*VLOOKUP('Données projet'!$B$11,Paramètres!$A$1:$I$89,3,0)*0.475*44/12</f>
        <v>1.2575716230073176E-14</v>
      </c>
      <c r="BS134" s="22">
        <f t="shared" si="117"/>
        <v>1.8088888602306106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3.4106051316484809E-13</v>
      </c>
      <c r="BZ134" s="13">
        <f>BY134*VLOOKUP('Données projet'!$B$12,Paramètres!$A$1:$I$89,3,0)*VLOOKUP('Données projet'!$B$12,Paramètres!$A$1:$I$89,5,0)</f>
        <v>1.5961632016114892E-13</v>
      </c>
      <c r="CA134" s="13">
        <f t="shared" si="147"/>
        <v>2.2708641912150958E-12</v>
      </c>
      <c r="CB134" s="20">
        <f t="shared" si="118"/>
        <v>4.2330868906469593E-12</v>
      </c>
      <c r="CC134" s="59">
        <f t="shared" si="119"/>
        <v>293.33333333333752</v>
      </c>
      <c r="CD134" s="59">
        <f ca="1">AVERAGE(OFFSET($CC$3,0,0,'Données projet'!$E$12+1,1))-AVERAGE(OFFSET($H$3,0,0,'Données projet'!$E$12+1,1))</f>
        <v>158.58786357608489</v>
      </c>
      <c r="CE134" s="59">
        <f t="shared" si="148"/>
        <v>163.20074068819849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4.1677594708744434E-14</v>
      </c>
      <c r="CV134" s="13">
        <f t="shared" si="149"/>
        <v>6.9326303456159188E-13</v>
      </c>
      <c r="CW134" s="20">
        <f t="shared" si="121"/>
        <v>1.2800215959791691E-12</v>
      </c>
      <c r="CX134" s="59">
        <f t="shared" si="122"/>
        <v>293.33333333333462</v>
      </c>
      <c r="CY134" s="59">
        <f ca="1">AVERAGE(OFFSET($CX$3,0,0,'Données projet'!$E$13+1,1))-AVERAGE(OFFSET($H$3,0,0,'Données projet'!$E$13+1,1))</f>
        <v>178.12968684094687</v>
      </c>
      <c r="CZ134" s="59">
        <f t="shared" si="150"/>
        <v>219.36004077210373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0.46738839763397377</v>
      </c>
      <c r="DH134" s="21">
        <f>EXP(-LN(2)/2)*DH133+(1-EXP(-LN(2)/2))/(LN(2)/2)*DB134*DE134*VLOOKUP('Données projet'!$B$13,Paramètres!$A$1:$I$89,3,0)*0.475*44/12</f>
        <v>6.2285659514773835E-15</v>
      </c>
      <c r="DI134" s="22">
        <f t="shared" si="123"/>
        <v>0.46738839763397999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-8.5265128291212022E-14</v>
      </c>
      <c r="DP134" s="17">
        <f>DO134*VLOOKUP('Données projet'!$B$14,Paramètres!$A$1:$I$89,3,0)*VLOOKUP('Données projet'!$B$14,Paramètres!$A$1:$I$89,5,0)</f>
        <v>-7.7147888077888636E-14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225.28075317732998</v>
      </c>
      <c r="DU134" s="59">
        <f t="shared" si="152"/>
        <v>358.43407531256207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0.30355974358136406</v>
      </c>
      <c r="EB134" s="21">
        <f>EXP(-LN(2)/25)*EB133+(1-EXP(-LN(2)/25))/(LN(2)/25)*Calculateur!DW134*Calculateur!DY134*VLOOKUP('Données projet'!$B$14,Paramètres!$A$1:$I$89,3,0)*0.475*44/12</f>
        <v>0.50286605344602509</v>
      </c>
      <c r="EC134" s="21">
        <f>EXP(-LN(2)/2)*EC133+(1-EXP(-LN(2)/2))/(LN(2)/2)*DW134*DZ134*VLOOKUP('Données projet'!$B$14,Paramètres!$A$1:$I$89,3,0)*0.475*44/12</f>
        <v>2.772168506033839E-15</v>
      </c>
      <c r="ED134" s="22">
        <f t="shared" si="126"/>
        <v>0.80642579702739192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7.2230769230769223</v>
      </c>
      <c r="EJ134" s="12">
        <f>IF('Données projet'!$A$192&gt;35,EJ133+EI134-ER133,IF(A134&lt;'Données projet'!$A$192,$EG$205^A134,IF(A134='Données projet'!$A$192,'Données projet'!$B$192,EJ133+EI134-ER133)))</f>
        <v>366.70384615384557</v>
      </c>
      <c r="EK134" s="17">
        <f>EJ134*VLOOKUP('Données projet'!$B$15,Paramètres!$A$1:$I$89,3,0)*VLOOKUP('Données projet'!$B$15,Paramètres!$A$1:$I$89,5,0)</f>
        <v>371.83769999999942</v>
      </c>
      <c r="EL134" s="13">
        <f t="shared" si="153"/>
        <v>86.0431590154232</v>
      </c>
      <c r="EM134" s="20">
        <f t="shared" si="127"/>
        <v>797.47582945186105</v>
      </c>
      <c r="EN134" s="59">
        <f t="shared" si="128"/>
        <v>1090.8091627851943</v>
      </c>
      <c r="EO134" s="59">
        <f ca="1">AVERAGE(OFFSET($EN$3,0,0,'Données projet'!$E$15+1,1))-AVERAGE(OFFSET($H$3,0,0,'Données projet'!$E$15+1,1))</f>
        <v>363.98308691765931</v>
      </c>
      <c r="EP134" s="59">
        <f t="shared" si="154"/>
        <v>181.47089407988187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7.2230769230769223</v>
      </c>
      <c r="FE134" s="12">
        <f>IF('Données projet'!$A$218&gt;35,FE133+FD134-FM133,IF(A134&lt;'Données projet'!$A$218,$FB$205^A134,IF(A134='Données projet'!$A$218,'Données projet'!$B$218,FE133+FD134-FM133)))</f>
        <v>366.70384615384557</v>
      </c>
      <c r="FF134" s="17">
        <f>FE134*VLOOKUP('Données projet'!$B$16,Paramètres!$A$1:$I$89,3,0)*VLOOKUP('Données projet'!$B$16,Paramètres!$A$1:$I$89,5,0)</f>
        <v>394.72001999999935</v>
      </c>
      <c r="FG134" s="13">
        <f t="shared" si="155"/>
        <v>90.705403889857493</v>
      </c>
      <c r="FH134" s="20">
        <f t="shared" si="130"/>
        <v>845.44927994150066</v>
      </c>
      <c r="FI134" s="59">
        <f t="shared" si="131"/>
        <v>1138.7826132748339</v>
      </c>
      <c r="FJ134" s="59">
        <f ca="1">AVERAGE(OFFSET($FI$3,0,0,'Données projet'!$E$16+1,1))-AVERAGE(OFFSET($H$3,0,0,'Données projet'!$E$16+1,1))</f>
        <v>395.30533160963489</v>
      </c>
      <c r="FK134" s="59">
        <f t="shared" si="156"/>
        <v>196.02102977695085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227.99999999999986</v>
      </c>
      <c r="GA134" s="17">
        <f>FZ134*VLOOKUP('Données projet'!$B$17,Paramètres!$A$1:$I$89,3,0)*VLOOKUP('Données projet'!$B$17,Paramètres!$A$1:$I$89,5,0)</f>
        <v>238.30559999999986</v>
      </c>
      <c r="GB134" s="13">
        <f t="shared" si="157"/>
        <v>58.074821878967043</v>
      </c>
      <c r="GC134" s="20">
        <f t="shared" si="133"/>
        <v>516.19590143920061</v>
      </c>
      <c r="GD134" s="59">
        <f t="shared" si="134"/>
        <v>809.52923477253398</v>
      </c>
      <c r="GE134" s="59">
        <f ca="1">AVERAGE(OFFSET($GD$3,0,0,'Données projet'!$E$17+1,1))-AVERAGE(OFFSET($H$3,0,0,'Données projet'!$E$17+1,1))</f>
        <v>269.41185214595805</v>
      </c>
      <c r="GF134" s="59">
        <f t="shared" si="158"/>
        <v>299.70148160580993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0.85801313458772355</v>
      </c>
      <c r="GM134" s="21">
        <f>EXP(-LN(2)/25)*GM133+(1-EXP(-LN(2)/25))/(LN(2)/25)*Calculateur!GH134*Calculateur!GJ134*VLOOKUP('Données projet'!$B$17,Paramètres!$A$1:$I$89,3,0)*0.475*44/12</f>
        <v>0.98623929416028955</v>
      </c>
      <c r="GN134" s="21">
        <f>EXP(-LN(2)/2)*GN133+(1-EXP(-LN(2)/2))/(LN(2)/2)*GH134*GK134*VLOOKUP('Données projet'!$B$17,Paramètres!$A$1:$I$89,3,0)*0.475*44/12</f>
        <v>1.2000950562713571E-14</v>
      </c>
      <c r="GO134" s="21">
        <f t="shared" si="135"/>
        <v>1.8442524287480251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5.6843418860808015E-14</v>
      </c>
      <c r="GV134" s="17">
        <f>GU134*VLOOKUP('Données projet'!$B$18,Paramètres!$A$1:$I$89,3,0)*VLOOKUP('Données projet'!$B$18,Paramètres!$A$1:$I$89,5,0)</f>
        <v>4.9658410716801891E-14</v>
      </c>
      <c r="GW134" s="13">
        <f t="shared" si="159"/>
        <v>8.0934058173791862E-13</v>
      </c>
      <c r="GX134" s="20">
        <f t="shared" si="136"/>
        <v>1.4960899118586383E-12</v>
      </c>
      <c r="GY134" s="59">
        <f t="shared" si="137"/>
        <v>293.33333333333479</v>
      </c>
      <c r="GZ134" s="59">
        <f ca="1">AVERAGE(OFFSET($GY$3,0,0,'Données projet'!$E$18+1,1))-AVERAGE(OFFSET($H$3,0,0,'Données projet'!$E$18+1,1))</f>
        <v>226.35975611953359</v>
      </c>
      <c r="HA134" s="59">
        <f t="shared" si="160"/>
        <v>271.65876694892461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0.68639721136943832</v>
      </c>
      <c r="HI134" s="21">
        <f>EXP(-LN(2)/2)*HI133+(1-EXP(-LN(2)/2))/(LN(2)/2)*HC134*HF134*VLOOKUP('Données projet'!$B$18,Paramètres!$A$1:$I$89,3,0)*0.475*44/12</f>
        <v>7.4212700698453911E-15</v>
      </c>
      <c r="HJ134" s="22">
        <f t="shared" si="138"/>
        <v>0.68639721136944576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7.2230769230769223</v>
      </c>
      <c r="N135" s="13">
        <f>IF('Données projet'!$A$36&gt;35,N134+M135-V134,IF(A135&lt;'Données projet'!$A$36,$K$205^A135,IF(A135='Données projet'!$A$36,'Données projet'!$B$36,N134+M135-V134)))</f>
        <v>373.92692307692249</v>
      </c>
      <c r="O135" s="13">
        <f>N135*VLOOKUP('Données projet'!$B$9,Paramètres!$A$1:$I$89,3,0)*VLOOKUP('Données projet'!$B$9,Paramètres!$A$1:$I$89,5,0)</f>
        <v>338.32907999999946</v>
      </c>
      <c r="P135" s="13">
        <f t="shared" si="141"/>
        <v>79.154624848228366</v>
      </c>
      <c r="Q135" s="20">
        <f t="shared" si="108"/>
        <v>727.11745261066346</v>
      </c>
      <c r="R135" s="59">
        <f t="shared" si="109"/>
        <v>1020.4507859439968</v>
      </c>
      <c r="S135" s="59">
        <f ca="1">AVERAGE(OFFSET($R$3,0,0,'Données projet'!$E$9+1,1))-AVERAGE(OFFSET($H$3,0,0,'Données projet'!$E$9+1,1))</f>
        <v>309.07357540707869</v>
      </c>
      <c r="T135" s="59">
        <f t="shared" si="142"/>
        <v>155.9593924683299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227.99999999999986</v>
      </c>
      <c r="AJ135" s="13">
        <f>AI135*VLOOKUP('Données projet'!$B$10,Paramètres!$A$1:$I$89,3,0)*VLOOKUP('Données projet'!$B$10,Paramètres!$A$1:$I$89,5,0)</f>
        <v>199.18079999999992</v>
      </c>
      <c r="AK135" s="13">
        <f t="shared" si="143"/>
        <v>49.564089376413683</v>
      </c>
      <c r="AL135" s="20">
        <f t="shared" si="112"/>
        <v>433.23068233058694</v>
      </c>
      <c r="AM135" s="59">
        <f t="shared" si="113"/>
        <v>726.56401566392026</v>
      </c>
      <c r="AN135" s="59">
        <f ca="1">AVERAGE(OFFSET($AM$3,0,0,'Données projet'!$E$10+1,1))-AVERAGE(OFFSET($H$3,0,0,'Données projet'!$E$10+1,1))</f>
        <v>210.07838338464626</v>
      </c>
      <c r="AO135" s="59">
        <f t="shared" si="144"/>
        <v>241.76003724236273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0.70308252447564989</v>
      </c>
      <c r="AV135" s="21">
        <f>EXP(-LN(2)/25)*AV134+(1-EXP(-LN(2)/25))/(LN(2)/25)*Calculateur!AQ135*Calculateur!AS135*VLOOKUP('Données projet'!$B$10,Paramètres!$A$1:$I$89,3,0)*0.475*44/12</f>
        <v>0.80177835242768258</v>
      </c>
      <c r="AW135" s="21">
        <f>EXP(-LN(2)/2)*AW134+(1-EXP(-LN(2)/2))/(LN(2)/2)*AQ135*AT135*VLOOKUP('Données projet'!$B$10,Paramètres!$A$1:$I$89,3,0)*0.475*44/12</f>
        <v>7.0927372734394492E-15</v>
      </c>
      <c r="AX135" s="21">
        <f t="shared" si="114"/>
        <v>1.5048608769033396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2.2737367544323206E-13</v>
      </c>
      <c r="BE135" s="13">
        <f>BD135*VLOOKUP('Données projet'!$B$11,Paramètres!$A$1:$I$89,3,0)*VLOOKUP('Données projet'!$B$11,Paramètres!$A$1:$I$89,5,0)</f>
        <v>1.2414602679200471E-13</v>
      </c>
      <c r="BF135" s="13">
        <f t="shared" si="145"/>
        <v>1.8186582995804361E-12</v>
      </c>
      <c r="BG135" s="20">
        <f t="shared" si="115"/>
        <v>3.3837175350986671E-12</v>
      </c>
      <c r="BH135" s="59">
        <f t="shared" si="116"/>
        <v>293.33333333333672</v>
      </c>
      <c r="BI135" s="59">
        <f ca="1">AVERAGE(OFFSET($BH$3,0,0,'Données projet'!$E$11+1,1))-AVERAGE(OFFSET($H$3,0,0,'Données projet'!$E$11+1,1))</f>
        <v>168.72306536277267</v>
      </c>
      <c r="BJ135" s="59">
        <f t="shared" si="146"/>
        <v>203.35476578922339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0.4035365471110855</v>
      </c>
      <c r="BQ135" s="21">
        <f>EXP(-LN(2)/25)*BQ134+(1-EXP(-LN(2)/25))/(LN(2)/25)*Calculateur!BL135*Calculateur!BN135*VLOOKUP('Données projet'!$B$11,Paramètres!$A$1:$I$89,3,0)*0.475*44/12</f>
        <v>1.3590722121320598</v>
      </c>
      <c r="BR135" s="21">
        <f>EXP(-LN(2)/2)*BR134+(1-EXP(-LN(2)/2))/(LN(2)/2)*BL135*BO135*VLOOKUP('Données projet'!$B$11,Paramètres!$A$1:$I$89,3,0)*0.475*44/12</f>
        <v>8.8923742245624676E-15</v>
      </c>
      <c r="BS135" s="22">
        <f t="shared" si="117"/>
        <v>1.7626087592431541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3.4106051316484809E-13</v>
      </c>
      <c r="BZ135" s="13">
        <f>BY135*VLOOKUP('Données projet'!$B$12,Paramètres!$A$1:$I$89,3,0)*VLOOKUP('Données projet'!$B$12,Paramètres!$A$1:$I$89,5,0)</f>
        <v>1.5961632016114892E-13</v>
      </c>
      <c r="CA135" s="13">
        <f t="shared" si="147"/>
        <v>2.2708641912150958E-12</v>
      </c>
      <c r="CB135" s="20">
        <f t="shared" si="118"/>
        <v>4.2330868906469593E-12</v>
      </c>
      <c r="CC135" s="59">
        <f t="shared" si="119"/>
        <v>293.33333333333752</v>
      </c>
      <c r="CD135" s="59">
        <f ca="1">AVERAGE(OFFSET($CC$3,0,0,'Données projet'!$E$12+1,1))-AVERAGE(OFFSET($H$3,0,0,'Données projet'!$E$12+1,1))</f>
        <v>158.58786357608489</v>
      </c>
      <c r="CE135" s="59">
        <f t="shared" si="148"/>
        <v>163.20074068819849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4.1677594708744434E-14</v>
      </c>
      <c r="CV135" s="13">
        <f t="shared" si="149"/>
        <v>6.9326303456159188E-13</v>
      </c>
      <c r="CW135" s="20">
        <f t="shared" si="121"/>
        <v>1.2800215959791691E-12</v>
      </c>
      <c r="CX135" s="59">
        <f t="shared" si="122"/>
        <v>293.33333333333462</v>
      </c>
      <c r="CY135" s="59">
        <f ca="1">AVERAGE(OFFSET($CX$3,0,0,'Données projet'!$E$13+1,1))-AVERAGE(OFFSET($H$3,0,0,'Données projet'!$E$13+1,1))</f>
        <v>178.12968684094687</v>
      </c>
      <c r="CZ135" s="59">
        <f t="shared" si="150"/>
        <v>219.36004077210373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0.45460763732178516</v>
      </c>
      <c r="DH135" s="21">
        <f>EXP(-LN(2)/2)*DH134+(1-EXP(-LN(2)/2))/(LN(2)/2)*DB135*DE135*VLOOKUP('Données projet'!$B$13,Paramètres!$A$1:$I$89,3,0)*0.475*44/12</f>
        <v>4.4042612213572984E-15</v>
      </c>
      <c r="DI135" s="22">
        <f t="shared" si="123"/>
        <v>0.45460763732178955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-8.5265128291212022E-14</v>
      </c>
      <c r="DP135" s="17">
        <f>DO135*VLOOKUP('Données projet'!$B$14,Paramètres!$A$1:$I$89,3,0)*VLOOKUP('Données projet'!$B$14,Paramètres!$A$1:$I$89,5,0)</f>
        <v>-7.7147888077888636E-14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225.28075317732998</v>
      </c>
      <c r="DU135" s="59">
        <f t="shared" si="152"/>
        <v>358.43407531256207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0.29760712216289475</v>
      </c>
      <c r="EB135" s="21">
        <f>EXP(-LN(2)/25)*EB134+(1-EXP(-LN(2)/25))/(LN(2)/25)*Calculateur!DW135*Calculateur!DY135*VLOOKUP('Données projet'!$B$14,Paramètres!$A$1:$I$89,3,0)*0.475*44/12</f>
        <v>0.48911515476996709</v>
      </c>
      <c r="EC135" s="21">
        <f>EXP(-LN(2)/2)*EC134+(1-EXP(-LN(2)/2))/(LN(2)/2)*DW135*DZ135*VLOOKUP('Données projet'!$B$14,Paramètres!$A$1:$I$89,3,0)*0.475*44/12</f>
        <v>1.9602191492083082E-15</v>
      </c>
      <c r="ED135" s="22">
        <f t="shared" si="126"/>
        <v>0.7867222769328639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7.2230769230769223</v>
      </c>
      <c r="EJ135" s="12">
        <f>IF('Données projet'!$A$192&gt;35,EJ134+EI135-ER134,IF(A135&lt;'Données projet'!$A$192,$EG$205^A135,IF(A135='Données projet'!$A$192,'Données projet'!$B$192,EJ134+EI135-ER134)))</f>
        <v>373.92692307692249</v>
      </c>
      <c r="EK135" s="17">
        <f>EJ135*VLOOKUP('Données projet'!$B$15,Paramètres!$A$1:$I$89,3,0)*VLOOKUP('Données projet'!$B$15,Paramètres!$A$1:$I$89,5,0)</f>
        <v>379.16189999999943</v>
      </c>
      <c r="EL135" s="13">
        <f t="shared" si="153"/>
        <v>87.538996084348724</v>
      </c>
      <c r="EM135" s="20">
        <f t="shared" si="127"/>
        <v>812.83739401357309</v>
      </c>
      <c r="EN135" s="59">
        <f t="shared" si="128"/>
        <v>1106.1707273469065</v>
      </c>
      <c r="EO135" s="59">
        <f ca="1">AVERAGE(OFFSET($EN$3,0,0,'Données projet'!$E$15+1,1))-AVERAGE(OFFSET($H$3,0,0,'Données projet'!$E$15+1,1))</f>
        <v>363.98308691765931</v>
      </c>
      <c r="EP135" s="59">
        <f t="shared" si="154"/>
        <v>181.47089407988187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7.2230769230769223</v>
      </c>
      <c r="FE135" s="12">
        <f>IF('Données projet'!$A$218&gt;35,FE134+FD135-FM134,IF(A135&lt;'Données projet'!$A$218,$FB$205^A135,IF(A135='Données projet'!$A$218,'Données projet'!$B$218,FE134+FD135-FM134)))</f>
        <v>373.92692307692249</v>
      </c>
      <c r="FF135" s="17">
        <f>FE135*VLOOKUP('Données projet'!$B$16,Paramètres!$A$1:$I$89,3,0)*VLOOKUP('Données projet'!$B$16,Paramètres!$A$1:$I$89,5,0)</f>
        <v>402.49493999999936</v>
      </c>
      <c r="FG135" s="13">
        <f t="shared" si="155"/>
        <v>92.282292826094604</v>
      </c>
      <c r="FH135" s="20">
        <f t="shared" si="130"/>
        <v>861.73701383878017</v>
      </c>
      <c r="FI135" s="59">
        <f t="shared" si="131"/>
        <v>1155.0703471721135</v>
      </c>
      <c r="FJ135" s="59">
        <f ca="1">AVERAGE(OFFSET($FI$3,0,0,'Données projet'!$E$16+1,1))-AVERAGE(OFFSET($H$3,0,0,'Données projet'!$E$16+1,1))</f>
        <v>395.30533160963489</v>
      </c>
      <c r="FK135" s="59">
        <f t="shared" si="156"/>
        <v>196.02102977695085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227.99999999999986</v>
      </c>
      <c r="GA135" s="17">
        <f>FZ135*VLOOKUP('Données projet'!$B$17,Paramètres!$A$1:$I$89,3,0)*VLOOKUP('Données projet'!$B$17,Paramètres!$A$1:$I$89,5,0)</f>
        <v>238.30559999999986</v>
      </c>
      <c r="GB135" s="13">
        <f t="shared" si="157"/>
        <v>58.074821878967043</v>
      </c>
      <c r="GC135" s="20">
        <f t="shared" si="133"/>
        <v>516.19590143920061</v>
      </c>
      <c r="GD135" s="59">
        <f t="shared" si="134"/>
        <v>809.52923477253398</v>
      </c>
      <c r="GE135" s="59">
        <f ca="1">AVERAGE(OFFSET($GD$3,0,0,'Données projet'!$E$17+1,1))-AVERAGE(OFFSET($H$3,0,0,'Données projet'!$E$17+1,1))</f>
        <v>269.41185214595805</v>
      </c>
      <c r="GF135" s="59">
        <f t="shared" si="158"/>
        <v>299.70148160580993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0.84118802035479523</v>
      </c>
      <c r="GM135" s="21">
        <f>EXP(-LN(2)/25)*GM134+(1-EXP(-LN(2)/25))/(LN(2)/25)*Calculateur!GH135*Calculateur!GJ135*VLOOKUP('Données projet'!$B$17,Paramètres!$A$1:$I$89,3,0)*0.475*44/12</f>
        <v>0.95927052879740604</v>
      </c>
      <c r="GN135" s="21">
        <f>EXP(-LN(2)/2)*GN134+(1-EXP(-LN(2)/2))/(LN(2)/2)*GH135*GK135*VLOOKUP('Données projet'!$B$17,Paramètres!$A$1:$I$89,3,0)*0.475*44/12</f>
        <v>8.4859535235792796E-15</v>
      </c>
      <c r="GO135" s="21">
        <f t="shared" si="135"/>
        <v>1.8004585491522098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5.6843418860808015E-14</v>
      </c>
      <c r="GV135" s="17">
        <f>GU135*VLOOKUP('Données projet'!$B$18,Paramètres!$A$1:$I$89,3,0)*VLOOKUP('Données projet'!$B$18,Paramètres!$A$1:$I$89,5,0)</f>
        <v>4.9658410716801891E-14</v>
      </c>
      <c r="GW135" s="13">
        <f t="shared" si="159"/>
        <v>8.0934058173791862E-13</v>
      </c>
      <c r="GX135" s="20">
        <f t="shared" si="136"/>
        <v>1.4960899118586383E-12</v>
      </c>
      <c r="GY135" s="59">
        <f t="shared" si="137"/>
        <v>293.33333333333479</v>
      </c>
      <c r="GZ135" s="59">
        <f ca="1">AVERAGE(OFFSET($GY$3,0,0,'Données projet'!$E$18+1,1))-AVERAGE(OFFSET($H$3,0,0,'Données projet'!$E$18+1,1))</f>
        <v>226.35975611953359</v>
      </c>
      <c r="HA135" s="59">
        <f t="shared" si="160"/>
        <v>271.65876694892461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0.66762764352848047</v>
      </c>
      <c r="HI135" s="21">
        <f>EXP(-LN(2)/2)*HI134+(1-EXP(-LN(2)/2))/(LN(2)/2)*HC135*HF135*VLOOKUP('Données projet'!$B$18,Paramètres!$A$1:$I$89,3,0)*0.475*44/12</f>
        <v>5.2476303914044394E-15</v>
      </c>
      <c r="HJ135" s="22">
        <f t="shared" si="138"/>
        <v>0.66762764352848569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7.2230769230769223</v>
      </c>
      <c r="N136" s="13">
        <f>IF('Données projet'!$A$36&gt;35,N135+M136-V135,IF(A136&lt;'Données projet'!$A$36,$K$205^A136,IF(A136='Données projet'!$A$36,'Données projet'!$B$36,N135+M136-V135)))</f>
        <v>381.14999999999941</v>
      </c>
      <c r="O136" s="13">
        <f>N136*VLOOKUP('Données projet'!$B$9,Paramètres!$A$1:$I$89,3,0)*VLOOKUP('Données projet'!$B$9,Paramètres!$A$1:$I$89,5,0)</f>
        <v>344.86451999999946</v>
      </c>
      <c r="P136" s="13">
        <f t="shared" si="141"/>
        <v>80.504154586493371</v>
      </c>
      <c r="Q136" s="20">
        <f t="shared" si="108"/>
        <v>740.85044157147502</v>
      </c>
      <c r="R136" s="59">
        <f t="shared" si="109"/>
        <v>1034.1837749048084</v>
      </c>
      <c r="S136" s="59">
        <f ca="1">AVERAGE(OFFSET($R$3,0,0,'Données projet'!$E$9+1,1))-AVERAGE(OFFSET($H$3,0,0,'Données projet'!$E$9+1,1))</f>
        <v>309.07357540707869</v>
      </c>
      <c r="T136" s="59">
        <f t="shared" si="142"/>
        <v>155.9593924683299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227.99999999999986</v>
      </c>
      <c r="AJ136" s="13">
        <f>AI136*VLOOKUP('Données projet'!$B$10,Paramètres!$A$1:$I$89,3,0)*VLOOKUP('Données projet'!$B$10,Paramètres!$A$1:$I$89,5,0)</f>
        <v>199.18079999999992</v>
      </c>
      <c r="AK136" s="13">
        <f t="shared" si="143"/>
        <v>49.564089376413683</v>
      </c>
      <c r="AL136" s="20">
        <f t="shared" si="112"/>
        <v>433.23068233058694</v>
      </c>
      <c r="AM136" s="59">
        <f t="shared" si="113"/>
        <v>726.56401566392026</v>
      </c>
      <c r="AN136" s="59">
        <f ca="1">AVERAGE(OFFSET($AM$3,0,0,'Données projet'!$E$10+1,1))-AVERAGE(OFFSET($H$3,0,0,'Données projet'!$E$10+1,1))</f>
        <v>210.07838338464626</v>
      </c>
      <c r="AO136" s="59">
        <f t="shared" si="144"/>
        <v>241.76003724236273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0.68929550500867809</v>
      </c>
      <c r="AV136" s="21">
        <f>EXP(-LN(2)/25)*AV135+(1-EXP(-LN(2)/25))/(LN(2)/25)*Calculateur!AQ136*Calculateur!AS136*VLOOKUP('Données projet'!$B$10,Paramètres!$A$1:$I$89,3,0)*0.475*44/12</f>
        <v>0.7798536812168565</v>
      </c>
      <c r="AW136" s="21">
        <f>EXP(-LN(2)/2)*AW135+(1-EXP(-LN(2)/2))/(LN(2)/2)*AQ136*AT136*VLOOKUP('Données projet'!$B$10,Paramètres!$A$1:$I$89,3,0)*0.475*44/12</f>
        <v>5.0153226232236185E-15</v>
      </c>
      <c r="AX136" s="21">
        <f t="shared" si="114"/>
        <v>1.4691491862255397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2.2737367544323206E-13</v>
      </c>
      <c r="BE136" s="13">
        <f>BD136*VLOOKUP('Données projet'!$B$11,Paramètres!$A$1:$I$89,3,0)*VLOOKUP('Données projet'!$B$11,Paramètres!$A$1:$I$89,5,0)</f>
        <v>1.2414602679200471E-13</v>
      </c>
      <c r="BF136" s="13">
        <f t="shared" si="145"/>
        <v>1.8186582995804361E-12</v>
      </c>
      <c r="BG136" s="20">
        <f t="shared" si="115"/>
        <v>3.3837175350986671E-12</v>
      </c>
      <c r="BH136" s="59">
        <f t="shared" si="116"/>
        <v>293.33333333333672</v>
      </c>
      <c r="BI136" s="59">
        <f ca="1">AVERAGE(OFFSET($BH$3,0,0,'Données projet'!$E$11+1,1))-AVERAGE(OFFSET($H$3,0,0,'Données projet'!$E$11+1,1))</f>
        <v>168.72306536277267</v>
      </c>
      <c r="BJ136" s="59">
        <f t="shared" si="146"/>
        <v>203.35476578922339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0.39562344155522722</v>
      </c>
      <c r="BQ136" s="21">
        <f>EXP(-LN(2)/25)*BQ135+(1-EXP(-LN(2)/25))/(LN(2)/25)*Calculateur!BL136*Calculateur!BN136*VLOOKUP('Données projet'!$B$11,Paramètres!$A$1:$I$89,3,0)*0.475*44/12</f>
        <v>1.3219083110208072</v>
      </c>
      <c r="BR136" s="21">
        <f>EXP(-LN(2)/2)*BR135+(1-EXP(-LN(2)/2))/(LN(2)/2)*BL136*BO136*VLOOKUP('Données projet'!$B$11,Paramètres!$A$1:$I$89,3,0)*0.475*44/12</f>
        <v>6.2878581150365881E-15</v>
      </c>
      <c r="BS136" s="22">
        <f t="shared" si="117"/>
        <v>1.7175317525760407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3.4106051316484809E-13</v>
      </c>
      <c r="BZ136" s="13">
        <f>BY136*VLOOKUP('Données projet'!$B$12,Paramètres!$A$1:$I$89,3,0)*VLOOKUP('Données projet'!$B$12,Paramètres!$A$1:$I$89,5,0)</f>
        <v>1.5961632016114892E-13</v>
      </c>
      <c r="CA136" s="13">
        <f t="shared" si="147"/>
        <v>2.2708641912150958E-12</v>
      </c>
      <c r="CB136" s="20">
        <f t="shared" si="118"/>
        <v>4.2330868906469593E-12</v>
      </c>
      <c r="CC136" s="59">
        <f t="shared" si="119"/>
        <v>293.33333333333752</v>
      </c>
      <c r="CD136" s="59">
        <f ca="1">AVERAGE(OFFSET($CC$3,0,0,'Données projet'!$E$12+1,1))-AVERAGE(OFFSET($H$3,0,0,'Données projet'!$E$12+1,1))</f>
        <v>158.58786357608489</v>
      </c>
      <c r="CE136" s="59">
        <f t="shared" si="148"/>
        <v>163.20074068819849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4.1677594708744434E-14</v>
      </c>
      <c r="CV136" s="13">
        <f t="shared" si="149"/>
        <v>6.9326303456159188E-13</v>
      </c>
      <c r="CW136" s="20">
        <f t="shared" si="121"/>
        <v>1.2800215959791691E-12</v>
      </c>
      <c r="CX136" s="59">
        <f t="shared" si="122"/>
        <v>293.33333333333462</v>
      </c>
      <c r="CY136" s="59">
        <f ca="1">AVERAGE(OFFSET($CX$3,0,0,'Données projet'!$E$13+1,1))-AVERAGE(OFFSET($H$3,0,0,'Données projet'!$E$13+1,1))</f>
        <v>178.12968684094687</v>
      </c>
      <c r="CZ136" s="59">
        <f t="shared" si="150"/>
        <v>219.36004077210373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0.44217636757244433</v>
      </c>
      <c r="DH136" s="21">
        <f>EXP(-LN(2)/2)*DH135+(1-EXP(-LN(2)/2))/(LN(2)/2)*DB136*DE136*VLOOKUP('Données projet'!$B$13,Paramètres!$A$1:$I$89,3,0)*0.475*44/12</f>
        <v>3.1142829757386918E-15</v>
      </c>
      <c r="DI136" s="22">
        <f t="shared" si="123"/>
        <v>0.44217636757244744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-8.5265128291212022E-14</v>
      </c>
      <c r="DP136" s="17">
        <f>DO136*VLOOKUP('Données projet'!$B$14,Paramètres!$A$1:$I$89,3,0)*VLOOKUP('Données projet'!$B$14,Paramètres!$A$1:$I$89,5,0)</f>
        <v>-7.7147888077888636E-14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225.28075317732998</v>
      </c>
      <c r="DU136" s="59">
        <f t="shared" si="152"/>
        <v>358.43407531256207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0.29177122801970107</v>
      </c>
      <c r="EB136" s="21">
        <f>EXP(-LN(2)/25)*EB135+(1-EXP(-LN(2)/25))/(LN(2)/25)*Calculateur!DW136*Calculateur!DY136*VLOOKUP('Données projet'!$B$14,Paramètres!$A$1:$I$89,3,0)*0.475*44/12</f>
        <v>0.47574027514133421</v>
      </c>
      <c r="EC136" s="21">
        <f>EXP(-LN(2)/2)*EC135+(1-EXP(-LN(2)/2))/(LN(2)/2)*DW136*DZ136*VLOOKUP('Données projet'!$B$14,Paramètres!$A$1:$I$89,3,0)*0.475*44/12</f>
        <v>1.3860842530169195E-15</v>
      </c>
      <c r="ED136" s="22">
        <f t="shared" si="126"/>
        <v>0.76751150316103667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7.2230769230769223</v>
      </c>
      <c r="EJ136" s="12">
        <f>IF('Données projet'!$A$192&gt;35,EJ135+EI136-ER135,IF(A136&lt;'Données projet'!$A$192,$EG$205^A136,IF(A136='Données projet'!$A$192,'Données projet'!$B$192,EJ135+EI136-ER135)))</f>
        <v>381.14999999999941</v>
      </c>
      <c r="EK136" s="17">
        <f>EJ136*VLOOKUP('Données projet'!$B$15,Paramètres!$A$1:$I$89,3,0)*VLOOKUP('Données projet'!$B$15,Paramètres!$A$1:$I$89,5,0)</f>
        <v>386.48609999999945</v>
      </c>
      <c r="EL136" s="13">
        <f t="shared" si="153"/>
        <v>89.031473355262477</v>
      </c>
      <c r="EM136" s="20">
        <f t="shared" si="127"/>
        <v>828.1931069270812</v>
      </c>
      <c r="EN136" s="59">
        <f t="shared" si="128"/>
        <v>1121.5264402604146</v>
      </c>
      <c r="EO136" s="59">
        <f ca="1">AVERAGE(OFFSET($EN$3,0,0,'Données projet'!$E$15+1,1))-AVERAGE(OFFSET($H$3,0,0,'Données projet'!$E$15+1,1))</f>
        <v>363.98308691765931</v>
      </c>
      <c r="EP136" s="59">
        <f t="shared" si="154"/>
        <v>181.47089407988187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7.2230769230769223</v>
      </c>
      <c r="FE136" s="12">
        <f>IF('Données projet'!$A$218&gt;35,FE135+FD136-FM135,IF(A136&lt;'Données projet'!$A$218,$FB$205^A136,IF(A136='Données projet'!$A$218,'Données projet'!$B$218,FE135+FD136-FM135)))</f>
        <v>381.14999999999941</v>
      </c>
      <c r="FF136" s="17">
        <f>FE136*VLOOKUP('Données projet'!$B$16,Paramètres!$A$1:$I$89,3,0)*VLOOKUP('Données projet'!$B$16,Paramètres!$A$1:$I$89,5,0)</f>
        <v>410.26985999999937</v>
      </c>
      <c r="FG136" s="13">
        <f t="shared" si="155"/>
        <v>93.855639913809014</v>
      </c>
      <c r="FH136" s="20">
        <f t="shared" si="130"/>
        <v>878.01857901654955</v>
      </c>
      <c r="FI136" s="59">
        <f t="shared" si="131"/>
        <v>1171.3519123498829</v>
      </c>
      <c r="FJ136" s="59">
        <f ca="1">AVERAGE(OFFSET($FI$3,0,0,'Données projet'!$E$16+1,1))-AVERAGE(OFFSET($H$3,0,0,'Données projet'!$E$16+1,1))</f>
        <v>395.30533160963489</v>
      </c>
      <c r="FK136" s="59">
        <f t="shared" si="156"/>
        <v>196.02102977695085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227.99999999999986</v>
      </c>
      <c r="GA136" s="17">
        <f>FZ136*VLOOKUP('Données projet'!$B$17,Paramètres!$A$1:$I$89,3,0)*VLOOKUP('Données projet'!$B$17,Paramètres!$A$1:$I$89,5,0)</f>
        <v>238.30559999999986</v>
      </c>
      <c r="GB136" s="13">
        <f t="shared" si="157"/>
        <v>58.074821878967043</v>
      </c>
      <c r="GC136" s="20">
        <f t="shared" si="133"/>
        <v>516.19590143920061</v>
      </c>
      <c r="GD136" s="59">
        <f t="shared" si="134"/>
        <v>809.52923477253398</v>
      </c>
      <c r="GE136" s="59">
        <f ca="1">AVERAGE(OFFSET($GD$3,0,0,'Données projet'!$E$17+1,1))-AVERAGE(OFFSET($H$3,0,0,'Données projet'!$E$17+1,1))</f>
        <v>269.41185214595805</v>
      </c>
      <c r="GF136" s="59">
        <f t="shared" si="158"/>
        <v>299.70148160580993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0.82469283634966828</v>
      </c>
      <c r="GM136" s="21">
        <f>EXP(-LN(2)/25)*GM135+(1-EXP(-LN(2)/25))/(LN(2)/25)*Calculateur!GH136*Calculateur!GJ136*VLOOKUP('Données projet'!$B$17,Paramètres!$A$1:$I$89,3,0)*0.475*44/12</f>
        <v>0.93303922574159626</v>
      </c>
      <c r="GN136" s="21">
        <f>EXP(-LN(2)/2)*GN135+(1-EXP(-LN(2)/2))/(LN(2)/2)*GH136*GK136*VLOOKUP('Données projet'!$B$17,Paramètres!$A$1:$I$89,3,0)*0.475*44/12</f>
        <v>6.0004752813567856E-15</v>
      </c>
      <c r="GO136" s="21">
        <f t="shared" si="135"/>
        <v>1.7577320620912704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5.6843418860808015E-14</v>
      </c>
      <c r="GV136" s="17">
        <f>GU136*VLOOKUP('Données projet'!$B$18,Paramètres!$A$1:$I$89,3,0)*VLOOKUP('Données projet'!$B$18,Paramètres!$A$1:$I$89,5,0)</f>
        <v>4.9658410716801891E-14</v>
      </c>
      <c r="GW136" s="13">
        <f t="shared" si="159"/>
        <v>8.0934058173791862E-13</v>
      </c>
      <c r="GX136" s="20">
        <f t="shared" si="136"/>
        <v>1.4960899118586383E-12</v>
      </c>
      <c r="GY136" s="59">
        <f t="shared" si="137"/>
        <v>293.33333333333479</v>
      </c>
      <c r="GZ136" s="59">
        <f ca="1">AVERAGE(OFFSET($GY$3,0,0,'Données projet'!$E$18+1,1))-AVERAGE(OFFSET($H$3,0,0,'Données projet'!$E$18+1,1))</f>
        <v>226.35975611953359</v>
      </c>
      <c r="HA136" s="59">
        <f t="shared" si="160"/>
        <v>271.65876694892461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0.64937133050718232</v>
      </c>
      <c r="HI136" s="21">
        <f>EXP(-LN(2)/2)*HI135+(1-EXP(-LN(2)/2))/(LN(2)/2)*HC136*HF136*VLOOKUP('Données projet'!$B$18,Paramètres!$A$1:$I$89,3,0)*0.475*44/12</f>
        <v>3.7106350349226956E-15</v>
      </c>
      <c r="HJ136" s="22">
        <f t="shared" si="138"/>
        <v>0.64937133050718598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7.2230769230769223</v>
      </c>
      <c r="N137" s="13">
        <f>IF('Données projet'!$A$36&gt;35,N136+M137-V136,IF(A137&lt;'Données projet'!$A$36,$K$205^A137,IF(A137='Données projet'!$A$36,'Données projet'!$B$36,N136+M137-V136)))</f>
        <v>388.37307692307633</v>
      </c>
      <c r="O137" s="13">
        <f>N137*VLOOKUP('Données projet'!$B$9,Paramètres!$A$1:$I$89,3,0)*VLOOKUP('Données projet'!$B$9,Paramètres!$A$1:$I$89,5,0)</f>
        <v>351.39995999999945</v>
      </c>
      <c r="P137" s="13">
        <f t="shared" si="141"/>
        <v>81.85071053455772</v>
      </c>
      <c r="Q137" s="20">
        <f t="shared" si="108"/>
        <v>754.57825118102039</v>
      </c>
      <c r="R137" s="59">
        <f t="shared" si="109"/>
        <v>1047.9115845143538</v>
      </c>
      <c r="S137" s="59">
        <f ca="1">AVERAGE(OFFSET($R$3,0,0,'Données projet'!$E$9+1,1))-AVERAGE(OFFSET($H$3,0,0,'Données projet'!$E$9+1,1))</f>
        <v>309.07357540707869</v>
      </c>
      <c r="T137" s="59">
        <f t="shared" si="142"/>
        <v>155.9593924683299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227.99999999999986</v>
      </c>
      <c r="AJ137" s="13">
        <f>AI137*VLOOKUP('Données projet'!$B$10,Paramètres!$A$1:$I$89,3,0)*VLOOKUP('Données projet'!$B$10,Paramètres!$A$1:$I$89,5,0)</f>
        <v>199.18079999999992</v>
      </c>
      <c r="AK137" s="13">
        <f t="shared" si="143"/>
        <v>49.564089376413683</v>
      </c>
      <c r="AL137" s="20">
        <f t="shared" si="112"/>
        <v>433.23068233058694</v>
      </c>
      <c r="AM137" s="59">
        <f t="shared" si="113"/>
        <v>726.56401566392026</v>
      </c>
      <c r="AN137" s="59">
        <f ca="1">AVERAGE(OFFSET($AM$3,0,0,'Données projet'!$E$10+1,1))-AVERAGE(OFFSET($H$3,0,0,'Données projet'!$E$10+1,1))</f>
        <v>210.07838338464626</v>
      </c>
      <c r="AO137" s="59">
        <f t="shared" si="144"/>
        <v>241.76003724236273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0.67577884058420212</v>
      </c>
      <c r="AV137" s="21">
        <f>EXP(-LN(2)/25)*AV136+(1-EXP(-LN(2)/25))/(LN(2)/25)*Calculateur!AQ137*Calculateur!AS137*VLOOKUP('Données projet'!$B$10,Paramètres!$A$1:$I$89,3,0)*0.475*44/12</f>
        <v>0.75852854129325886</v>
      </c>
      <c r="AW137" s="21">
        <f>EXP(-LN(2)/2)*AW136+(1-EXP(-LN(2)/2))/(LN(2)/2)*AQ137*AT137*VLOOKUP('Données projet'!$B$10,Paramètres!$A$1:$I$89,3,0)*0.475*44/12</f>
        <v>3.546368636719725E-15</v>
      </c>
      <c r="AX137" s="21">
        <f t="shared" si="114"/>
        <v>1.4343073818774645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2.2737367544323206E-13</v>
      </c>
      <c r="BE137" s="13">
        <f>BD137*VLOOKUP('Données projet'!$B$11,Paramètres!$A$1:$I$89,3,0)*VLOOKUP('Données projet'!$B$11,Paramètres!$A$1:$I$89,5,0)</f>
        <v>1.2414602679200471E-13</v>
      </c>
      <c r="BF137" s="13">
        <f t="shared" si="145"/>
        <v>1.8186582995804361E-12</v>
      </c>
      <c r="BG137" s="20">
        <f t="shared" si="115"/>
        <v>3.3837175350986671E-12</v>
      </c>
      <c r="BH137" s="59">
        <f t="shared" si="116"/>
        <v>293.33333333333672</v>
      </c>
      <c r="BI137" s="59">
        <f ca="1">AVERAGE(OFFSET($BH$3,0,0,'Données projet'!$E$11+1,1))-AVERAGE(OFFSET($H$3,0,0,'Données projet'!$E$11+1,1))</f>
        <v>168.72306536277267</v>
      </c>
      <c r="BJ137" s="59">
        <f t="shared" si="146"/>
        <v>203.35476578922339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0.38786550717280155</v>
      </c>
      <c r="BQ137" s="21">
        <f>EXP(-LN(2)/25)*BQ136+(1-EXP(-LN(2)/25))/(LN(2)/25)*Calculateur!BL137*Calculateur!BN137*VLOOKUP('Données projet'!$B$11,Paramètres!$A$1:$I$89,3,0)*0.475*44/12</f>
        <v>1.2857606587398065</v>
      </c>
      <c r="BR137" s="21">
        <f>EXP(-LN(2)/2)*BR136+(1-EXP(-LN(2)/2))/(LN(2)/2)*BL137*BO137*VLOOKUP('Données projet'!$B$11,Paramètres!$A$1:$I$89,3,0)*0.475*44/12</f>
        <v>4.4461871122812338E-15</v>
      </c>
      <c r="BS137" s="22">
        <f t="shared" si="117"/>
        <v>1.6736261659126126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3.4106051316484809E-13</v>
      </c>
      <c r="BZ137" s="13">
        <f>BY137*VLOOKUP('Données projet'!$B$12,Paramètres!$A$1:$I$89,3,0)*VLOOKUP('Données projet'!$B$12,Paramètres!$A$1:$I$89,5,0)</f>
        <v>1.5961632016114892E-13</v>
      </c>
      <c r="CA137" s="13">
        <f t="shared" si="147"/>
        <v>2.2708641912150958E-12</v>
      </c>
      <c r="CB137" s="20">
        <f t="shared" si="118"/>
        <v>4.2330868906469593E-12</v>
      </c>
      <c r="CC137" s="59">
        <f t="shared" si="119"/>
        <v>293.33333333333752</v>
      </c>
      <c r="CD137" s="59">
        <f ca="1">AVERAGE(OFFSET($CC$3,0,0,'Données projet'!$E$12+1,1))-AVERAGE(OFFSET($H$3,0,0,'Données projet'!$E$12+1,1))</f>
        <v>158.58786357608489</v>
      </c>
      <c r="CE137" s="59">
        <f t="shared" si="148"/>
        <v>163.20074068819849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4.1677594708744434E-14</v>
      </c>
      <c r="CV137" s="13">
        <f t="shared" si="149"/>
        <v>6.9326303456159188E-13</v>
      </c>
      <c r="CW137" s="20">
        <f t="shared" si="121"/>
        <v>1.2800215959791691E-12</v>
      </c>
      <c r="CX137" s="59">
        <f t="shared" si="122"/>
        <v>293.33333333333462</v>
      </c>
      <c r="CY137" s="59">
        <f ca="1">AVERAGE(OFFSET($CX$3,0,0,'Données projet'!$E$13+1,1))-AVERAGE(OFFSET($H$3,0,0,'Données projet'!$E$13+1,1))</f>
        <v>178.12968684094687</v>
      </c>
      <c r="CZ137" s="59">
        <f t="shared" si="150"/>
        <v>219.36004077210373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0.43008503154813127</v>
      </c>
      <c r="DH137" s="21">
        <f>EXP(-LN(2)/2)*DH136+(1-EXP(-LN(2)/2))/(LN(2)/2)*DB137*DE137*VLOOKUP('Données projet'!$B$13,Paramètres!$A$1:$I$89,3,0)*0.475*44/12</f>
        <v>2.2021306106786492E-15</v>
      </c>
      <c r="DI137" s="22">
        <f t="shared" si="123"/>
        <v>0.43008503154813349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-8.5265128291212022E-14</v>
      </c>
      <c r="DP137" s="17">
        <f>DO137*VLOOKUP('Données projet'!$B$14,Paramètres!$A$1:$I$89,3,0)*VLOOKUP('Données projet'!$B$14,Paramètres!$A$1:$I$89,5,0)</f>
        <v>-7.7147888077888636E-14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225.28075317732998</v>
      </c>
      <c r="DU137" s="59">
        <f t="shared" si="152"/>
        <v>358.43407531256207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0.28604977220111144</v>
      </c>
      <c r="EB137" s="21">
        <f>EXP(-LN(2)/25)*EB136+(1-EXP(-LN(2)/25))/(LN(2)/25)*Calculateur!DW137*Calculateur!DY137*VLOOKUP('Données projet'!$B$14,Paramètres!$A$1:$I$89,3,0)*0.475*44/12</f>
        <v>0.46273113229950069</v>
      </c>
      <c r="EC137" s="21">
        <f>EXP(-LN(2)/2)*EC136+(1-EXP(-LN(2)/2))/(LN(2)/2)*DW137*DZ137*VLOOKUP('Données projet'!$B$14,Paramètres!$A$1:$I$89,3,0)*0.475*44/12</f>
        <v>9.8010957460415408E-16</v>
      </c>
      <c r="ED137" s="22">
        <f t="shared" si="126"/>
        <v>0.74878090450061319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7.2230769230769223</v>
      </c>
      <c r="EJ137" s="12">
        <f>IF('Données projet'!$A$192&gt;35,EJ136+EI137-ER136,IF(A137&lt;'Données projet'!$A$192,$EG$205^A137,IF(A137='Données projet'!$A$192,'Données projet'!$B$192,EJ136+EI137-ER136)))</f>
        <v>388.37307692307633</v>
      </c>
      <c r="EK137" s="17">
        <f>EJ137*VLOOKUP('Données projet'!$B$15,Paramètres!$A$1:$I$89,3,0)*VLOOKUP('Données projet'!$B$15,Paramètres!$A$1:$I$89,5,0)</f>
        <v>393.81029999999942</v>
      </c>
      <c r="EL137" s="13">
        <f t="shared" si="153"/>
        <v>90.520661840344417</v>
      </c>
      <c r="EM137" s="20">
        <f t="shared" si="127"/>
        <v>843.54309187193212</v>
      </c>
      <c r="EN137" s="59">
        <f t="shared" si="128"/>
        <v>1136.8764252052654</v>
      </c>
      <c r="EO137" s="59">
        <f ca="1">AVERAGE(OFFSET($EN$3,0,0,'Données projet'!$E$15+1,1))-AVERAGE(OFFSET($H$3,0,0,'Données projet'!$E$15+1,1))</f>
        <v>363.98308691765931</v>
      </c>
      <c r="EP137" s="59">
        <f t="shared" si="154"/>
        <v>181.47089407988187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7.2230769230769223</v>
      </c>
      <c r="FE137" s="12">
        <f>IF('Données projet'!$A$218&gt;35,FE136+FD137-FM136,IF(A137&lt;'Données projet'!$A$218,$FB$205^A137,IF(A137='Données projet'!$A$218,'Données projet'!$B$218,FE136+FD137-FM136)))</f>
        <v>388.37307692307633</v>
      </c>
      <c r="FF137" s="17">
        <f>FE137*VLOOKUP('Données projet'!$B$16,Paramètres!$A$1:$I$89,3,0)*VLOOKUP('Données projet'!$B$16,Paramètres!$A$1:$I$89,5,0)</f>
        <v>418.04477999999938</v>
      </c>
      <c r="FG137" s="13">
        <f t="shared" si="155"/>
        <v>95.425520012972612</v>
      </c>
      <c r="FH137" s="20">
        <f t="shared" si="130"/>
        <v>894.29410585592598</v>
      </c>
      <c r="FI137" s="59">
        <f t="shared" si="131"/>
        <v>1187.6274391892593</v>
      </c>
      <c r="FJ137" s="59">
        <f ca="1">AVERAGE(OFFSET($FI$3,0,0,'Données projet'!$E$16+1,1))-AVERAGE(OFFSET($H$3,0,0,'Données projet'!$E$16+1,1))</f>
        <v>395.30533160963489</v>
      </c>
      <c r="FK137" s="59">
        <f t="shared" si="156"/>
        <v>196.02102977695085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227.99999999999986</v>
      </c>
      <c r="GA137" s="17">
        <f>FZ137*VLOOKUP('Données projet'!$B$17,Paramètres!$A$1:$I$89,3,0)*VLOOKUP('Données projet'!$B$17,Paramètres!$A$1:$I$89,5,0)</f>
        <v>238.30559999999986</v>
      </c>
      <c r="GB137" s="13">
        <f t="shared" si="157"/>
        <v>58.074821878967043</v>
      </c>
      <c r="GC137" s="20">
        <f t="shared" si="133"/>
        <v>516.19590143920061</v>
      </c>
      <c r="GD137" s="59">
        <f t="shared" si="134"/>
        <v>809.52923477253398</v>
      </c>
      <c r="GE137" s="59">
        <f ca="1">AVERAGE(OFFSET($GD$3,0,0,'Données projet'!$E$17+1,1))-AVERAGE(OFFSET($H$3,0,0,'Données projet'!$E$17+1,1))</f>
        <v>269.41185214595805</v>
      </c>
      <c r="GF137" s="59">
        <f t="shared" si="158"/>
        <v>299.70148160580993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0.80852111284181305</v>
      </c>
      <c r="GM137" s="21">
        <f>EXP(-LN(2)/25)*GM136+(1-EXP(-LN(2)/25))/(LN(2)/25)*Calculateur!GH137*Calculateur!GJ137*VLOOKUP('Données projet'!$B$17,Paramètres!$A$1:$I$89,3,0)*0.475*44/12</f>
        <v>0.90752521904729189</v>
      </c>
      <c r="GN137" s="21">
        <f>EXP(-LN(2)/2)*GN136+(1-EXP(-LN(2)/2))/(LN(2)/2)*GH137*GK137*VLOOKUP('Données projet'!$B$17,Paramètres!$A$1:$I$89,3,0)*0.475*44/12</f>
        <v>4.2429767617896398E-15</v>
      </c>
      <c r="GO137" s="21">
        <f t="shared" si="135"/>
        <v>1.7160463318891093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5.6843418860808015E-14</v>
      </c>
      <c r="GV137" s="17">
        <f>GU137*VLOOKUP('Données projet'!$B$18,Paramètres!$A$1:$I$89,3,0)*VLOOKUP('Données projet'!$B$18,Paramètres!$A$1:$I$89,5,0)</f>
        <v>4.9658410716801891E-14</v>
      </c>
      <c r="GW137" s="13">
        <f t="shared" si="159"/>
        <v>8.0934058173791862E-13</v>
      </c>
      <c r="GX137" s="20">
        <f t="shared" si="136"/>
        <v>1.4960899118586383E-12</v>
      </c>
      <c r="GY137" s="59">
        <f t="shared" si="137"/>
        <v>293.33333333333479</v>
      </c>
      <c r="GZ137" s="59">
        <f ca="1">AVERAGE(OFFSET($GY$3,0,0,'Données projet'!$E$18+1,1))-AVERAGE(OFFSET($H$3,0,0,'Données projet'!$E$18+1,1))</f>
        <v>226.35975611953359</v>
      </c>
      <c r="HA137" s="59">
        <f t="shared" si="160"/>
        <v>271.65876694892461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0.63161423732550925</v>
      </c>
      <c r="HI137" s="21">
        <f>EXP(-LN(2)/2)*HI136+(1-EXP(-LN(2)/2))/(LN(2)/2)*HC137*HF137*VLOOKUP('Données projet'!$B$18,Paramètres!$A$1:$I$89,3,0)*0.475*44/12</f>
        <v>2.6238151957022197E-15</v>
      </c>
      <c r="HJ137" s="22">
        <f t="shared" si="138"/>
        <v>0.63161423732551192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7.2230769230769223</v>
      </c>
      <c r="N138" s="13">
        <f>IF('Données projet'!$A$36&gt;35,N137+M138-V137,IF(A138&lt;'Données projet'!$A$36,$K$205^A138,IF(A138='Données projet'!$A$36,'Données projet'!$B$36,N137+M138-V137)))</f>
        <v>395.59615384615324</v>
      </c>
      <c r="O138" s="13">
        <f>N138*VLOOKUP('Données projet'!$B$9,Paramètres!$A$1:$I$89,3,0)*VLOOKUP('Données projet'!$B$9,Paramètres!$A$1:$I$89,5,0)</f>
        <v>357.93539999999945</v>
      </c>
      <c r="P138" s="13">
        <f t="shared" si="141"/>
        <v>83.194354378018602</v>
      </c>
      <c r="Q138" s="20">
        <f t="shared" si="108"/>
        <v>768.30098887504801</v>
      </c>
      <c r="R138" s="59">
        <f t="shared" si="109"/>
        <v>1061.6343222083813</v>
      </c>
      <c r="S138" s="59">
        <f ca="1">AVERAGE(OFFSET($R$3,0,0,'Données projet'!$E$9+1,1))-AVERAGE(OFFSET($H$3,0,0,'Données projet'!$E$9+1,1))</f>
        <v>309.07357540707869</v>
      </c>
      <c r="T138" s="59">
        <f t="shared" si="142"/>
        <v>155.9593924683299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227.99999999999986</v>
      </c>
      <c r="AJ138" s="13">
        <f>AI138*VLOOKUP('Données projet'!$B$10,Paramètres!$A$1:$I$89,3,0)*VLOOKUP('Données projet'!$B$10,Paramètres!$A$1:$I$89,5,0)</f>
        <v>199.18079999999992</v>
      </c>
      <c r="AK138" s="13">
        <f t="shared" si="143"/>
        <v>49.564089376413683</v>
      </c>
      <c r="AL138" s="20">
        <f t="shared" si="112"/>
        <v>433.23068233058694</v>
      </c>
      <c r="AM138" s="59">
        <f t="shared" si="113"/>
        <v>726.56401566392026</v>
      </c>
      <c r="AN138" s="59">
        <f ca="1">AVERAGE(OFFSET($AM$3,0,0,'Données projet'!$E$10+1,1))-AVERAGE(OFFSET($H$3,0,0,'Données projet'!$E$10+1,1))</f>
        <v>210.07838338464626</v>
      </c>
      <c r="AO138" s="59">
        <f t="shared" si="144"/>
        <v>241.76003724236273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0.66252722970473887</v>
      </c>
      <c r="AV138" s="21">
        <f>EXP(-LN(2)/25)*AV137+(1-EXP(-LN(2)/25))/(LN(2)/25)*Calculateur!AQ138*Calculateur!AS138*VLOOKUP('Données projet'!$B$10,Paramètres!$A$1:$I$89,3,0)*0.475*44/12</f>
        <v>0.73778653844231235</v>
      </c>
      <c r="AW138" s="21">
        <f>EXP(-LN(2)/2)*AW137+(1-EXP(-LN(2)/2))/(LN(2)/2)*AQ138*AT138*VLOOKUP('Données projet'!$B$10,Paramètres!$A$1:$I$89,3,0)*0.475*44/12</f>
        <v>2.5076613116118096E-15</v>
      </c>
      <c r="AX138" s="21">
        <f t="shared" si="114"/>
        <v>1.4003137681470537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2.2737367544323206E-13</v>
      </c>
      <c r="BE138" s="13">
        <f>BD138*VLOOKUP('Données projet'!$B$11,Paramètres!$A$1:$I$89,3,0)*VLOOKUP('Données projet'!$B$11,Paramètres!$A$1:$I$89,5,0)</f>
        <v>1.2414602679200471E-13</v>
      </c>
      <c r="BF138" s="13">
        <f t="shared" si="145"/>
        <v>1.8186582995804361E-12</v>
      </c>
      <c r="BG138" s="20">
        <f t="shared" si="115"/>
        <v>3.3837175350986671E-12</v>
      </c>
      <c r="BH138" s="59">
        <f t="shared" si="116"/>
        <v>293.33333333333672</v>
      </c>
      <c r="BI138" s="59">
        <f ca="1">AVERAGE(OFFSET($BH$3,0,0,'Données projet'!$E$11+1,1))-AVERAGE(OFFSET($H$3,0,0,'Données projet'!$E$11+1,1))</f>
        <v>168.72306536277267</v>
      </c>
      <c r="BJ138" s="59">
        <f t="shared" si="146"/>
        <v>203.35476578922339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0.38025970115174246</v>
      </c>
      <c r="BQ138" s="21">
        <f>EXP(-LN(2)/25)*BQ137+(1-EXP(-LN(2)/25))/(LN(2)/25)*Calculateur!BL138*Calculateur!BN138*VLOOKUP('Données projet'!$B$11,Paramètres!$A$1:$I$89,3,0)*0.475*44/12</f>
        <v>1.250601465911352</v>
      </c>
      <c r="BR138" s="21">
        <f>EXP(-LN(2)/2)*BR137+(1-EXP(-LN(2)/2))/(LN(2)/2)*BL138*BO138*VLOOKUP('Données projet'!$B$11,Paramètres!$A$1:$I$89,3,0)*0.475*44/12</f>
        <v>3.143929057518294E-15</v>
      </c>
      <c r="BS138" s="22">
        <f t="shared" si="117"/>
        <v>1.6308611670630975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3.4106051316484809E-13</v>
      </c>
      <c r="BZ138" s="13">
        <f>BY138*VLOOKUP('Données projet'!$B$12,Paramètres!$A$1:$I$89,3,0)*VLOOKUP('Données projet'!$B$12,Paramètres!$A$1:$I$89,5,0)</f>
        <v>1.5961632016114892E-13</v>
      </c>
      <c r="CA138" s="13">
        <f t="shared" si="147"/>
        <v>2.2708641912150958E-12</v>
      </c>
      <c r="CB138" s="20">
        <f t="shared" si="118"/>
        <v>4.2330868906469593E-12</v>
      </c>
      <c r="CC138" s="59">
        <f t="shared" si="119"/>
        <v>293.33333333333752</v>
      </c>
      <c r="CD138" s="59">
        <f ca="1">AVERAGE(OFFSET($CC$3,0,0,'Données projet'!$E$12+1,1))-AVERAGE(OFFSET($H$3,0,0,'Données projet'!$E$12+1,1))</f>
        <v>158.58786357608489</v>
      </c>
      <c r="CE138" s="59">
        <f t="shared" si="148"/>
        <v>163.20074068819849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4.1677594708744434E-14</v>
      </c>
      <c r="CV138" s="13">
        <f t="shared" si="149"/>
        <v>6.9326303456159188E-13</v>
      </c>
      <c r="CW138" s="20">
        <f t="shared" si="121"/>
        <v>1.2800215959791691E-12</v>
      </c>
      <c r="CX138" s="59">
        <f t="shared" si="122"/>
        <v>293.33333333333462</v>
      </c>
      <c r="CY138" s="59">
        <f ca="1">AVERAGE(OFFSET($CX$3,0,0,'Données projet'!$E$13+1,1))-AVERAGE(OFFSET($H$3,0,0,'Données projet'!$E$13+1,1))</f>
        <v>178.12968684094687</v>
      </c>
      <c r="CZ138" s="59">
        <f t="shared" si="150"/>
        <v>219.36004077210373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0.41832433374325878</v>
      </c>
      <c r="DH138" s="21">
        <f>EXP(-LN(2)/2)*DH137+(1-EXP(-LN(2)/2))/(LN(2)/2)*DB138*DE138*VLOOKUP('Données projet'!$B$13,Paramètres!$A$1:$I$89,3,0)*0.475*44/12</f>
        <v>1.5571414878693459E-15</v>
      </c>
      <c r="DI138" s="22">
        <f t="shared" si="123"/>
        <v>0.41832433374326033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-8.5265128291212022E-14</v>
      </c>
      <c r="DP138" s="17">
        <f>DO138*VLOOKUP('Données projet'!$B$14,Paramètres!$A$1:$I$89,3,0)*VLOOKUP('Données projet'!$B$14,Paramètres!$A$1:$I$89,5,0)</f>
        <v>-7.7147888077888636E-14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225.28075317732998</v>
      </c>
      <c r="DU138" s="59">
        <f t="shared" si="152"/>
        <v>358.43407531256207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0.28044051064138092</v>
      </c>
      <c r="EB138" s="21">
        <f>EXP(-LN(2)/25)*EB137+(1-EXP(-LN(2)/25))/(LN(2)/25)*Calculateur!DW138*Calculateur!DY138*VLOOKUP('Données projet'!$B$14,Paramètres!$A$1:$I$89,3,0)*0.475*44/12</f>
        <v>0.4500777251527982</v>
      </c>
      <c r="EC138" s="21">
        <f>EXP(-LN(2)/2)*EC137+(1-EXP(-LN(2)/2))/(LN(2)/2)*DW138*DZ138*VLOOKUP('Données projet'!$B$14,Paramètres!$A$1:$I$89,3,0)*0.475*44/12</f>
        <v>6.9304212650845975E-16</v>
      </c>
      <c r="ED138" s="22">
        <f t="shared" si="126"/>
        <v>0.73051823579417974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7.2230769230769223</v>
      </c>
      <c r="EJ138" s="12">
        <f>IF('Données projet'!$A$192&gt;35,EJ137+EI138-ER137,IF(A138&lt;'Données projet'!$A$192,$EG$205^A138,IF(A138='Données projet'!$A$192,'Données projet'!$B$192,EJ137+EI138-ER137)))</f>
        <v>395.59615384615324</v>
      </c>
      <c r="EK138" s="17">
        <f>EJ138*VLOOKUP('Données projet'!$B$15,Paramètres!$A$1:$I$89,3,0)*VLOOKUP('Données projet'!$B$15,Paramètres!$A$1:$I$89,5,0)</f>
        <v>401.13449999999938</v>
      </c>
      <c r="EL138" s="13">
        <f t="shared" si="153"/>
        <v>92.006629759174288</v>
      </c>
      <c r="EM138" s="20">
        <f t="shared" si="127"/>
        <v>858.8874676638942</v>
      </c>
      <c r="EN138" s="59">
        <f t="shared" si="128"/>
        <v>1152.2208009972276</v>
      </c>
      <c r="EO138" s="59">
        <f ca="1">AVERAGE(OFFSET($EN$3,0,0,'Données projet'!$E$15+1,1))-AVERAGE(OFFSET($H$3,0,0,'Données projet'!$E$15+1,1))</f>
        <v>363.98308691765931</v>
      </c>
      <c r="EP138" s="59">
        <f t="shared" si="154"/>
        <v>181.47089407988187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7.2230769230769223</v>
      </c>
      <c r="FE138" s="12">
        <f>IF('Données projet'!$A$218&gt;35,FE137+FD138-FM137,IF(A138&lt;'Données projet'!$A$218,$FB$205^A138,IF(A138='Données projet'!$A$218,'Données projet'!$B$218,FE137+FD138-FM137)))</f>
        <v>395.59615384615324</v>
      </c>
      <c r="FF138" s="17">
        <f>FE138*VLOOKUP('Données projet'!$B$16,Paramètres!$A$1:$I$89,3,0)*VLOOKUP('Données projet'!$B$16,Paramètres!$A$1:$I$89,5,0)</f>
        <v>425.81969999999939</v>
      </c>
      <c r="FG138" s="13">
        <f t="shared" si="155"/>
        <v>96.992005039640148</v>
      </c>
      <c r="FH138" s="20">
        <f t="shared" si="130"/>
        <v>910.56371961070545</v>
      </c>
      <c r="FI138" s="59">
        <f t="shared" si="131"/>
        <v>1203.8970529440387</v>
      </c>
      <c r="FJ138" s="59">
        <f ca="1">AVERAGE(OFFSET($FI$3,0,0,'Données projet'!$E$16+1,1))-AVERAGE(OFFSET($H$3,0,0,'Données projet'!$E$16+1,1))</f>
        <v>395.30533160963489</v>
      </c>
      <c r="FK138" s="59">
        <f t="shared" si="156"/>
        <v>196.02102977695085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227.99999999999986</v>
      </c>
      <c r="GA138" s="17">
        <f>FZ138*VLOOKUP('Données projet'!$B$17,Paramètres!$A$1:$I$89,3,0)*VLOOKUP('Données projet'!$B$17,Paramètres!$A$1:$I$89,5,0)</f>
        <v>238.30559999999986</v>
      </c>
      <c r="GB138" s="13">
        <f t="shared" si="157"/>
        <v>58.074821878967043</v>
      </c>
      <c r="GC138" s="20">
        <f t="shared" si="133"/>
        <v>516.19590143920061</v>
      </c>
      <c r="GD138" s="59">
        <f t="shared" si="134"/>
        <v>809.52923477253398</v>
      </c>
      <c r="GE138" s="59">
        <f ca="1">AVERAGE(OFFSET($GD$3,0,0,'Données projet'!$E$17+1,1))-AVERAGE(OFFSET($H$3,0,0,'Données projet'!$E$17+1,1))</f>
        <v>269.41185214595805</v>
      </c>
      <c r="GF138" s="59">
        <f t="shared" si="158"/>
        <v>299.70148160580993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0.79266650696816954</v>
      </c>
      <c r="GM138" s="21">
        <f>EXP(-LN(2)/25)*GM137+(1-EXP(-LN(2)/25))/(LN(2)/25)*Calculateur!GH138*Calculateur!GJ138*VLOOKUP('Données projet'!$B$17,Paramètres!$A$1:$I$89,3,0)*0.475*44/12</f>
        <v>0.88270889420776655</v>
      </c>
      <c r="GN138" s="21">
        <f>EXP(-LN(2)/2)*GN137+(1-EXP(-LN(2)/2))/(LN(2)/2)*GH138*GK138*VLOOKUP('Données projet'!$B$17,Paramètres!$A$1:$I$89,3,0)*0.475*44/12</f>
        <v>3.0002376406783928E-15</v>
      </c>
      <c r="GO138" s="21">
        <f t="shared" si="135"/>
        <v>1.6753754011759392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5.6843418860808015E-14</v>
      </c>
      <c r="GV138" s="17">
        <f>GU138*VLOOKUP('Données projet'!$B$18,Paramètres!$A$1:$I$89,3,0)*VLOOKUP('Données projet'!$B$18,Paramètres!$A$1:$I$89,5,0)</f>
        <v>4.9658410716801891E-14</v>
      </c>
      <c r="GW138" s="13">
        <f t="shared" si="159"/>
        <v>8.0934058173791862E-13</v>
      </c>
      <c r="GX138" s="20">
        <f t="shared" si="136"/>
        <v>1.4960899118586383E-12</v>
      </c>
      <c r="GY138" s="59">
        <f t="shared" si="137"/>
        <v>293.33333333333479</v>
      </c>
      <c r="GZ138" s="59">
        <f ca="1">AVERAGE(OFFSET($GY$3,0,0,'Données projet'!$E$18+1,1))-AVERAGE(OFFSET($H$3,0,0,'Données projet'!$E$18+1,1))</f>
        <v>226.35975611953359</v>
      </c>
      <c r="HA138" s="59">
        <f t="shared" si="160"/>
        <v>271.65876694892461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0.61434271279069408</v>
      </c>
      <c r="HI138" s="21">
        <f>EXP(-LN(2)/2)*HI137+(1-EXP(-LN(2)/2))/(LN(2)/2)*HC138*HF138*VLOOKUP('Données projet'!$B$18,Paramètres!$A$1:$I$89,3,0)*0.475*44/12</f>
        <v>1.8553175174613478E-15</v>
      </c>
      <c r="HJ138" s="22">
        <f t="shared" si="138"/>
        <v>0.61434271279069597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7.2230769230769223</v>
      </c>
      <c r="N139" s="13">
        <f>IF('Données projet'!$A$36&gt;35,N138+M139-V138,IF(A139&lt;'Données projet'!$A$36,$K$205^A139,IF(A139='Données projet'!$A$36,'Données projet'!$B$36,N138+M139-V138)))</f>
        <v>402.81923076923016</v>
      </c>
      <c r="O139" s="13">
        <f>N139*VLOOKUP('Données projet'!$B$9,Paramètres!$A$1:$I$89,3,0)*VLOOKUP('Données projet'!$B$9,Paramètres!$A$1:$I$89,5,0)</f>
        <v>364.47083999999944</v>
      </c>
      <c r="P139" s="13">
        <f t="shared" si="141"/>
        <v>84.535145420907739</v>
      </c>
      <c r="Q139" s="20">
        <f t="shared" si="108"/>
        <v>782.01875794141324</v>
      </c>
      <c r="R139" s="59">
        <f t="shared" si="109"/>
        <v>1075.3520912747465</v>
      </c>
      <c r="S139" s="59">
        <f ca="1">AVERAGE(OFFSET($R$3,0,0,'Données projet'!$E$9+1,1))-AVERAGE(OFFSET($H$3,0,0,'Données projet'!$E$9+1,1))</f>
        <v>309.07357540707869</v>
      </c>
      <c r="T139" s="59">
        <f t="shared" si="142"/>
        <v>155.9593924683299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227.99999999999986</v>
      </c>
      <c r="AJ139" s="13">
        <f>AI139*VLOOKUP('Données projet'!$B$10,Paramètres!$A$1:$I$89,3,0)*VLOOKUP('Données projet'!$B$10,Paramètres!$A$1:$I$89,5,0)</f>
        <v>199.18079999999992</v>
      </c>
      <c r="AK139" s="13">
        <f t="shared" si="143"/>
        <v>49.564089376413683</v>
      </c>
      <c r="AL139" s="20">
        <f t="shared" si="112"/>
        <v>433.23068233058694</v>
      </c>
      <c r="AM139" s="59">
        <f t="shared" si="113"/>
        <v>726.56401566392026</v>
      </c>
      <c r="AN139" s="59">
        <f ca="1">AVERAGE(OFFSET($AM$3,0,0,'Données projet'!$E$10+1,1))-AVERAGE(OFFSET($H$3,0,0,'Données projet'!$E$10+1,1))</f>
        <v>210.07838338464626</v>
      </c>
      <c r="AO139" s="59">
        <f t="shared" si="144"/>
        <v>241.76003724236273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0.6495354748319373</v>
      </c>
      <c r="AV139" s="21">
        <f>EXP(-LN(2)/25)*AV138+(1-EXP(-LN(2)/25))/(LN(2)/25)*Calculateur!AQ139*Calculateur!AS139*VLOOKUP('Données projet'!$B$10,Paramètres!$A$1:$I$89,3,0)*0.475*44/12</f>
        <v>0.71761172675009954</v>
      </c>
      <c r="AW139" s="21">
        <f>EXP(-LN(2)/2)*AW138+(1-EXP(-LN(2)/2))/(LN(2)/2)*AQ139*AT139*VLOOKUP('Données projet'!$B$10,Paramètres!$A$1:$I$89,3,0)*0.475*44/12</f>
        <v>1.7731843183598627E-15</v>
      </c>
      <c r="AX139" s="21">
        <f t="shared" si="114"/>
        <v>1.3671472015820387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2.2737367544323206E-13</v>
      </c>
      <c r="BE139" s="13">
        <f>BD139*VLOOKUP('Données projet'!$B$11,Paramètres!$A$1:$I$89,3,0)*VLOOKUP('Données projet'!$B$11,Paramètres!$A$1:$I$89,5,0)</f>
        <v>1.2414602679200471E-13</v>
      </c>
      <c r="BF139" s="13">
        <f t="shared" si="145"/>
        <v>1.8186582995804361E-12</v>
      </c>
      <c r="BG139" s="20">
        <f t="shared" si="115"/>
        <v>3.3837175350986671E-12</v>
      </c>
      <c r="BH139" s="59">
        <f t="shared" si="116"/>
        <v>293.33333333333672</v>
      </c>
      <c r="BI139" s="59">
        <f ca="1">AVERAGE(OFFSET($BH$3,0,0,'Données projet'!$E$11+1,1))-AVERAGE(OFFSET($H$3,0,0,'Données projet'!$E$11+1,1))</f>
        <v>168.72306536277267</v>
      </c>
      <c r="BJ139" s="59">
        <f t="shared" si="146"/>
        <v>203.35476578922339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0.37280304034767275</v>
      </c>
      <c r="BQ139" s="21">
        <f>EXP(-LN(2)/25)*BQ138+(1-EXP(-LN(2)/25))/(LN(2)/25)*Calculateur!BL139*Calculateur!BN139*VLOOKUP('Données projet'!$B$11,Paramètres!$A$1:$I$89,3,0)*0.475*44/12</f>
        <v>1.2164037030597332</v>
      </c>
      <c r="BR139" s="21">
        <f>EXP(-LN(2)/2)*BR138+(1-EXP(-LN(2)/2))/(LN(2)/2)*BL139*BO139*VLOOKUP('Données projet'!$B$11,Paramètres!$A$1:$I$89,3,0)*0.475*44/12</f>
        <v>2.2230935561406169E-15</v>
      </c>
      <c r="BS139" s="22">
        <f t="shared" si="117"/>
        <v>1.5892067434074082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3.4106051316484809E-13</v>
      </c>
      <c r="BZ139" s="13">
        <f>BY139*VLOOKUP('Données projet'!$B$12,Paramètres!$A$1:$I$89,3,0)*VLOOKUP('Données projet'!$B$12,Paramètres!$A$1:$I$89,5,0)</f>
        <v>1.5961632016114892E-13</v>
      </c>
      <c r="CA139" s="13">
        <f t="shared" si="147"/>
        <v>2.2708641912150958E-12</v>
      </c>
      <c r="CB139" s="20">
        <f t="shared" si="118"/>
        <v>4.2330868906469593E-12</v>
      </c>
      <c r="CC139" s="59">
        <f t="shared" si="119"/>
        <v>293.33333333333752</v>
      </c>
      <c r="CD139" s="59">
        <f ca="1">AVERAGE(OFFSET($CC$3,0,0,'Données projet'!$E$12+1,1))-AVERAGE(OFFSET($H$3,0,0,'Données projet'!$E$12+1,1))</f>
        <v>158.58786357608489</v>
      </c>
      <c r="CE139" s="59">
        <f t="shared" si="148"/>
        <v>163.20074068819849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4.1677594708744434E-14</v>
      </c>
      <c r="CV139" s="13">
        <f t="shared" si="149"/>
        <v>6.9326303456159188E-13</v>
      </c>
      <c r="CW139" s="20">
        <f t="shared" si="121"/>
        <v>1.2800215959791691E-12</v>
      </c>
      <c r="CX139" s="59">
        <f t="shared" si="122"/>
        <v>293.33333333333462</v>
      </c>
      <c r="CY139" s="59">
        <f ca="1">AVERAGE(OFFSET($CX$3,0,0,'Données projet'!$E$13+1,1))-AVERAGE(OFFSET($H$3,0,0,'Données projet'!$E$13+1,1))</f>
        <v>178.12968684094687</v>
      </c>
      <c r="CZ139" s="59">
        <f t="shared" si="150"/>
        <v>219.36004077210373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0.40688523283832873</v>
      </c>
      <c r="DH139" s="21">
        <f>EXP(-LN(2)/2)*DH138+(1-EXP(-LN(2)/2))/(LN(2)/2)*DB139*DE139*VLOOKUP('Données projet'!$B$13,Paramètres!$A$1:$I$89,3,0)*0.475*44/12</f>
        <v>1.1010653053393246E-15</v>
      </c>
      <c r="DI139" s="22">
        <f t="shared" si="123"/>
        <v>0.40688523283832984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-8.5265128291212022E-14</v>
      </c>
      <c r="DP139" s="17">
        <f>DO139*VLOOKUP('Données projet'!$B$14,Paramètres!$A$1:$I$89,3,0)*VLOOKUP('Données projet'!$B$14,Paramètres!$A$1:$I$89,5,0)</f>
        <v>-7.7147888077888636E-14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225.28075317732998</v>
      </c>
      <c r="DU139" s="59">
        <f t="shared" si="152"/>
        <v>358.43407531256207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0.27494124327952496</v>
      </c>
      <c r="EB139" s="21">
        <f>EXP(-LN(2)/25)*EB138+(1-EXP(-LN(2)/25))/(LN(2)/25)*Calculateur!DW139*Calculateur!DY139*VLOOKUP('Données projet'!$B$14,Paramètres!$A$1:$I$89,3,0)*0.475*44/12</f>
        <v>0.43777032608993605</v>
      </c>
      <c r="EC139" s="21">
        <f>EXP(-LN(2)/2)*EC138+(1-EXP(-LN(2)/2))/(LN(2)/2)*DW139*DZ139*VLOOKUP('Données projet'!$B$14,Paramètres!$A$1:$I$89,3,0)*0.475*44/12</f>
        <v>4.9005478730207704E-16</v>
      </c>
      <c r="ED139" s="22">
        <f t="shared" si="126"/>
        <v>0.71271156936946145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7.2230769230769223</v>
      </c>
      <c r="EJ139" s="12">
        <f>IF('Données projet'!$A$192&gt;35,EJ138+EI139-ER138,IF(A139&lt;'Données projet'!$A$192,$EG$205^A139,IF(A139='Données projet'!$A$192,'Données projet'!$B$192,EJ138+EI139-ER138)))</f>
        <v>402.81923076923016</v>
      </c>
      <c r="EK139" s="17">
        <f>EJ139*VLOOKUP('Données projet'!$B$15,Paramètres!$A$1:$I$89,3,0)*VLOOKUP('Données projet'!$B$15,Paramètres!$A$1:$I$89,5,0)</f>
        <v>408.45869999999945</v>
      </c>
      <c r="EL139" s="13">
        <f t="shared" si="153"/>
        <v>93.489442697501644</v>
      </c>
      <c r="EM139" s="20">
        <f t="shared" si="127"/>
        <v>874.22634853148111</v>
      </c>
      <c r="EN139" s="59">
        <f t="shared" si="128"/>
        <v>1167.5596818648144</v>
      </c>
      <c r="EO139" s="59">
        <f ca="1">AVERAGE(OFFSET($EN$3,0,0,'Données projet'!$E$15+1,1))-AVERAGE(OFFSET($H$3,0,0,'Données projet'!$E$15+1,1))</f>
        <v>363.98308691765931</v>
      </c>
      <c r="EP139" s="59">
        <f t="shared" si="154"/>
        <v>181.47089407988187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7.2230769230769223</v>
      </c>
      <c r="FE139" s="12">
        <f>IF('Données projet'!$A$218&gt;35,FE138+FD139-FM138,IF(A139&lt;'Données projet'!$A$218,$FB$205^A139,IF(A139='Données projet'!$A$218,'Données projet'!$B$218,FE138+FD139-FM138)))</f>
        <v>402.81923076923016</v>
      </c>
      <c r="FF139" s="17">
        <f>FE139*VLOOKUP('Données projet'!$B$16,Paramètres!$A$1:$I$89,3,0)*VLOOKUP('Données projet'!$B$16,Paramètres!$A$1:$I$89,5,0)</f>
        <v>433.5946199999994</v>
      </c>
      <c r="FG139" s="13">
        <f t="shared" si="155"/>
        <v>98.555164133322293</v>
      </c>
      <c r="FH139" s="20">
        <f t="shared" si="130"/>
        <v>926.82754069886857</v>
      </c>
      <c r="FI139" s="59">
        <f t="shared" si="131"/>
        <v>1220.1608740322019</v>
      </c>
      <c r="FJ139" s="59">
        <f ca="1">AVERAGE(OFFSET($FI$3,0,0,'Données projet'!$E$16+1,1))-AVERAGE(OFFSET($H$3,0,0,'Données projet'!$E$16+1,1))</f>
        <v>395.30533160963489</v>
      </c>
      <c r="FK139" s="59">
        <f t="shared" si="156"/>
        <v>196.02102977695085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227.99999999999986</v>
      </c>
      <c r="GA139" s="17">
        <f>FZ139*VLOOKUP('Données projet'!$B$17,Paramètres!$A$1:$I$89,3,0)*VLOOKUP('Données projet'!$B$17,Paramètres!$A$1:$I$89,5,0)</f>
        <v>238.30559999999986</v>
      </c>
      <c r="GB139" s="13">
        <f t="shared" si="157"/>
        <v>58.074821878967043</v>
      </c>
      <c r="GC139" s="20">
        <f t="shared" si="133"/>
        <v>516.19590143920061</v>
      </c>
      <c r="GD139" s="59">
        <f t="shared" si="134"/>
        <v>809.52923477253398</v>
      </c>
      <c r="GE139" s="59">
        <f ca="1">AVERAGE(OFFSET($GD$3,0,0,'Données projet'!$E$17+1,1))-AVERAGE(OFFSET($H$3,0,0,'Données projet'!$E$17+1,1))</f>
        <v>269.41185214595805</v>
      </c>
      <c r="GF139" s="59">
        <f t="shared" si="158"/>
        <v>299.70148160580993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0.77712280024535341</v>
      </c>
      <c r="GM139" s="21">
        <f>EXP(-LN(2)/25)*GM138+(1-EXP(-LN(2)/25))/(LN(2)/25)*Calculateur!GH139*Calculateur!GJ139*VLOOKUP('Données projet'!$B$17,Paramètres!$A$1:$I$89,3,0)*0.475*44/12</f>
        <v>0.85857117307601183</v>
      </c>
      <c r="GN139" s="21">
        <f>EXP(-LN(2)/2)*GN138+(1-EXP(-LN(2)/2))/(LN(2)/2)*GH139*GK139*VLOOKUP('Données projet'!$B$17,Paramètres!$A$1:$I$89,3,0)*0.475*44/12</f>
        <v>2.1214883808948199E-15</v>
      </c>
      <c r="GO139" s="21">
        <f t="shared" si="135"/>
        <v>1.6356939733213673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5.6843418860808015E-14</v>
      </c>
      <c r="GV139" s="17">
        <f>GU139*VLOOKUP('Données projet'!$B$18,Paramètres!$A$1:$I$89,3,0)*VLOOKUP('Données projet'!$B$18,Paramètres!$A$1:$I$89,5,0)</f>
        <v>4.9658410716801891E-14</v>
      </c>
      <c r="GW139" s="13">
        <f t="shared" si="159"/>
        <v>8.0934058173791862E-13</v>
      </c>
      <c r="GX139" s="20">
        <f t="shared" si="136"/>
        <v>1.4960899118586383E-12</v>
      </c>
      <c r="GY139" s="59">
        <f t="shared" si="137"/>
        <v>293.33333333333479</v>
      </c>
      <c r="GZ139" s="59">
        <f ca="1">AVERAGE(OFFSET($GY$3,0,0,'Données projet'!$E$18+1,1))-AVERAGE(OFFSET($H$3,0,0,'Données projet'!$E$18+1,1))</f>
        <v>226.35975611953359</v>
      </c>
      <c r="HA139" s="59">
        <f t="shared" si="160"/>
        <v>271.65876694892461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0.59754347900255333</v>
      </c>
      <c r="HI139" s="21">
        <f>EXP(-LN(2)/2)*HI138+(1-EXP(-LN(2)/2))/(LN(2)/2)*HC139*HF139*VLOOKUP('Données projet'!$B$18,Paramètres!$A$1:$I$89,3,0)*0.475*44/12</f>
        <v>1.3119075978511099E-15</v>
      </c>
      <c r="HJ139" s="22">
        <f t="shared" si="138"/>
        <v>0.59754347900255467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7.2230769230769223</v>
      </c>
      <c r="N140" s="13">
        <f>IF('Données projet'!$A$36&gt;35,N139+M140-V139,IF(A140&lt;'Données projet'!$A$36,$K$205^A140,IF(A140='Données projet'!$A$36,'Données projet'!$B$36,N139+M140-V139)))</f>
        <v>410.04230769230708</v>
      </c>
      <c r="O140" s="13">
        <f>N140*VLOOKUP('Données projet'!$B$9,Paramètres!$A$1:$I$89,3,0)*VLOOKUP('Données projet'!$B$9,Paramètres!$A$1:$I$89,5,0)</f>
        <v>371.00627999999944</v>
      </c>
      <c r="P140" s="13">
        <f t="shared" si="141"/>
        <v>85.873140718665468</v>
      </c>
      <c r="Q140" s="20">
        <f t="shared" si="108"/>
        <v>795.73165775167456</v>
      </c>
      <c r="R140" s="59">
        <f t="shared" si="109"/>
        <v>1089.0649910850079</v>
      </c>
      <c r="S140" s="59">
        <f ca="1">AVERAGE(OFFSET($R$3,0,0,'Données projet'!$E$9+1,1))-AVERAGE(OFFSET($H$3,0,0,'Données projet'!$E$9+1,1))</f>
        <v>309.07357540707869</v>
      </c>
      <c r="T140" s="59">
        <f t="shared" si="142"/>
        <v>155.9593924683299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227.99999999999986</v>
      </c>
      <c r="AJ140" s="13">
        <f>AI140*VLOOKUP('Données projet'!$B$10,Paramètres!$A$1:$I$89,3,0)*VLOOKUP('Données projet'!$B$10,Paramètres!$A$1:$I$89,5,0)</f>
        <v>199.18079999999992</v>
      </c>
      <c r="AK140" s="13">
        <f t="shared" si="143"/>
        <v>49.564089376413683</v>
      </c>
      <c r="AL140" s="20">
        <f t="shared" si="112"/>
        <v>433.23068233058694</v>
      </c>
      <c r="AM140" s="59">
        <f t="shared" si="113"/>
        <v>726.56401566392026</v>
      </c>
      <c r="AN140" s="59">
        <f ca="1">AVERAGE(OFFSET($AM$3,0,0,'Données projet'!$E$10+1,1))-AVERAGE(OFFSET($H$3,0,0,'Données projet'!$E$10+1,1))</f>
        <v>210.07838338464626</v>
      </c>
      <c r="AO140" s="59">
        <f t="shared" si="144"/>
        <v>241.76003724236273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0.63679848034800335</v>
      </c>
      <c r="AV140" s="21">
        <f>EXP(-LN(2)/25)*AV139+(1-EXP(-LN(2)/25))/(LN(2)/25)*Calculateur!AQ140*Calculateur!AS140*VLOOKUP('Données projet'!$B$10,Paramètres!$A$1:$I$89,3,0)*0.475*44/12</f>
        <v>0.69798859634455745</v>
      </c>
      <c r="AW140" s="21">
        <f>EXP(-LN(2)/2)*AW139+(1-EXP(-LN(2)/2))/(LN(2)/2)*AQ140*AT140*VLOOKUP('Données projet'!$B$10,Paramètres!$A$1:$I$89,3,0)*0.475*44/12</f>
        <v>1.253830655805905E-15</v>
      </c>
      <c r="AX140" s="21">
        <f t="shared" si="114"/>
        <v>1.334787076692562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2.2737367544323206E-13</v>
      </c>
      <c r="BE140" s="13">
        <f>BD140*VLOOKUP('Données projet'!$B$11,Paramètres!$A$1:$I$89,3,0)*VLOOKUP('Données projet'!$B$11,Paramètres!$A$1:$I$89,5,0)</f>
        <v>1.2414602679200471E-13</v>
      </c>
      <c r="BF140" s="13">
        <f t="shared" si="145"/>
        <v>1.8186582995804361E-12</v>
      </c>
      <c r="BG140" s="20">
        <f t="shared" si="115"/>
        <v>3.3837175350986671E-12</v>
      </c>
      <c r="BH140" s="59">
        <f t="shared" si="116"/>
        <v>293.33333333333672</v>
      </c>
      <c r="BI140" s="59">
        <f ca="1">AVERAGE(OFFSET($BH$3,0,0,'Données projet'!$E$11+1,1))-AVERAGE(OFFSET($H$3,0,0,'Données projet'!$E$11+1,1))</f>
        <v>168.72306536277267</v>
      </c>
      <c r="BJ140" s="59">
        <f t="shared" si="146"/>
        <v>203.35476578922339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0.36549260011385687</v>
      </c>
      <c r="BQ140" s="21">
        <f>EXP(-LN(2)/25)*BQ139+(1-EXP(-LN(2)/25))/(LN(2)/25)*Calculateur!BL140*Calculateur!BN140*VLOOKUP('Données projet'!$B$11,Paramètres!$A$1:$I$89,3,0)*0.475*44/12</f>
        <v>1.1831410798316742</v>
      </c>
      <c r="BR140" s="21">
        <f>EXP(-LN(2)/2)*BR139+(1-EXP(-LN(2)/2))/(LN(2)/2)*BL140*BO140*VLOOKUP('Données projet'!$B$11,Paramètres!$A$1:$I$89,3,0)*0.475*44/12</f>
        <v>1.571964528759147E-15</v>
      </c>
      <c r="BS140" s="22">
        <f t="shared" si="117"/>
        <v>1.5486336799455327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3.4106051316484809E-13</v>
      </c>
      <c r="BZ140" s="13">
        <f>BY140*VLOOKUP('Données projet'!$B$12,Paramètres!$A$1:$I$89,3,0)*VLOOKUP('Données projet'!$B$12,Paramètres!$A$1:$I$89,5,0)</f>
        <v>1.5961632016114892E-13</v>
      </c>
      <c r="CA140" s="13">
        <f t="shared" si="147"/>
        <v>2.2708641912150958E-12</v>
      </c>
      <c r="CB140" s="20">
        <f t="shared" si="118"/>
        <v>4.2330868906469593E-12</v>
      </c>
      <c r="CC140" s="59">
        <f t="shared" si="119"/>
        <v>293.33333333333752</v>
      </c>
      <c r="CD140" s="59">
        <f ca="1">AVERAGE(OFFSET($CC$3,0,0,'Données projet'!$E$12+1,1))-AVERAGE(OFFSET($H$3,0,0,'Données projet'!$E$12+1,1))</f>
        <v>158.58786357608489</v>
      </c>
      <c r="CE140" s="59">
        <f t="shared" si="148"/>
        <v>163.20074068819849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4.1677594708744434E-14</v>
      </c>
      <c r="CV140" s="13">
        <f t="shared" si="149"/>
        <v>6.9326303456159188E-13</v>
      </c>
      <c r="CW140" s="20">
        <f t="shared" si="121"/>
        <v>1.2800215959791691E-12</v>
      </c>
      <c r="CX140" s="59">
        <f t="shared" si="122"/>
        <v>293.33333333333462</v>
      </c>
      <c r="CY140" s="59">
        <f ca="1">AVERAGE(OFFSET($CX$3,0,0,'Données projet'!$E$13+1,1))-AVERAGE(OFFSET($H$3,0,0,'Données projet'!$E$13+1,1))</f>
        <v>178.12968684094687</v>
      </c>
      <c r="CZ140" s="59">
        <f t="shared" si="150"/>
        <v>219.36004077210373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0.39575893474920015</v>
      </c>
      <c r="DH140" s="21">
        <f>EXP(-LN(2)/2)*DH139+(1-EXP(-LN(2)/2))/(LN(2)/2)*DB140*DE140*VLOOKUP('Données projet'!$B$13,Paramètres!$A$1:$I$89,3,0)*0.475*44/12</f>
        <v>7.7857074393467294E-16</v>
      </c>
      <c r="DI140" s="22">
        <f t="shared" si="123"/>
        <v>0.39575893474920093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-8.5265128291212022E-14</v>
      </c>
      <c r="DP140" s="17">
        <f>DO140*VLOOKUP('Données projet'!$B$14,Paramètres!$A$1:$I$89,3,0)*VLOOKUP('Données projet'!$B$14,Paramètres!$A$1:$I$89,5,0)</f>
        <v>-7.7147888077888636E-14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225.28075317732998</v>
      </c>
      <c r="DU140" s="59">
        <f t="shared" si="152"/>
        <v>358.43407531256207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0.26954981319641313</v>
      </c>
      <c r="EB140" s="21">
        <f>EXP(-LN(2)/25)*EB139+(1-EXP(-LN(2)/25))/(LN(2)/25)*Calculateur!DW140*Calculateur!DY140*VLOOKUP('Données projet'!$B$14,Paramètres!$A$1:$I$89,3,0)*0.475*44/12</f>
        <v>0.42579947350166586</v>
      </c>
      <c r="EC140" s="21">
        <f>EXP(-LN(2)/2)*EC139+(1-EXP(-LN(2)/2))/(LN(2)/2)*DW140*DZ140*VLOOKUP('Données projet'!$B$14,Paramètres!$A$1:$I$89,3,0)*0.475*44/12</f>
        <v>3.4652106325422988E-16</v>
      </c>
      <c r="ED140" s="22">
        <f t="shared" si="126"/>
        <v>0.69534928669807938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7.2230769230769223</v>
      </c>
      <c r="EJ140" s="12">
        <f>IF('Données projet'!$A$192&gt;35,EJ139+EI140-ER139,IF(A140&lt;'Données projet'!$A$192,$EG$205^A140,IF(A140='Données projet'!$A$192,'Données projet'!$B$192,EJ139+EI140-ER139)))</f>
        <v>410.04230769230708</v>
      </c>
      <c r="EK140" s="17">
        <f>EJ140*VLOOKUP('Données projet'!$B$15,Paramètres!$A$1:$I$89,3,0)*VLOOKUP('Données projet'!$B$15,Paramètres!$A$1:$I$89,5,0)</f>
        <v>415.78289999999942</v>
      </c>
      <c r="EL140" s="13">
        <f t="shared" si="153"/>
        <v>94.969163754304972</v>
      </c>
      <c r="EM140" s="20">
        <f t="shared" si="127"/>
        <v>889.55984437208008</v>
      </c>
      <c r="EN140" s="59">
        <f t="shared" si="128"/>
        <v>1182.8931777054133</v>
      </c>
      <c r="EO140" s="59">
        <f ca="1">AVERAGE(OFFSET($EN$3,0,0,'Données projet'!$E$15+1,1))-AVERAGE(OFFSET($H$3,0,0,'Données projet'!$E$15+1,1))</f>
        <v>363.98308691765931</v>
      </c>
      <c r="EP140" s="59">
        <f t="shared" si="154"/>
        <v>181.47089407988187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7.2230769230769223</v>
      </c>
      <c r="FE140" s="12">
        <f>IF('Données projet'!$A$218&gt;35,FE139+FD140-FM139,IF(A140&lt;'Données projet'!$A$218,$FB$205^A140,IF(A140='Données projet'!$A$218,'Données projet'!$B$218,FE139+FD140-FM139)))</f>
        <v>410.04230769230708</v>
      </c>
      <c r="FF140" s="17">
        <f>FE140*VLOOKUP('Données projet'!$B$16,Paramètres!$A$1:$I$89,3,0)*VLOOKUP('Données projet'!$B$16,Paramètres!$A$1:$I$89,5,0)</f>
        <v>441.36953999999929</v>
      </c>
      <c r="FG140" s="13">
        <f t="shared" si="155"/>
        <v>100.11506381201268</v>
      </c>
      <c r="FH140" s="20">
        <f t="shared" si="130"/>
        <v>943.0856849725875</v>
      </c>
      <c r="FI140" s="59">
        <f t="shared" si="131"/>
        <v>1236.4190183059209</v>
      </c>
      <c r="FJ140" s="59">
        <f ca="1">AVERAGE(OFFSET($FI$3,0,0,'Données projet'!$E$16+1,1))-AVERAGE(OFFSET($H$3,0,0,'Données projet'!$E$16+1,1))</f>
        <v>395.30533160963489</v>
      </c>
      <c r="FK140" s="59">
        <f t="shared" si="156"/>
        <v>196.02102977695085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227.99999999999986</v>
      </c>
      <c r="GA140" s="17">
        <f>FZ140*VLOOKUP('Données projet'!$B$17,Paramètres!$A$1:$I$89,3,0)*VLOOKUP('Données projet'!$B$17,Paramètres!$A$1:$I$89,5,0)</f>
        <v>238.30559999999986</v>
      </c>
      <c r="GB140" s="13">
        <f t="shared" si="157"/>
        <v>58.074821878967043</v>
      </c>
      <c r="GC140" s="20">
        <f t="shared" si="133"/>
        <v>516.19590143920061</v>
      </c>
      <c r="GD140" s="59">
        <f t="shared" si="134"/>
        <v>809.52923477253398</v>
      </c>
      <c r="GE140" s="59">
        <f ca="1">AVERAGE(OFFSET($GD$3,0,0,'Données projet'!$E$17+1,1))-AVERAGE(OFFSET($H$3,0,0,'Données projet'!$E$17+1,1))</f>
        <v>269.41185214595805</v>
      </c>
      <c r="GF140" s="59">
        <f t="shared" si="158"/>
        <v>299.70148160580993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0.76188389613064678</v>
      </c>
      <c r="GM140" s="21">
        <f>EXP(-LN(2)/25)*GM139+(1-EXP(-LN(2)/25))/(LN(2)/25)*Calculateur!GH140*Calculateur!GJ140*VLOOKUP('Données projet'!$B$17,Paramètres!$A$1:$I$89,3,0)*0.475*44/12</f>
        <v>0.83509349919795262</v>
      </c>
      <c r="GN140" s="21">
        <f>EXP(-LN(2)/2)*GN139+(1-EXP(-LN(2)/2))/(LN(2)/2)*GH140*GK140*VLOOKUP('Données projet'!$B$17,Paramètres!$A$1:$I$89,3,0)*0.475*44/12</f>
        <v>1.5001188203391964E-15</v>
      </c>
      <c r="GO140" s="21">
        <f t="shared" si="135"/>
        <v>1.5969773953286011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5.6843418860808015E-14</v>
      </c>
      <c r="GV140" s="17">
        <f>GU140*VLOOKUP('Données projet'!$B$18,Paramètres!$A$1:$I$89,3,0)*VLOOKUP('Données projet'!$B$18,Paramètres!$A$1:$I$89,5,0)</f>
        <v>4.9658410716801891E-14</v>
      </c>
      <c r="GW140" s="13">
        <f t="shared" si="159"/>
        <v>8.0934058173791862E-13</v>
      </c>
      <c r="GX140" s="20">
        <f t="shared" si="136"/>
        <v>1.4960899118586383E-12</v>
      </c>
      <c r="GY140" s="59">
        <f t="shared" si="137"/>
        <v>293.33333333333479</v>
      </c>
      <c r="GZ140" s="59">
        <f ca="1">AVERAGE(OFFSET($GY$3,0,0,'Données projet'!$E$18+1,1))-AVERAGE(OFFSET($H$3,0,0,'Données projet'!$E$18+1,1))</f>
        <v>226.35975611953359</v>
      </c>
      <c r="HA140" s="59">
        <f t="shared" si="160"/>
        <v>271.65876694892461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0.58120362114578261</v>
      </c>
      <c r="HI140" s="21">
        <f>EXP(-LN(2)/2)*HI139+(1-EXP(-LN(2)/2))/(LN(2)/2)*HC140*HF140*VLOOKUP('Données projet'!$B$18,Paramètres!$A$1:$I$89,3,0)*0.475*44/12</f>
        <v>9.2765875873067389E-16</v>
      </c>
      <c r="HJ140" s="22">
        <f t="shared" si="138"/>
        <v>0.5812036211457835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7.2230769230769223</v>
      </c>
      <c r="N141" s="13">
        <f>IF('Données projet'!$A$36&gt;35,N140+M141-V140,IF(A141&lt;'Données projet'!$A$36,$K$205^A141,IF(A141='Données projet'!$A$36,'Données projet'!$B$36,N140+M141-V140)))</f>
        <v>417.26538461538399</v>
      </c>
      <c r="O141" s="13">
        <f>N141*VLOOKUP('Données projet'!$B$9,Paramètres!$A$1:$I$89,3,0)*VLOOKUP('Données projet'!$B$9,Paramètres!$A$1:$I$89,5,0)</f>
        <v>377.54171999999943</v>
      </c>
      <c r="P141" s="13">
        <f t="shared" si="141"/>
        <v>87.208395201480016</v>
      </c>
      <c r="Q141" s="20">
        <f t="shared" si="108"/>
        <v>809.43978397591002</v>
      </c>
      <c r="R141" s="59">
        <f t="shared" si="109"/>
        <v>1102.7731173092434</v>
      </c>
      <c r="S141" s="59">
        <f ca="1">AVERAGE(OFFSET($R$3,0,0,'Données projet'!$E$9+1,1))-AVERAGE(OFFSET($H$3,0,0,'Données projet'!$E$9+1,1))</f>
        <v>309.07357540707869</v>
      </c>
      <c r="T141" s="59">
        <f t="shared" si="142"/>
        <v>155.9593924683299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227.99999999999986</v>
      </c>
      <c r="AJ141" s="13">
        <f>AI141*VLOOKUP('Données projet'!$B$10,Paramètres!$A$1:$I$89,3,0)*VLOOKUP('Données projet'!$B$10,Paramètres!$A$1:$I$89,5,0)</f>
        <v>199.18079999999992</v>
      </c>
      <c r="AK141" s="13">
        <f t="shared" si="143"/>
        <v>49.564089376413683</v>
      </c>
      <c r="AL141" s="20">
        <f t="shared" si="112"/>
        <v>433.23068233058694</v>
      </c>
      <c r="AM141" s="59">
        <f t="shared" si="113"/>
        <v>726.56401566392026</v>
      </c>
      <c r="AN141" s="59">
        <f ca="1">AVERAGE(OFFSET($AM$3,0,0,'Données projet'!$E$10+1,1))-AVERAGE(OFFSET($H$3,0,0,'Données projet'!$E$10+1,1))</f>
        <v>210.07838338464626</v>
      </c>
      <c r="AO141" s="59">
        <f t="shared" si="144"/>
        <v>241.76003724236273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0.62431125055709979</v>
      </c>
      <c r="AV141" s="21">
        <f>EXP(-LN(2)/25)*AV140+(1-EXP(-LN(2)/25))/(LN(2)/25)*Calculateur!AQ141*Calculateur!AS141*VLOOKUP('Données projet'!$B$10,Paramètres!$A$1:$I$89,3,0)*0.475*44/12</f>
        <v>0.67890206147189047</v>
      </c>
      <c r="AW141" s="21">
        <f>EXP(-LN(2)/2)*AW140+(1-EXP(-LN(2)/2))/(LN(2)/2)*AQ141*AT141*VLOOKUP('Données projet'!$B$10,Paramètres!$A$1:$I$89,3,0)*0.475*44/12</f>
        <v>8.8659215917993154E-16</v>
      </c>
      <c r="AX141" s="21">
        <f t="shared" si="114"/>
        <v>1.303213312028991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2.2737367544323206E-13</v>
      </c>
      <c r="BE141" s="13">
        <f>BD141*VLOOKUP('Données projet'!$B$11,Paramètres!$A$1:$I$89,3,0)*VLOOKUP('Données projet'!$B$11,Paramètres!$A$1:$I$89,5,0)</f>
        <v>1.2414602679200471E-13</v>
      </c>
      <c r="BF141" s="13">
        <f t="shared" si="145"/>
        <v>1.8186582995804361E-12</v>
      </c>
      <c r="BG141" s="20">
        <f t="shared" si="115"/>
        <v>3.3837175350986671E-12</v>
      </c>
      <c r="BH141" s="59">
        <f t="shared" si="116"/>
        <v>293.33333333333672</v>
      </c>
      <c r="BI141" s="59">
        <f ca="1">AVERAGE(OFFSET($BH$3,0,0,'Données projet'!$E$11+1,1))-AVERAGE(OFFSET($H$3,0,0,'Données projet'!$E$11+1,1))</f>
        <v>168.72306536277267</v>
      </c>
      <c r="BJ141" s="59">
        <f t="shared" si="146"/>
        <v>203.35476578922339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0.35832551315409783</v>
      </c>
      <c r="BQ141" s="21">
        <f>EXP(-LN(2)/25)*BQ140+(1-EXP(-LN(2)/25))/(LN(2)/25)*Calculateur!BL141*Calculateur!BN141*VLOOKUP('Données projet'!$B$11,Paramètres!$A$1:$I$89,3,0)*0.475*44/12</f>
        <v>1.1507880247849918</v>
      </c>
      <c r="BR141" s="21">
        <f>EXP(-LN(2)/2)*BR140+(1-EXP(-LN(2)/2))/(LN(2)/2)*BL141*BO141*VLOOKUP('Données projet'!$B$11,Paramètres!$A$1:$I$89,3,0)*0.475*44/12</f>
        <v>1.1115467780703084E-15</v>
      </c>
      <c r="BS141" s="22">
        <f t="shared" si="117"/>
        <v>1.5091135379390908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3.4106051316484809E-13</v>
      </c>
      <c r="BZ141" s="13">
        <f>BY141*VLOOKUP('Données projet'!$B$12,Paramètres!$A$1:$I$89,3,0)*VLOOKUP('Données projet'!$B$12,Paramètres!$A$1:$I$89,5,0)</f>
        <v>1.5961632016114892E-13</v>
      </c>
      <c r="CA141" s="13">
        <f t="shared" si="147"/>
        <v>2.2708641912150958E-12</v>
      </c>
      <c r="CB141" s="20">
        <f t="shared" si="118"/>
        <v>4.2330868906469593E-12</v>
      </c>
      <c r="CC141" s="59">
        <f t="shared" si="119"/>
        <v>293.33333333333752</v>
      </c>
      <c r="CD141" s="59">
        <f ca="1">AVERAGE(OFFSET($CC$3,0,0,'Données projet'!$E$12+1,1))-AVERAGE(OFFSET($H$3,0,0,'Données projet'!$E$12+1,1))</f>
        <v>158.58786357608489</v>
      </c>
      <c r="CE141" s="59">
        <f t="shared" si="148"/>
        <v>163.20074068819849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4.1677594708744434E-14</v>
      </c>
      <c r="CV141" s="13">
        <f t="shared" si="149"/>
        <v>6.9326303456159188E-13</v>
      </c>
      <c r="CW141" s="20">
        <f t="shared" si="121"/>
        <v>1.2800215959791691E-12</v>
      </c>
      <c r="CX141" s="59">
        <f t="shared" si="122"/>
        <v>293.33333333333462</v>
      </c>
      <c r="CY141" s="59">
        <f ca="1">AVERAGE(OFFSET($CX$3,0,0,'Données projet'!$E$13+1,1))-AVERAGE(OFFSET($H$3,0,0,'Données projet'!$E$13+1,1))</f>
        <v>178.12968684094687</v>
      </c>
      <c r="CZ141" s="59">
        <f t="shared" si="150"/>
        <v>219.36004077210373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0.38493688586642544</v>
      </c>
      <c r="DH141" s="21">
        <f>EXP(-LN(2)/2)*DH140+(1-EXP(-LN(2)/2))/(LN(2)/2)*DB141*DE141*VLOOKUP('Données projet'!$B$13,Paramètres!$A$1:$I$89,3,0)*0.475*44/12</f>
        <v>5.505326526696623E-16</v>
      </c>
      <c r="DI141" s="22">
        <f t="shared" si="123"/>
        <v>0.38493688586642599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-8.5265128291212022E-14</v>
      </c>
      <c r="DP141" s="17">
        <f>DO141*VLOOKUP('Données projet'!$B$14,Paramètres!$A$1:$I$89,3,0)*VLOOKUP('Données projet'!$B$14,Paramètres!$A$1:$I$89,5,0)</f>
        <v>-7.7147888077888636E-14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225.28075317732998</v>
      </c>
      <c r="DU141" s="59">
        <f t="shared" si="152"/>
        <v>358.43407531256207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0.26426410576878345</v>
      </c>
      <c r="EB141" s="21">
        <f>EXP(-LN(2)/25)*EB140+(1-EXP(-LN(2)/25))/(LN(2)/25)*Calculateur!DW141*Calculateur!DY141*VLOOKUP('Données projet'!$B$14,Paramètres!$A$1:$I$89,3,0)*0.475*44/12</f>
        <v>0.4141559645069417</v>
      </c>
      <c r="EC141" s="21">
        <f>EXP(-LN(2)/2)*EC140+(1-EXP(-LN(2)/2))/(LN(2)/2)*DW141*DZ141*VLOOKUP('Données projet'!$B$14,Paramètres!$A$1:$I$89,3,0)*0.475*44/12</f>
        <v>2.4502739365103852E-16</v>
      </c>
      <c r="ED141" s="22">
        <f t="shared" si="126"/>
        <v>0.67842007027572537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7.2230769230769223</v>
      </c>
      <c r="EJ141" s="12">
        <f>IF('Données projet'!$A$192&gt;35,EJ140+EI141-ER140,IF(A141&lt;'Données projet'!$A$192,$EG$205^A141,IF(A141='Données projet'!$A$192,'Données projet'!$B$192,EJ140+EI141-ER140)))</f>
        <v>417.26538461538399</v>
      </c>
      <c r="EK141" s="17">
        <f>EJ141*VLOOKUP('Données projet'!$B$15,Paramètres!$A$1:$I$89,3,0)*VLOOKUP('Données projet'!$B$15,Paramètres!$A$1:$I$89,5,0)</f>
        <v>423.10709999999943</v>
      </c>
      <c r="EL141" s="13">
        <f t="shared" si="153"/>
        <v>96.445853678195647</v>
      </c>
      <c r="EM141" s="20">
        <f t="shared" si="127"/>
        <v>904.88806098952307</v>
      </c>
      <c r="EN141" s="59">
        <f t="shared" si="128"/>
        <v>1198.2213943228564</v>
      </c>
      <c r="EO141" s="59">
        <f ca="1">AVERAGE(OFFSET($EN$3,0,0,'Données projet'!$E$15+1,1))-AVERAGE(OFFSET($H$3,0,0,'Données projet'!$E$15+1,1))</f>
        <v>363.98308691765931</v>
      </c>
      <c r="EP141" s="59">
        <f t="shared" si="154"/>
        <v>181.47089407988187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7.2230769230769223</v>
      </c>
      <c r="FE141" s="12">
        <f>IF('Données projet'!$A$218&gt;35,FE140+FD141-FM140,IF(A141&lt;'Données projet'!$A$218,$FB$205^A141,IF(A141='Données projet'!$A$218,'Données projet'!$B$218,FE140+FD141-FM140)))</f>
        <v>417.26538461538399</v>
      </c>
      <c r="FF141" s="17">
        <f>FE141*VLOOKUP('Données projet'!$B$16,Paramètres!$A$1:$I$89,3,0)*VLOOKUP('Données projet'!$B$16,Paramètres!$A$1:$I$89,5,0)</f>
        <v>449.1444599999993</v>
      </c>
      <c r="FG141" s="13">
        <f t="shared" si="155"/>
        <v>101.67176811598378</v>
      </c>
      <c r="FH141" s="20">
        <f t="shared" si="130"/>
        <v>959.3382639686705</v>
      </c>
      <c r="FI141" s="59">
        <f t="shared" si="131"/>
        <v>1252.6715973020039</v>
      </c>
      <c r="FJ141" s="59">
        <f ca="1">AVERAGE(OFFSET($FI$3,0,0,'Données projet'!$E$16+1,1))-AVERAGE(OFFSET($H$3,0,0,'Données projet'!$E$16+1,1))</f>
        <v>395.30533160963489</v>
      </c>
      <c r="FK141" s="59">
        <f t="shared" si="156"/>
        <v>196.02102977695085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227.99999999999986</v>
      </c>
      <c r="GA141" s="17">
        <f>FZ141*VLOOKUP('Données projet'!$B$17,Paramètres!$A$1:$I$89,3,0)*VLOOKUP('Données projet'!$B$17,Paramètres!$A$1:$I$89,5,0)</f>
        <v>238.30559999999986</v>
      </c>
      <c r="GB141" s="13">
        <f t="shared" si="157"/>
        <v>58.074821878967043</v>
      </c>
      <c r="GC141" s="20">
        <f t="shared" si="133"/>
        <v>516.19590143920061</v>
      </c>
      <c r="GD141" s="59">
        <f t="shared" si="134"/>
        <v>809.52923477253398</v>
      </c>
      <c r="GE141" s="59">
        <f ca="1">AVERAGE(OFFSET($GD$3,0,0,'Données projet'!$E$17+1,1))-AVERAGE(OFFSET($H$3,0,0,'Données projet'!$E$17+1,1))</f>
        <v>269.41185214595805</v>
      </c>
      <c r="GF141" s="59">
        <f t="shared" si="158"/>
        <v>299.70148160580993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0.74694381763081574</v>
      </c>
      <c r="GM141" s="21">
        <f>EXP(-LN(2)/25)*GM140+(1-EXP(-LN(2)/25))/(LN(2)/25)*Calculateur!GH141*Calculateur!GJ141*VLOOKUP('Données projet'!$B$17,Paramètres!$A$1:$I$89,3,0)*0.475*44/12</f>
        <v>0.81225782354672615</v>
      </c>
      <c r="GN141" s="21">
        <f>EXP(-LN(2)/2)*GN140+(1-EXP(-LN(2)/2))/(LN(2)/2)*GH141*GK141*VLOOKUP('Données projet'!$B$17,Paramètres!$A$1:$I$89,3,0)*0.475*44/12</f>
        <v>1.0607441904474099E-15</v>
      </c>
      <c r="GO141" s="21">
        <f t="shared" si="135"/>
        <v>1.5592016411775431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5.6843418860808015E-14</v>
      </c>
      <c r="GV141" s="17">
        <f>GU141*VLOOKUP('Données projet'!$B$18,Paramètres!$A$1:$I$89,3,0)*VLOOKUP('Données projet'!$B$18,Paramètres!$A$1:$I$89,5,0)</f>
        <v>4.9658410716801891E-14</v>
      </c>
      <c r="GW141" s="13">
        <f t="shared" si="159"/>
        <v>8.0934058173791862E-13</v>
      </c>
      <c r="GX141" s="20">
        <f t="shared" si="136"/>
        <v>1.4960899118586383E-12</v>
      </c>
      <c r="GY141" s="59">
        <f t="shared" si="137"/>
        <v>293.33333333333479</v>
      </c>
      <c r="GZ141" s="59">
        <f ca="1">AVERAGE(OFFSET($GY$3,0,0,'Données projet'!$E$18+1,1))-AVERAGE(OFFSET($H$3,0,0,'Données projet'!$E$18+1,1))</f>
        <v>226.35975611953359</v>
      </c>
      <c r="HA141" s="59">
        <f t="shared" si="160"/>
        <v>271.65876694892461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0.56531057756138114</v>
      </c>
      <c r="HI141" s="21">
        <f>EXP(-LN(2)/2)*HI140+(1-EXP(-LN(2)/2))/(LN(2)/2)*HC141*HF141*VLOOKUP('Données projet'!$B$18,Paramètres!$A$1:$I$89,3,0)*0.475*44/12</f>
        <v>6.5595379892555493E-16</v>
      </c>
      <c r="HJ141" s="22">
        <f t="shared" si="138"/>
        <v>0.56531057756138181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7.2230769230769223</v>
      </c>
      <c r="N142" s="13">
        <f>IF('Données projet'!$A$36&gt;35,N141+M142-V141,IF(A142&lt;'Données projet'!$A$36,$K$205^A142,IF(A142='Données projet'!$A$36,'Données projet'!$B$36,N141+M142-V141)))</f>
        <v>424.48846153846091</v>
      </c>
      <c r="O142" s="13">
        <f>N142*VLOOKUP('Données projet'!$B$9,Paramètres!$A$1:$I$89,3,0)*VLOOKUP('Données projet'!$B$9,Paramètres!$A$1:$I$89,5,0)</f>
        <v>384.07715999999942</v>
      </c>
      <c r="P142" s="13">
        <f t="shared" si="141"/>
        <v>88.540961788845209</v>
      </c>
      <c r="Q142" s="20">
        <f t="shared" si="108"/>
        <v>823.14322878223766</v>
      </c>
      <c r="R142" s="59">
        <f t="shared" si="109"/>
        <v>1116.4765621155709</v>
      </c>
      <c r="S142" s="59">
        <f ca="1">AVERAGE(OFFSET($R$3,0,0,'Données projet'!$E$9+1,1))-AVERAGE(OFFSET($H$3,0,0,'Données projet'!$E$9+1,1))</f>
        <v>309.07357540707869</v>
      </c>
      <c r="T142" s="59">
        <f t="shared" si="142"/>
        <v>155.9593924683299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227.99999999999986</v>
      </c>
      <c r="AJ142" s="13">
        <f>AI142*VLOOKUP('Données projet'!$B$10,Paramètres!$A$1:$I$89,3,0)*VLOOKUP('Données projet'!$B$10,Paramètres!$A$1:$I$89,5,0)</f>
        <v>199.18079999999992</v>
      </c>
      <c r="AK142" s="13">
        <f t="shared" si="143"/>
        <v>49.564089376413683</v>
      </c>
      <c r="AL142" s="20">
        <f t="shared" si="112"/>
        <v>433.23068233058694</v>
      </c>
      <c r="AM142" s="59">
        <f t="shared" si="113"/>
        <v>726.56401566392026</v>
      </c>
      <c r="AN142" s="59">
        <f ca="1">AVERAGE(OFFSET($AM$3,0,0,'Données projet'!$E$10+1,1))-AVERAGE(OFFSET($H$3,0,0,'Données projet'!$E$10+1,1))</f>
        <v>210.07838338464626</v>
      </c>
      <c r="AO142" s="59">
        <f t="shared" si="144"/>
        <v>241.76003724236273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0.61206888772593782</v>
      </c>
      <c r="AV142" s="21">
        <f>EXP(-LN(2)/25)*AV141+(1-EXP(-LN(2)/25))/(LN(2)/25)*Calculateur!AQ142*Calculateur!AS142*VLOOKUP('Données projet'!$B$10,Paramètres!$A$1:$I$89,3,0)*0.475*44/12</f>
        <v>0.6603374488990339</v>
      </c>
      <c r="AW142" s="21">
        <f>EXP(-LN(2)/2)*AW141+(1-EXP(-LN(2)/2))/(LN(2)/2)*AQ142*AT142*VLOOKUP('Données projet'!$B$10,Paramètres!$A$1:$I$89,3,0)*0.475*44/12</f>
        <v>6.2691532790295261E-16</v>
      </c>
      <c r="AX142" s="21">
        <f t="shared" si="114"/>
        <v>1.2724063366249723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2.2737367544323206E-13</v>
      </c>
      <c r="BE142" s="13">
        <f>BD142*VLOOKUP('Données projet'!$B$11,Paramètres!$A$1:$I$89,3,0)*VLOOKUP('Données projet'!$B$11,Paramètres!$A$1:$I$89,5,0)</f>
        <v>1.2414602679200471E-13</v>
      </c>
      <c r="BF142" s="13">
        <f t="shared" si="145"/>
        <v>1.8186582995804361E-12</v>
      </c>
      <c r="BG142" s="20">
        <f t="shared" si="115"/>
        <v>3.3837175350986671E-12</v>
      </c>
      <c r="BH142" s="59">
        <f t="shared" si="116"/>
        <v>293.33333333333672</v>
      </c>
      <c r="BI142" s="59">
        <f ca="1">AVERAGE(OFFSET($BH$3,0,0,'Données projet'!$E$11+1,1))-AVERAGE(OFFSET($H$3,0,0,'Données projet'!$E$11+1,1))</f>
        <v>168.72306536277267</v>
      </c>
      <c r="BJ142" s="59">
        <f t="shared" si="146"/>
        <v>203.35476578922339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0.3512989683981283</v>
      </c>
      <c r="BQ142" s="21">
        <f>EXP(-LN(2)/25)*BQ141+(1-EXP(-LN(2)/25))/(LN(2)/25)*Calculateur!BL142*Calculateur!BN142*VLOOKUP('Données projet'!$B$11,Paramètres!$A$1:$I$89,3,0)*0.475*44/12</f>
        <v>1.119319665729934</v>
      </c>
      <c r="BR142" s="21">
        <f>EXP(-LN(2)/2)*BR141+(1-EXP(-LN(2)/2))/(LN(2)/2)*BL142*BO142*VLOOKUP('Données projet'!$B$11,Paramètres!$A$1:$I$89,3,0)*0.475*44/12</f>
        <v>7.8598226437957351E-16</v>
      </c>
      <c r="BS142" s="22">
        <f t="shared" si="117"/>
        <v>1.4706186341280632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3.4106051316484809E-13</v>
      </c>
      <c r="BZ142" s="13">
        <f>BY142*VLOOKUP('Données projet'!$B$12,Paramètres!$A$1:$I$89,3,0)*VLOOKUP('Données projet'!$B$12,Paramètres!$A$1:$I$89,5,0)</f>
        <v>1.5961632016114892E-13</v>
      </c>
      <c r="CA142" s="13">
        <f t="shared" si="147"/>
        <v>2.2708641912150958E-12</v>
      </c>
      <c r="CB142" s="20">
        <f t="shared" si="118"/>
        <v>4.2330868906469593E-12</v>
      </c>
      <c r="CC142" s="59">
        <f t="shared" si="119"/>
        <v>293.33333333333752</v>
      </c>
      <c r="CD142" s="59">
        <f ca="1">AVERAGE(OFFSET($CC$3,0,0,'Données projet'!$E$12+1,1))-AVERAGE(OFFSET($H$3,0,0,'Données projet'!$E$12+1,1))</f>
        <v>158.58786357608489</v>
      </c>
      <c r="CE142" s="59">
        <f t="shared" si="148"/>
        <v>163.20074068819849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4.1677594708744434E-14</v>
      </c>
      <c r="CV142" s="13">
        <f t="shared" si="149"/>
        <v>6.9326303456159188E-13</v>
      </c>
      <c r="CW142" s="20">
        <f t="shared" si="121"/>
        <v>1.2800215959791691E-12</v>
      </c>
      <c r="CX142" s="59">
        <f t="shared" si="122"/>
        <v>293.33333333333462</v>
      </c>
      <c r="CY142" s="59">
        <f ca="1">AVERAGE(OFFSET($CX$3,0,0,'Données projet'!$E$13+1,1))-AVERAGE(OFFSET($H$3,0,0,'Données projet'!$E$13+1,1))</f>
        <v>178.12968684094687</v>
      </c>
      <c r="CZ142" s="59">
        <f t="shared" si="150"/>
        <v>219.36004077210373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0.37441076647945698</v>
      </c>
      <c r="DH142" s="21">
        <f>EXP(-LN(2)/2)*DH141+(1-EXP(-LN(2)/2))/(LN(2)/2)*DB142*DE142*VLOOKUP('Données projet'!$B$13,Paramètres!$A$1:$I$89,3,0)*0.475*44/12</f>
        <v>3.8928537196733647E-16</v>
      </c>
      <c r="DI142" s="22">
        <f t="shared" si="123"/>
        <v>0.37441076647945737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-8.5265128291212022E-14</v>
      </c>
      <c r="DP142" s="17">
        <f>DO142*VLOOKUP('Données projet'!$B$14,Paramètres!$A$1:$I$89,3,0)*VLOOKUP('Données projet'!$B$14,Paramètres!$A$1:$I$89,5,0)</f>
        <v>-7.7147888077888636E-14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225.28075317732998</v>
      </c>
      <c r="DU142" s="59">
        <f t="shared" si="152"/>
        <v>358.43407531256207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0.2590820478398464</v>
      </c>
      <c r="EB142" s="21">
        <f>EXP(-LN(2)/25)*EB141+(1-EXP(-LN(2)/25))/(LN(2)/25)*Calculateur!DW142*Calculateur!DY142*VLOOKUP('Données projet'!$B$14,Paramètres!$A$1:$I$89,3,0)*0.475*44/12</f>
        <v>0.40283084787798379</v>
      </c>
      <c r="EC142" s="21">
        <f>EXP(-LN(2)/2)*EC141+(1-EXP(-LN(2)/2))/(LN(2)/2)*DW142*DZ142*VLOOKUP('Données projet'!$B$14,Paramètres!$A$1:$I$89,3,0)*0.475*44/12</f>
        <v>1.7326053162711494E-16</v>
      </c>
      <c r="ED142" s="22">
        <f t="shared" si="126"/>
        <v>0.66191289571783041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7.2230769230769223</v>
      </c>
      <c r="EJ142" s="12">
        <f>IF('Données projet'!$A$192&gt;35,EJ141+EI142-ER141,IF(A142&lt;'Données projet'!$A$192,$EG$205^A142,IF(A142='Données projet'!$A$192,'Données projet'!$B$192,EJ141+EI142-ER141)))</f>
        <v>424.48846153846091</v>
      </c>
      <c r="EK142" s="17">
        <f>EJ142*VLOOKUP('Données projet'!$B$15,Paramètres!$A$1:$I$89,3,0)*VLOOKUP('Données projet'!$B$15,Paramètres!$A$1:$I$89,5,0)</f>
        <v>430.4312999999994</v>
      </c>
      <c r="EL142" s="13">
        <f t="shared" si="153"/>
        <v>97.919570994109279</v>
      </c>
      <c r="EM142" s="20">
        <f t="shared" si="127"/>
        <v>920.21110031473916</v>
      </c>
      <c r="EN142" s="59">
        <f t="shared" si="128"/>
        <v>1213.5444336480725</v>
      </c>
      <c r="EO142" s="59">
        <f ca="1">AVERAGE(OFFSET($EN$3,0,0,'Données projet'!$E$15+1,1))-AVERAGE(OFFSET($H$3,0,0,'Données projet'!$E$15+1,1))</f>
        <v>363.98308691765931</v>
      </c>
      <c r="EP142" s="59">
        <f t="shared" si="154"/>
        <v>181.47089407988187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7.2230769230769223</v>
      </c>
      <c r="FE142" s="12">
        <f>IF('Données projet'!$A$218&gt;35,FE141+FD142-FM141,IF(A142&lt;'Données projet'!$A$218,$FB$205^A142,IF(A142='Données projet'!$A$218,'Données projet'!$B$218,FE141+FD142-FM141)))</f>
        <v>424.48846153846091</v>
      </c>
      <c r="FF142" s="17">
        <f>FE142*VLOOKUP('Données projet'!$B$16,Paramètres!$A$1:$I$89,3,0)*VLOOKUP('Données projet'!$B$16,Paramètres!$A$1:$I$89,5,0)</f>
        <v>456.91937999999925</v>
      </c>
      <c r="FG142" s="13">
        <f t="shared" si="155"/>
        <v>103.2253387413425</v>
      </c>
      <c r="FH142" s="20">
        <f t="shared" si="130"/>
        <v>975.58538514117026</v>
      </c>
      <c r="FI142" s="59">
        <f t="shared" si="131"/>
        <v>1268.9187184745035</v>
      </c>
      <c r="FJ142" s="59">
        <f ca="1">AVERAGE(OFFSET($FI$3,0,0,'Données projet'!$E$16+1,1))-AVERAGE(OFFSET($H$3,0,0,'Données projet'!$E$16+1,1))</f>
        <v>395.30533160963489</v>
      </c>
      <c r="FK142" s="59">
        <f t="shared" si="156"/>
        <v>196.02102977695085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227.99999999999986</v>
      </c>
      <c r="GA142" s="17">
        <f>FZ142*VLOOKUP('Données projet'!$B$17,Paramètres!$A$1:$I$89,3,0)*VLOOKUP('Données projet'!$B$17,Paramètres!$A$1:$I$89,5,0)</f>
        <v>238.30559999999986</v>
      </c>
      <c r="GB142" s="13">
        <f t="shared" si="157"/>
        <v>58.074821878967043</v>
      </c>
      <c r="GC142" s="20">
        <f t="shared" si="133"/>
        <v>516.19590143920061</v>
      </c>
      <c r="GD142" s="59">
        <f t="shared" si="134"/>
        <v>809.52923477253398</v>
      </c>
      <c r="GE142" s="59">
        <f ca="1">AVERAGE(OFFSET($GD$3,0,0,'Données projet'!$E$17+1,1))-AVERAGE(OFFSET($H$3,0,0,'Données projet'!$E$17+1,1))</f>
        <v>269.41185214595805</v>
      </c>
      <c r="GF142" s="59">
        <f t="shared" si="158"/>
        <v>299.70148160580993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0.7322967049578184</v>
      </c>
      <c r="GM142" s="21">
        <f>EXP(-LN(2)/25)*GM141+(1-EXP(-LN(2)/25))/(LN(2)/25)*Calculateur!GH142*Calculateur!GJ142*VLOOKUP('Données projet'!$B$17,Paramètres!$A$1:$I$89,3,0)*0.475*44/12</f>
        <v>0.7900465906470584</v>
      </c>
      <c r="GN142" s="21">
        <f>EXP(-LN(2)/2)*GN141+(1-EXP(-LN(2)/2))/(LN(2)/2)*GH142*GK142*VLOOKUP('Données projet'!$B$17,Paramètres!$A$1:$I$89,3,0)*0.475*44/12</f>
        <v>7.500594101695982E-16</v>
      </c>
      <c r="GO142" s="21">
        <f t="shared" si="135"/>
        <v>1.5223432956048775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5.6843418860808015E-14</v>
      </c>
      <c r="GV142" s="17">
        <f>GU142*VLOOKUP('Données projet'!$B$18,Paramètres!$A$1:$I$89,3,0)*VLOOKUP('Données projet'!$B$18,Paramètres!$A$1:$I$89,5,0)</f>
        <v>4.9658410716801891E-14</v>
      </c>
      <c r="GW142" s="13">
        <f t="shared" si="159"/>
        <v>8.0934058173791862E-13</v>
      </c>
      <c r="GX142" s="20">
        <f t="shared" si="136"/>
        <v>1.4960899118586383E-12</v>
      </c>
      <c r="GY142" s="59">
        <f t="shared" si="137"/>
        <v>293.33333333333479</v>
      </c>
      <c r="GZ142" s="59">
        <f ca="1">AVERAGE(OFFSET($GY$3,0,0,'Données projet'!$E$18+1,1))-AVERAGE(OFFSET($H$3,0,0,'Données projet'!$E$18+1,1))</f>
        <v>226.35975611953359</v>
      </c>
      <c r="HA142" s="59">
        <f t="shared" si="160"/>
        <v>271.65876694892461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0.5498521300895739</v>
      </c>
      <c r="HI142" s="21">
        <f>EXP(-LN(2)/2)*HI141+(1-EXP(-LN(2)/2))/(LN(2)/2)*HC142*HF142*VLOOKUP('Données projet'!$B$18,Paramètres!$A$1:$I$89,3,0)*0.475*44/12</f>
        <v>4.6382937936533695E-16</v>
      </c>
      <c r="HJ142" s="22">
        <f t="shared" si="138"/>
        <v>0.54985213008957434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431.71153846153845</v>
      </c>
      <c r="L143" s="12">
        <f>VLOOKUP(A143,'Données projet'!$A$35:$I$55,9,0)</f>
        <v>7.2230769230769223</v>
      </c>
      <c r="M143" s="12">
        <f t="array" ref="M143">INDEX(L:L,MIN(IF(ISNUMBER(L143:L339),ROW(L143:L339),"")))</f>
        <v>7.2230769230769223</v>
      </c>
      <c r="N143" s="13">
        <f>IF('Données projet'!$A$36&gt;35,N142+M143-V142,IF(A143&lt;'Données projet'!$A$36,$K$205^A143,IF(A143='Données projet'!$A$36,'Données projet'!$B$36,N142+M143-V142)))</f>
        <v>431.71153846153783</v>
      </c>
      <c r="O143" s="13">
        <f>N143*VLOOKUP('Données projet'!$B$9,Paramètres!$A$1:$I$89,3,0)*VLOOKUP('Données projet'!$B$9,Paramètres!$A$1:$I$89,5,0)</f>
        <v>390.61259999999942</v>
      </c>
      <c r="P143" s="13">
        <f t="shared" si="141"/>
        <v>89.870891496098764</v>
      </c>
      <c r="Q143" s="20">
        <f t="shared" si="108"/>
        <v>836.84208102237096</v>
      </c>
      <c r="R143" s="59">
        <f t="shared" si="109"/>
        <v>1130.1754143557043</v>
      </c>
      <c r="S143" s="59">
        <f ca="1">AVERAGE(OFFSET($R$3,0,0,'Données projet'!$E$9+1,1))-AVERAGE(OFFSET($H$3,0,0,'Données projet'!$E$9+1,1))</f>
        <v>309.07357540707869</v>
      </c>
      <c r="T143" s="59">
        <f t="shared" si="142"/>
        <v>155.9593924683299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50.467948717948715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227.99999999999986</v>
      </c>
      <c r="AJ143" s="13">
        <f>AI143*VLOOKUP('Données projet'!$B$10,Paramètres!$A$1:$I$89,3,0)*VLOOKUP('Données projet'!$B$10,Paramètres!$A$1:$I$89,5,0)</f>
        <v>199.18079999999992</v>
      </c>
      <c r="AK143" s="13">
        <f t="shared" si="143"/>
        <v>49.564089376413683</v>
      </c>
      <c r="AL143" s="20">
        <f t="shared" si="112"/>
        <v>433.23068233058694</v>
      </c>
      <c r="AM143" s="59">
        <f t="shared" si="113"/>
        <v>726.56401566392026</v>
      </c>
      <c r="AN143" s="59">
        <f ca="1">AVERAGE(OFFSET($AM$3,0,0,'Données projet'!$E$10+1,1))-AVERAGE(OFFSET($H$3,0,0,'Données projet'!$E$10+1,1))</f>
        <v>210.07838338464626</v>
      </c>
      <c r="AO143" s="59">
        <f t="shared" si="144"/>
        <v>241.76003724236273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0.60006659016279085</v>
      </c>
      <c r="AV143" s="21">
        <f>EXP(-LN(2)/25)*AV142+(1-EXP(-LN(2)/25))/(LN(2)/25)*Calculateur!AQ143*Calculateur!AS143*VLOOKUP('Données projet'!$B$10,Paramètres!$A$1:$I$89,3,0)*0.475*44/12</f>
        <v>0.64228048663325255</v>
      </c>
      <c r="AW143" s="21">
        <f>EXP(-LN(2)/2)*AW142+(1-EXP(-LN(2)/2))/(LN(2)/2)*AQ143*AT143*VLOOKUP('Données projet'!$B$10,Paramètres!$A$1:$I$89,3,0)*0.475*44/12</f>
        <v>4.4329607958996582E-16</v>
      </c>
      <c r="AX143" s="21">
        <f t="shared" si="114"/>
        <v>1.2423470767960438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2.2737367544323206E-13</v>
      </c>
      <c r="BE143" s="13">
        <f>BD143*VLOOKUP('Données projet'!$B$11,Paramètres!$A$1:$I$89,3,0)*VLOOKUP('Données projet'!$B$11,Paramètres!$A$1:$I$89,5,0)</f>
        <v>1.2414602679200471E-13</v>
      </c>
      <c r="BF143" s="13">
        <f t="shared" si="145"/>
        <v>1.8186582995804361E-12</v>
      </c>
      <c r="BG143" s="20">
        <f t="shared" si="115"/>
        <v>3.3837175350986671E-12</v>
      </c>
      <c r="BH143" s="59">
        <f t="shared" si="116"/>
        <v>293.33333333333672</v>
      </c>
      <c r="BI143" s="59">
        <f ca="1">AVERAGE(OFFSET($BH$3,0,0,'Données projet'!$E$11+1,1))-AVERAGE(OFFSET($H$3,0,0,'Données projet'!$E$11+1,1))</f>
        <v>168.72306536277267</v>
      </c>
      <c r="BJ143" s="59">
        <f t="shared" si="146"/>
        <v>203.35476578922339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0.34441020989905419</v>
      </c>
      <c r="BQ143" s="21">
        <f>EXP(-LN(2)/25)*BQ142+(1-EXP(-LN(2)/25))/(LN(2)/25)*Calculateur!BL143*Calculateur!BN143*VLOOKUP('Données projet'!$B$11,Paramètres!$A$1:$I$89,3,0)*0.475*44/12</f>
        <v>1.088711810608086</v>
      </c>
      <c r="BR143" s="21">
        <f>EXP(-LN(2)/2)*BR142+(1-EXP(-LN(2)/2))/(LN(2)/2)*BL143*BO143*VLOOKUP('Données projet'!$B$11,Paramètres!$A$1:$I$89,3,0)*0.475*44/12</f>
        <v>5.5577338903515422E-16</v>
      </c>
      <c r="BS143" s="22">
        <f t="shared" si="117"/>
        <v>1.4331220205071409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3.4106051316484809E-13</v>
      </c>
      <c r="BZ143" s="13">
        <f>BY143*VLOOKUP('Données projet'!$B$12,Paramètres!$A$1:$I$89,3,0)*VLOOKUP('Données projet'!$B$12,Paramètres!$A$1:$I$89,5,0)</f>
        <v>1.5961632016114892E-13</v>
      </c>
      <c r="CA143" s="13">
        <f t="shared" si="147"/>
        <v>2.2708641912150958E-12</v>
      </c>
      <c r="CB143" s="20">
        <f t="shared" si="118"/>
        <v>4.2330868906469593E-12</v>
      </c>
      <c r="CC143" s="59">
        <f t="shared" si="119"/>
        <v>293.33333333333752</v>
      </c>
      <c r="CD143" s="59">
        <f ca="1">AVERAGE(OFFSET($CC$3,0,0,'Données projet'!$E$12+1,1))-AVERAGE(OFFSET($H$3,0,0,'Données projet'!$E$12+1,1))</f>
        <v>158.58786357608489</v>
      </c>
      <c r="CE143" s="59">
        <f t="shared" si="148"/>
        <v>163.20074068819849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4.1677594708744434E-14</v>
      </c>
      <c r="CV143" s="13">
        <f t="shared" si="149"/>
        <v>6.9326303456159188E-13</v>
      </c>
      <c r="CW143" s="20">
        <f t="shared" si="121"/>
        <v>1.2800215959791691E-12</v>
      </c>
      <c r="CX143" s="59">
        <f t="shared" si="122"/>
        <v>293.33333333333462</v>
      </c>
      <c r="CY143" s="59">
        <f ca="1">AVERAGE(OFFSET($CX$3,0,0,'Données projet'!$E$13+1,1))-AVERAGE(OFFSET($H$3,0,0,'Données projet'!$E$13+1,1))</f>
        <v>178.12968684094687</v>
      </c>
      <c r="CZ143" s="59">
        <f t="shared" si="150"/>
        <v>219.36004077210373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0.36417248438066974</v>
      </c>
      <c r="DH143" s="21">
        <f>EXP(-LN(2)/2)*DH142+(1-EXP(-LN(2)/2))/(LN(2)/2)*DB143*DE143*VLOOKUP('Données projet'!$B$13,Paramètres!$A$1:$I$89,3,0)*0.475*44/12</f>
        <v>2.7526632633483115E-16</v>
      </c>
      <c r="DI143" s="22">
        <f t="shared" si="123"/>
        <v>0.36417248438067001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-8.5265128291212022E-14</v>
      </c>
      <c r="DP143" s="17">
        <f>DO143*VLOOKUP('Données projet'!$B$14,Paramètres!$A$1:$I$89,3,0)*VLOOKUP('Données projet'!$B$14,Paramètres!$A$1:$I$89,5,0)</f>
        <v>-7.7147888077888636E-14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225.28075317732998</v>
      </c>
      <c r="DU143" s="59">
        <f t="shared" si="152"/>
        <v>358.43407531256207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0.25400160690615259</v>
      </c>
      <c r="EB143" s="21">
        <f>EXP(-LN(2)/25)*EB142+(1-EXP(-LN(2)/25))/(LN(2)/25)*Calculateur!DW143*Calculateur!DY143*VLOOKUP('Données projet'!$B$14,Paramètres!$A$1:$I$89,3,0)*0.475*44/12</f>
        <v>0.39181541715880669</v>
      </c>
      <c r="EC143" s="21">
        <f>EXP(-LN(2)/2)*EC142+(1-EXP(-LN(2)/2))/(LN(2)/2)*DW143*DZ143*VLOOKUP('Données projet'!$B$14,Paramètres!$A$1:$I$89,3,0)*0.475*44/12</f>
        <v>1.2251369682551926E-16</v>
      </c>
      <c r="ED143" s="22">
        <f t="shared" si="126"/>
        <v>0.64581702406495933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>
        <f>VLOOKUP(A143,'Données projet'!$A$191:$I$211,2,0)</f>
        <v>431.71153846153845</v>
      </c>
      <c r="EH143" s="12">
        <f>VLOOKUP(A143,'Données projet'!$A$191:$I$211,9,0)</f>
        <v>7.2230769230769223</v>
      </c>
      <c r="EI143" s="12">
        <f t="array" ref="EI143">INDEX(EH:EH,MIN(IF(ISNUMBER(EH143:EH339),ROW(EH143:EH339),"")))</f>
        <v>7.2230769230769223</v>
      </c>
      <c r="EJ143" s="12">
        <f>IF('Données projet'!$A$192&gt;35,EJ142+EI143-ER142,IF(A143&lt;'Données projet'!$A$192,$EG$205^A143,IF(A143='Données projet'!$A$192,'Données projet'!$B$192,EJ142+EI143-ER142)))</f>
        <v>431.71153846153783</v>
      </c>
      <c r="EK143" s="17">
        <f>EJ143*VLOOKUP('Données projet'!$B$15,Paramètres!$A$1:$I$89,3,0)*VLOOKUP('Données projet'!$B$15,Paramètres!$A$1:$I$89,5,0)</f>
        <v>437.75549999999942</v>
      </c>
      <c r="EL143" s="13">
        <f t="shared" si="153"/>
        <v>99.390372121130653</v>
      </c>
      <c r="EM143" s="20">
        <f t="shared" si="127"/>
        <v>935.52906061096826</v>
      </c>
      <c r="EN143" s="59">
        <f t="shared" si="128"/>
        <v>1228.8623939443016</v>
      </c>
      <c r="EO143" s="59">
        <f ca="1">AVERAGE(OFFSET($EN$3,0,0,'Données projet'!$E$15+1,1))-AVERAGE(OFFSET($H$3,0,0,'Données projet'!$E$15+1,1))</f>
        <v>363.98308691765931</v>
      </c>
      <c r="EP143" s="59">
        <f t="shared" si="154"/>
        <v>181.47089407988187</v>
      </c>
      <c r="EQ143" s="15">
        <f>IF(ISNA(VLOOKUP(A143,'Données projet'!$A$191:$I$211,3,0)),0,VLOOKUP(A143,'Données projet'!$A$191:$I$211,3,0))</f>
        <v>13</v>
      </c>
      <c r="ER143" s="15">
        <f>IF(ISNA(VLOOKUP(A143,'Données projet'!$A$191:$I$211,4,0)),0,VLOOKUP(A143,'Données projet'!$A$191:$I$211,4,0))</f>
        <v>50.467948717948715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>
        <f>VLOOKUP(A143,'Données projet'!$A$217:$I$237,2,0)</f>
        <v>431.71153846153845</v>
      </c>
      <c r="FC143" s="12">
        <f>VLOOKUP(A143,'Données projet'!$A$217:$I$237,9,0)</f>
        <v>7.2230769230769223</v>
      </c>
      <c r="FD143" s="12">
        <f t="array" ref="FD143">INDEX(FC:FC,MIN(IF(ISNUMBER(FC143:FC339),ROW(FC143:FC339),"")))</f>
        <v>7.2230769230769223</v>
      </c>
      <c r="FE143" s="12">
        <f>IF('Données projet'!$A$218&gt;35,FE142+FD143-FM142,IF(A143&lt;'Données projet'!$A$218,$FB$205^A143,IF(A143='Données projet'!$A$218,'Données projet'!$B$218,FE142+FD143-FM142)))</f>
        <v>431.71153846153783</v>
      </c>
      <c r="FF143" s="17">
        <f>FE143*VLOOKUP('Données projet'!$B$16,Paramètres!$A$1:$I$89,3,0)*VLOOKUP('Données projet'!$B$16,Paramètres!$A$1:$I$89,5,0)</f>
        <v>464.69429999999926</v>
      </c>
      <c r="FG143" s="13">
        <f t="shared" si="155"/>
        <v>104.77583516423903</v>
      </c>
      <c r="FH143" s="20">
        <f t="shared" si="130"/>
        <v>991.82715207771514</v>
      </c>
      <c r="FI143" s="59">
        <f t="shared" si="131"/>
        <v>1285.1604854110485</v>
      </c>
      <c r="FJ143" s="59">
        <f ca="1">AVERAGE(OFFSET($FI$3,0,0,'Données projet'!$E$16+1,1))-AVERAGE(OFFSET($H$3,0,0,'Données projet'!$E$16+1,1))</f>
        <v>395.30533160963489</v>
      </c>
      <c r="FK143" s="59">
        <f t="shared" si="156"/>
        <v>196.02102977695085</v>
      </c>
      <c r="FL143" s="15">
        <f>IF(ISNA(VLOOKUP(A143,'Données projet'!$A$217:$I$237,3,0)),0,VLOOKUP(A143,'Données projet'!$A$217:$I$237,3,0))</f>
        <v>13</v>
      </c>
      <c r="FM143" s="15">
        <f>IF(ISNA(VLOOKUP(A143,'Données projet'!$A$217:$I$237,4,0)),0,VLOOKUP(A143,'Données projet'!$A$217:$I$237,4,0))</f>
        <v>50.467948717948715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227.99999999999986</v>
      </c>
      <c r="GA143" s="17">
        <f>FZ143*VLOOKUP('Données projet'!$B$17,Paramètres!$A$1:$I$89,3,0)*VLOOKUP('Données projet'!$B$17,Paramètres!$A$1:$I$89,5,0)</f>
        <v>238.30559999999986</v>
      </c>
      <c r="GB143" s="13">
        <f t="shared" si="157"/>
        <v>58.074821878967043</v>
      </c>
      <c r="GC143" s="20">
        <f t="shared" si="133"/>
        <v>516.19590143920061</v>
      </c>
      <c r="GD143" s="59">
        <f t="shared" si="134"/>
        <v>809.52923477253398</v>
      </c>
      <c r="GE143" s="59">
        <f ca="1">AVERAGE(OFFSET($GD$3,0,0,'Données projet'!$E$17+1,1))-AVERAGE(OFFSET($H$3,0,0,'Données projet'!$E$17+1,1))</f>
        <v>269.41185214595805</v>
      </c>
      <c r="GF143" s="59">
        <f t="shared" si="158"/>
        <v>299.70148160580993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0.71793681323048186</v>
      </c>
      <c r="GM143" s="21">
        <f>EXP(-LN(2)/25)*GM142+(1-EXP(-LN(2)/25))/(LN(2)/25)*Calculateur!GH143*Calculateur!GJ143*VLOOKUP('Données projet'!$B$17,Paramètres!$A$1:$I$89,3,0)*0.475*44/12</f>
        <v>0.76844272507907008</v>
      </c>
      <c r="GN143" s="21">
        <f>EXP(-LN(2)/2)*GN142+(1-EXP(-LN(2)/2))/(LN(2)/2)*GH143*GK143*VLOOKUP('Données projet'!$B$17,Paramètres!$A$1:$I$89,3,0)*0.475*44/12</f>
        <v>5.3037209522370497E-16</v>
      </c>
      <c r="GO143" s="21">
        <f t="shared" si="135"/>
        <v>1.4863795383095524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5.6843418860808015E-14</v>
      </c>
      <c r="GV143" s="17">
        <f>GU143*VLOOKUP('Données projet'!$B$18,Paramètres!$A$1:$I$89,3,0)*VLOOKUP('Données projet'!$B$18,Paramètres!$A$1:$I$89,5,0)</f>
        <v>4.9658410716801891E-14</v>
      </c>
      <c r="GW143" s="13">
        <f t="shared" si="159"/>
        <v>8.0934058173791862E-13</v>
      </c>
      <c r="GX143" s="20">
        <f t="shared" si="136"/>
        <v>1.4960899118586383E-12</v>
      </c>
      <c r="GY143" s="59">
        <f t="shared" si="137"/>
        <v>293.33333333333479</v>
      </c>
      <c r="GZ143" s="59">
        <f ca="1">AVERAGE(OFFSET($GY$3,0,0,'Données projet'!$E$18+1,1))-AVERAGE(OFFSET($H$3,0,0,'Données projet'!$E$18+1,1))</f>
        <v>226.35975611953359</v>
      </c>
      <c r="HA143" s="59">
        <f t="shared" si="160"/>
        <v>271.65876694892461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0.53481639467680764</v>
      </c>
      <c r="HI143" s="21">
        <f>EXP(-LN(2)/2)*HI142+(1-EXP(-LN(2)/2))/(LN(2)/2)*HC143*HF143*VLOOKUP('Données projet'!$B$18,Paramètres!$A$1:$I$89,3,0)*0.475*44/12</f>
        <v>3.2797689946277746E-16</v>
      </c>
      <c r="HJ143" s="22">
        <f t="shared" si="138"/>
        <v>0.53481639467680797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7.2314102564102543</v>
      </c>
      <c r="N144" s="13">
        <f>IF('Données projet'!$A$36&gt;35,N143+M144-V143,IF(A144&lt;'Données projet'!$A$36,$K$205^A144,IF(A144='Données projet'!$A$36,'Données projet'!$B$36,N143+M144-V143)))</f>
        <v>388.47499999999934</v>
      </c>
      <c r="O144" s="13">
        <f>N144*VLOOKUP('Données projet'!$B$9,Paramètres!$A$1:$I$89,3,0)*VLOOKUP('Données projet'!$B$9,Paramètres!$A$1:$I$89,5,0)</f>
        <v>351.49217999999939</v>
      </c>
      <c r="P144" s="13">
        <f t="shared" si="141"/>
        <v>81.869690479070712</v>
      </c>
      <c r="Q144" s="20">
        <f t="shared" si="108"/>
        <v>754.77192441771376</v>
      </c>
      <c r="R144" s="59">
        <f t="shared" si="109"/>
        <v>1048.105257751047</v>
      </c>
      <c r="S144" s="59">
        <f ca="1">AVERAGE(OFFSET($R$3,0,0,'Données projet'!$E$9+1,1))-AVERAGE(OFFSET($H$3,0,0,'Données projet'!$E$9+1,1))</f>
        <v>309.07357540707869</v>
      </c>
      <c r="T144" s="59">
        <f t="shared" si="142"/>
        <v>155.9593924683299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227.99999999999986</v>
      </c>
      <c r="AJ144" s="13">
        <f>AI144*VLOOKUP('Données projet'!$B$10,Paramètres!$A$1:$I$89,3,0)*VLOOKUP('Données projet'!$B$10,Paramètres!$A$1:$I$89,5,0)</f>
        <v>199.18079999999992</v>
      </c>
      <c r="AK144" s="13">
        <f t="shared" si="143"/>
        <v>49.564089376413683</v>
      </c>
      <c r="AL144" s="20">
        <f t="shared" si="112"/>
        <v>433.23068233058694</v>
      </c>
      <c r="AM144" s="59">
        <f t="shared" si="113"/>
        <v>726.56401566392026</v>
      </c>
      <c r="AN144" s="59">
        <f ca="1">AVERAGE(OFFSET($AM$3,0,0,'Données projet'!$E$10+1,1))-AVERAGE(OFFSET($H$3,0,0,'Données projet'!$E$10+1,1))</f>
        <v>210.07838338464626</v>
      </c>
      <c r="AO144" s="59">
        <f t="shared" si="144"/>
        <v>241.76003724236273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0.58829965033417853</v>
      </c>
      <c r="AV144" s="21">
        <f>EXP(-LN(2)/25)*AV143+(1-EXP(-LN(2)/25))/(LN(2)/25)*Calculateur!AQ144*Calculateur!AS144*VLOOKUP('Données projet'!$B$10,Paramètres!$A$1:$I$89,3,0)*0.475*44/12</f>
        <v>0.6247172929502034</v>
      </c>
      <c r="AW144" s="21">
        <f>EXP(-LN(2)/2)*AW143+(1-EXP(-LN(2)/2))/(LN(2)/2)*AQ144*AT144*VLOOKUP('Données projet'!$B$10,Paramètres!$A$1:$I$89,3,0)*0.475*44/12</f>
        <v>3.1345766395147635E-16</v>
      </c>
      <c r="AX144" s="21">
        <f t="shared" si="114"/>
        <v>1.213016943284382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2.2737367544323206E-13</v>
      </c>
      <c r="BE144" s="13">
        <f>BD144*VLOOKUP('Données projet'!$B$11,Paramètres!$A$1:$I$89,3,0)*VLOOKUP('Données projet'!$B$11,Paramètres!$A$1:$I$89,5,0)</f>
        <v>1.2414602679200471E-13</v>
      </c>
      <c r="BF144" s="13">
        <f t="shared" si="145"/>
        <v>1.8186582995804361E-12</v>
      </c>
      <c r="BG144" s="20">
        <f t="shared" si="115"/>
        <v>3.3837175350986671E-12</v>
      </c>
      <c r="BH144" s="59">
        <f t="shared" si="116"/>
        <v>293.33333333333672</v>
      </c>
      <c r="BI144" s="59">
        <f ca="1">AVERAGE(OFFSET($BH$3,0,0,'Données projet'!$E$11+1,1))-AVERAGE(OFFSET($H$3,0,0,'Données projet'!$E$11+1,1))</f>
        <v>168.72306536277267</v>
      </c>
      <c r="BJ144" s="59">
        <f t="shared" si="146"/>
        <v>203.35476578922339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0.33765653575241911</v>
      </c>
      <c r="BQ144" s="21">
        <f>EXP(-LN(2)/25)*BQ143+(1-EXP(-LN(2)/25))/(LN(2)/25)*Calculateur!BL144*Calculateur!BN144*VLOOKUP('Données projet'!$B$11,Paramètres!$A$1:$I$89,3,0)*0.475*44/12</f>
        <v>1.058940928894142</v>
      </c>
      <c r="BR144" s="21">
        <f>EXP(-LN(2)/2)*BR143+(1-EXP(-LN(2)/2))/(LN(2)/2)*BL144*BO144*VLOOKUP('Données projet'!$B$11,Paramètres!$A$1:$I$89,3,0)*0.475*44/12</f>
        <v>3.9299113218978676E-16</v>
      </c>
      <c r="BS144" s="22">
        <f t="shared" si="117"/>
        <v>1.3965974646465615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3.4106051316484809E-13</v>
      </c>
      <c r="BZ144" s="13">
        <f>BY144*VLOOKUP('Données projet'!$B$12,Paramètres!$A$1:$I$89,3,0)*VLOOKUP('Données projet'!$B$12,Paramètres!$A$1:$I$89,5,0)</f>
        <v>1.5961632016114892E-13</v>
      </c>
      <c r="CA144" s="13">
        <f t="shared" si="147"/>
        <v>2.2708641912150958E-12</v>
      </c>
      <c r="CB144" s="20">
        <f t="shared" si="118"/>
        <v>4.2330868906469593E-12</v>
      </c>
      <c r="CC144" s="59">
        <f t="shared" si="119"/>
        <v>293.33333333333752</v>
      </c>
      <c r="CD144" s="59">
        <f ca="1">AVERAGE(OFFSET($CC$3,0,0,'Données projet'!$E$12+1,1))-AVERAGE(OFFSET($H$3,0,0,'Données projet'!$E$12+1,1))</f>
        <v>158.58786357608489</v>
      </c>
      <c r="CE144" s="59">
        <f t="shared" si="148"/>
        <v>163.20074068819849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4.1677594708744434E-14</v>
      </c>
      <c r="CV144" s="13">
        <f t="shared" si="149"/>
        <v>6.9326303456159188E-13</v>
      </c>
      <c r="CW144" s="20">
        <f t="shared" si="121"/>
        <v>1.2800215959791691E-12</v>
      </c>
      <c r="CX144" s="59">
        <f t="shared" si="122"/>
        <v>293.33333333333462</v>
      </c>
      <c r="CY144" s="59">
        <f ca="1">AVERAGE(OFFSET($CX$3,0,0,'Données projet'!$E$13+1,1))-AVERAGE(OFFSET($H$3,0,0,'Données projet'!$E$13+1,1))</f>
        <v>178.12968684094687</v>
      </c>
      <c r="CZ144" s="59">
        <f t="shared" si="150"/>
        <v>219.36004077210373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0.35421416864428168</v>
      </c>
      <c r="DH144" s="21">
        <f>EXP(-LN(2)/2)*DH143+(1-EXP(-LN(2)/2))/(LN(2)/2)*DB144*DE144*VLOOKUP('Données projet'!$B$13,Paramètres!$A$1:$I$89,3,0)*0.475*44/12</f>
        <v>1.9464268598366824E-16</v>
      </c>
      <c r="DI144" s="22">
        <f t="shared" si="123"/>
        <v>0.3542141686442819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-8.5265128291212022E-14</v>
      </c>
      <c r="DP144" s="17">
        <f>DO144*VLOOKUP('Données projet'!$B$14,Paramètres!$A$1:$I$89,3,0)*VLOOKUP('Données projet'!$B$14,Paramètres!$A$1:$I$89,5,0)</f>
        <v>-7.7147888077888636E-14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225.28075317732998</v>
      </c>
      <c r="DU144" s="59">
        <f t="shared" si="152"/>
        <v>358.43407531256207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0.2490207903204055</v>
      </c>
      <c r="EB144" s="21">
        <f>EXP(-LN(2)/25)*EB143+(1-EXP(-LN(2)/25))/(LN(2)/25)*Calculateur!DW144*Calculateur!DY144*VLOOKUP('Données projet'!$B$14,Paramètres!$A$1:$I$89,3,0)*0.475*44/12</f>
        <v>0.38110120397192182</v>
      </c>
      <c r="EC144" s="21">
        <f>EXP(-LN(2)/2)*EC143+(1-EXP(-LN(2)/2))/(LN(2)/2)*DW144*DZ144*VLOOKUP('Données projet'!$B$14,Paramètres!$A$1:$I$89,3,0)*0.475*44/12</f>
        <v>8.6630265813557469E-17</v>
      </c>
      <c r="ED144" s="22">
        <f t="shared" si="126"/>
        <v>0.6301219942923274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7.2314102564102543</v>
      </c>
      <c r="EJ144" s="12">
        <f>IF('Données projet'!$A$192&gt;35,EJ143+EI144-ER143,IF(A144&lt;'Données projet'!$A$192,$EG$205^A144,IF(A144='Données projet'!$A$192,'Données projet'!$B$192,EJ143+EI144-ER143)))</f>
        <v>388.47499999999934</v>
      </c>
      <c r="EK144" s="17">
        <f>EJ144*VLOOKUP('Données projet'!$B$15,Paramètres!$A$1:$I$89,3,0)*VLOOKUP('Données projet'!$B$15,Paramètres!$A$1:$I$89,5,0)</f>
        <v>393.91364999999939</v>
      </c>
      <c r="EL144" s="13">
        <f t="shared" si="153"/>
        <v>90.541652215721669</v>
      </c>
      <c r="EM144" s="20">
        <f t="shared" si="127"/>
        <v>843.75965135904744</v>
      </c>
      <c r="EN144" s="59">
        <f t="shared" si="128"/>
        <v>1137.0929846923807</v>
      </c>
      <c r="EO144" s="59">
        <f ca="1">AVERAGE(OFFSET($EN$3,0,0,'Données projet'!$E$15+1,1))-AVERAGE(OFFSET($H$3,0,0,'Données projet'!$E$15+1,1))</f>
        <v>363.98308691765931</v>
      </c>
      <c r="EP144" s="59">
        <f t="shared" si="154"/>
        <v>181.47089407988187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7.2314102564102543</v>
      </c>
      <c r="FE144" s="12">
        <f>IF('Données projet'!$A$218&gt;35,FE143+FD144-FM143,IF(A144&lt;'Données projet'!$A$218,$FB$205^A144,IF(A144='Données projet'!$A$218,'Données projet'!$B$218,FE143+FD144-FM143)))</f>
        <v>388.47499999999934</v>
      </c>
      <c r="FF144" s="17">
        <f>FE144*VLOOKUP('Données projet'!$B$16,Paramètres!$A$1:$I$89,3,0)*VLOOKUP('Données projet'!$B$16,Paramètres!$A$1:$I$89,5,0)</f>
        <v>418.15448999999921</v>
      </c>
      <c r="FG144" s="13">
        <f t="shared" si="155"/>
        <v>95.447647750937833</v>
      </c>
      <c r="FH144" s="20">
        <f t="shared" si="130"/>
        <v>894.52372324954865</v>
      </c>
      <c r="FI144" s="59">
        <f t="shared" si="131"/>
        <v>1187.857056582882</v>
      </c>
      <c r="FJ144" s="59">
        <f ca="1">AVERAGE(OFFSET($FI$3,0,0,'Données projet'!$E$16+1,1))-AVERAGE(OFFSET($H$3,0,0,'Données projet'!$E$16+1,1))</f>
        <v>395.30533160963489</v>
      </c>
      <c r="FK144" s="59">
        <f t="shared" si="156"/>
        <v>196.02102977695085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227.99999999999986</v>
      </c>
      <c r="GA144" s="17">
        <f>FZ144*VLOOKUP('Données projet'!$B$17,Paramètres!$A$1:$I$89,3,0)*VLOOKUP('Données projet'!$B$17,Paramètres!$A$1:$I$89,5,0)</f>
        <v>238.30559999999986</v>
      </c>
      <c r="GB144" s="13">
        <f t="shared" si="157"/>
        <v>58.074821878967043</v>
      </c>
      <c r="GC144" s="20">
        <f t="shared" si="133"/>
        <v>516.19590143920061</v>
      </c>
      <c r="GD144" s="59">
        <f t="shared" si="134"/>
        <v>809.52923477253398</v>
      </c>
      <c r="GE144" s="59">
        <f ca="1">AVERAGE(OFFSET($GD$3,0,0,'Données projet'!$E$17+1,1))-AVERAGE(OFFSET($H$3,0,0,'Données projet'!$E$17+1,1))</f>
        <v>269.41185214595805</v>
      </c>
      <c r="GF144" s="59">
        <f t="shared" si="158"/>
        <v>299.70148160580993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0.70385851022124934</v>
      </c>
      <c r="GM144" s="21">
        <f>EXP(-LN(2)/25)*GM143+(1-EXP(-LN(2)/25))/(LN(2)/25)*Calculateur!GH144*Calculateur!GJ144*VLOOKUP('Données projet'!$B$17,Paramètres!$A$1:$I$89,3,0)*0.475*44/12</f>
        <v>0.7474296183511363</v>
      </c>
      <c r="GN144" s="21">
        <f>EXP(-LN(2)/2)*GN143+(1-EXP(-LN(2)/2))/(LN(2)/2)*GH144*GK144*VLOOKUP('Données projet'!$B$17,Paramètres!$A$1:$I$89,3,0)*0.475*44/12</f>
        <v>3.750297050847991E-16</v>
      </c>
      <c r="GO144" s="21">
        <f t="shared" si="135"/>
        <v>1.451288128572386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5.6843418860808015E-14</v>
      </c>
      <c r="GV144" s="17">
        <f>GU144*VLOOKUP('Données projet'!$B$18,Paramètres!$A$1:$I$89,3,0)*VLOOKUP('Données projet'!$B$18,Paramètres!$A$1:$I$89,5,0)</f>
        <v>4.9658410716801891E-14</v>
      </c>
      <c r="GW144" s="13">
        <f t="shared" si="159"/>
        <v>8.0934058173791862E-13</v>
      </c>
      <c r="GX144" s="20">
        <f t="shared" si="136"/>
        <v>1.4960899118586383E-12</v>
      </c>
      <c r="GY144" s="59">
        <f t="shared" si="137"/>
        <v>293.33333333333479</v>
      </c>
      <c r="GZ144" s="59">
        <f ca="1">AVERAGE(OFFSET($GY$3,0,0,'Données projet'!$E$18+1,1))-AVERAGE(OFFSET($H$3,0,0,'Données projet'!$E$18+1,1))</f>
        <v>226.35975611953359</v>
      </c>
      <c r="HA144" s="59">
        <f t="shared" si="160"/>
        <v>271.65876694892461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0.52019181223959843</v>
      </c>
      <c r="HI144" s="21">
        <f>EXP(-LN(2)/2)*HI143+(1-EXP(-LN(2)/2))/(LN(2)/2)*HC144*HF144*VLOOKUP('Données projet'!$B$18,Paramètres!$A$1:$I$89,3,0)*0.475*44/12</f>
        <v>2.3191468968266847E-16</v>
      </c>
      <c r="HJ144" s="22">
        <f t="shared" si="138"/>
        <v>0.52019181223959865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7.2314102564102543</v>
      </c>
      <c r="N145" s="13">
        <f>IF('Données projet'!$A$36&gt;35,N144+M145-V144,IF(A145&lt;'Données projet'!$A$36,$K$205^A145,IF(A145='Données projet'!$A$36,'Données projet'!$B$36,N144+M145-V144)))</f>
        <v>395.70641025640958</v>
      </c>
      <c r="O145" s="13">
        <f>N145*VLOOKUP('Données projet'!$B$9,Paramètres!$A$1:$I$89,3,0)*VLOOKUP('Données projet'!$B$9,Paramètres!$A$1:$I$89,5,0)</f>
        <v>358.03515999999939</v>
      </c>
      <c r="P145" s="13">
        <f t="shared" si="141"/>
        <v>83.214842129951279</v>
      </c>
      <c r="Q145" s="20">
        <f t="shared" si="108"/>
        <v>768.51042037633067</v>
      </c>
      <c r="R145" s="59">
        <f t="shared" si="109"/>
        <v>1061.843753709664</v>
      </c>
      <c r="S145" s="59">
        <f ca="1">AVERAGE(OFFSET($R$3,0,0,'Données projet'!$E$9+1,1))-AVERAGE(OFFSET($H$3,0,0,'Données projet'!$E$9+1,1))</f>
        <v>309.07357540707869</v>
      </c>
      <c r="T145" s="59">
        <f t="shared" si="142"/>
        <v>155.9593924683299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227.99999999999986</v>
      </c>
      <c r="AJ145" s="13">
        <f>AI145*VLOOKUP('Données projet'!$B$10,Paramètres!$A$1:$I$89,3,0)*VLOOKUP('Données projet'!$B$10,Paramètres!$A$1:$I$89,5,0)</f>
        <v>199.18079999999992</v>
      </c>
      <c r="AK145" s="13">
        <f t="shared" si="143"/>
        <v>49.564089376413683</v>
      </c>
      <c r="AL145" s="20">
        <f t="shared" si="112"/>
        <v>433.23068233058694</v>
      </c>
      <c r="AM145" s="59">
        <f t="shared" si="113"/>
        <v>726.56401566392026</v>
      </c>
      <c r="AN145" s="59">
        <f ca="1">AVERAGE(OFFSET($AM$3,0,0,'Données projet'!$E$10+1,1))-AVERAGE(OFFSET($H$3,0,0,'Données projet'!$E$10+1,1))</f>
        <v>210.07838338464626</v>
      </c>
      <c r="AO145" s="59">
        <f t="shared" si="144"/>
        <v>241.76003724236273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0.57676345301848075</v>
      </c>
      <c r="AV145" s="21">
        <f>EXP(-LN(2)/25)*AV144+(1-EXP(-LN(2)/25))/(LN(2)/25)*Calculateur!AQ145*Calculateur!AS145*VLOOKUP('Données projet'!$B$10,Paramètres!$A$1:$I$89,3,0)*0.475*44/12</f>
        <v>0.60763436572202545</v>
      </c>
      <c r="AW145" s="21">
        <f>EXP(-LN(2)/2)*AW144+(1-EXP(-LN(2)/2))/(LN(2)/2)*AQ145*AT145*VLOOKUP('Données projet'!$B$10,Paramètres!$A$1:$I$89,3,0)*0.475*44/12</f>
        <v>2.2164803979498296E-16</v>
      </c>
      <c r="AX145" s="21">
        <f t="shared" si="114"/>
        <v>1.1843978187405064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2.2737367544323206E-13</v>
      </c>
      <c r="BE145" s="13">
        <f>BD145*VLOOKUP('Données projet'!$B$11,Paramètres!$A$1:$I$89,3,0)*VLOOKUP('Données projet'!$B$11,Paramètres!$A$1:$I$89,5,0)</f>
        <v>1.2414602679200471E-13</v>
      </c>
      <c r="BF145" s="13">
        <f t="shared" si="145"/>
        <v>1.8186582995804361E-12</v>
      </c>
      <c r="BG145" s="20">
        <f t="shared" si="115"/>
        <v>3.3837175350986671E-12</v>
      </c>
      <c r="BH145" s="59">
        <f t="shared" si="116"/>
        <v>293.33333333333672</v>
      </c>
      <c r="BI145" s="59">
        <f ca="1">AVERAGE(OFFSET($BH$3,0,0,'Données projet'!$E$11+1,1))-AVERAGE(OFFSET($H$3,0,0,'Données projet'!$E$11+1,1))</f>
        <v>168.72306536277267</v>
      </c>
      <c r="BJ145" s="59">
        <f t="shared" si="146"/>
        <v>203.35476578922339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0.33103529703646511</v>
      </c>
      <c r="BQ145" s="21">
        <f>EXP(-LN(2)/25)*BQ144+(1-EXP(-LN(2)/25))/(LN(2)/25)*Calculateur!BL145*Calculateur!BN145*VLOOKUP('Données projet'!$B$11,Paramètres!$A$1:$I$89,3,0)*0.475*44/12</f>
        <v>1.0299841335062485</v>
      </c>
      <c r="BR145" s="21">
        <f>EXP(-LN(2)/2)*BR144+(1-EXP(-LN(2)/2))/(LN(2)/2)*BL145*BO145*VLOOKUP('Données projet'!$B$11,Paramètres!$A$1:$I$89,3,0)*0.475*44/12</f>
        <v>2.7788669451757711E-16</v>
      </c>
      <c r="BS145" s="22">
        <f t="shared" si="117"/>
        <v>1.3610194305427139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3.4106051316484809E-13</v>
      </c>
      <c r="BZ145" s="13">
        <f>BY145*VLOOKUP('Données projet'!$B$12,Paramètres!$A$1:$I$89,3,0)*VLOOKUP('Données projet'!$B$12,Paramètres!$A$1:$I$89,5,0)</f>
        <v>1.5961632016114892E-13</v>
      </c>
      <c r="CA145" s="13">
        <f t="shared" si="147"/>
        <v>2.2708641912150958E-12</v>
      </c>
      <c r="CB145" s="20">
        <f t="shared" si="118"/>
        <v>4.2330868906469593E-12</v>
      </c>
      <c r="CC145" s="59">
        <f t="shared" si="119"/>
        <v>293.33333333333752</v>
      </c>
      <c r="CD145" s="59">
        <f ca="1">AVERAGE(OFFSET($CC$3,0,0,'Données projet'!$E$12+1,1))-AVERAGE(OFFSET($H$3,0,0,'Données projet'!$E$12+1,1))</f>
        <v>158.58786357608489</v>
      </c>
      <c r="CE145" s="59">
        <f t="shared" si="148"/>
        <v>163.20074068819849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4.1677594708744434E-14</v>
      </c>
      <c r="CV145" s="13">
        <f t="shared" si="149"/>
        <v>6.9326303456159188E-13</v>
      </c>
      <c r="CW145" s="20">
        <f t="shared" si="121"/>
        <v>1.2800215959791691E-12</v>
      </c>
      <c r="CX145" s="59">
        <f t="shared" si="122"/>
        <v>293.33333333333462</v>
      </c>
      <c r="CY145" s="59">
        <f ca="1">AVERAGE(OFFSET($CX$3,0,0,'Données projet'!$E$13+1,1))-AVERAGE(OFFSET($H$3,0,0,'Données projet'!$E$13+1,1))</f>
        <v>178.12968684094687</v>
      </c>
      <c r="CZ145" s="59">
        <f t="shared" si="150"/>
        <v>219.36004077210373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0.34452816357539023</v>
      </c>
      <c r="DH145" s="21">
        <f>EXP(-LN(2)/2)*DH144+(1-EXP(-LN(2)/2))/(LN(2)/2)*DB145*DE145*VLOOKUP('Données projet'!$B$13,Paramètres!$A$1:$I$89,3,0)*0.475*44/12</f>
        <v>1.3763316316741557E-16</v>
      </c>
      <c r="DI145" s="22">
        <f t="shared" si="123"/>
        <v>0.34452816357539034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-8.5265128291212022E-14</v>
      </c>
      <c r="DP145" s="17">
        <f>DO145*VLOOKUP('Données projet'!$B$14,Paramètres!$A$1:$I$89,3,0)*VLOOKUP('Données projet'!$B$14,Paramètres!$A$1:$I$89,5,0)</f>
        <v>-7.7147888077888636E-14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225.28075317732998</v>
      </c>
      <c r="DU145" s="59">
        <f t="shared" si="152"/>
        <v>358.43407531256207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0.24413764450990677</v>
      </c>
      <c r="EB145" s="21">
        <f>EXP(-LN(2)/25)*EB144+(1-EXP(-LN(2)/25))/(LN(2)/25)*Calculateur!DW145*Calculateur!DY145*VLOOKUP('Données projet'!$B$14,Paramètres!$A$1:$I$89,3,0)*0.475*44/12</f>
        <v>0.37067997150806831</v>
      </c>
      <c r="EC145" s="21">
        <f>EXP(-LN(2)/2)*EC144+(1-EXP(-LN(2)/2))/(LN(2)/2)*DW145*DZ145*VLOOKUP('Données projet'!$B$14,Paramètres!$A$1:$I$89,3,0)*0.475*44/12</f>
        <v>6.125684841275963E-17</v>
      </c>
      <c r="ED145" s="22">
        <f t="shared" si="126"/>
        <v>0.61481761601797513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7.2314102564102543</v>
      </c>
      <c r="EJ145" s="12">
        <f>IF('Données projet'!$A$192&gt;35,EJ144+EI145-ER144,IF(A145&lt;'Données projet'!$A$192,$EG$205^A145,IF(A145='Données projet'!$A$192,'Données projet'!$B$192,EJ144+EI145-ER144)))</f>
        <v>395.70641025640958</v>
      </c>
      <c r="EK145" s="17">
        <f>EJ145*VLOOKUP('Données projet'!$B$15,Paramètres!$A$1:$I$89,3,0)*VLOOKUP('Données projet'!$B$15,Paramètres!$A$1:$I$89,5,0)</f>
        <v>401.24629999999934</v>
      </c>
      <c r="EL145" s="13">
        <f t="shared" si="153"/>
        <v>92.029287654902433</v>
      </c>
      <c r="EM145" s="20">
        <f t="shared" si="127"/>
        <v>859.12164849895373</v>
      </c>
      <c r="EN145" s="59">
        <f t="shared" si="128"/>
        <v>1152.4549818322871</v>
      </c>
      <c r="EO145" s="59">
        <f ca="1">AVERAGE(OFFSET($EN$3,0,0,'Données projet'!$E$15+1,1))-AVERAGE(OFFSET($H$3,0,0,'Données projet'!$E$15+1,1))</f>
        <v>363.98308691765931</v>
      </c>
      <c r="EP145" s="59">
        <f t="shared" si="154"/>
        <v>181.47089407988187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7.2314102564102543</v>
      </c>
      <c r="FE145" s="12">
        <f>IF('Données projet'!$A$218&gt;35,FE144+FD145-FM144,IF(A145&lt;'Données projet'!$A$218,$FB$205^A145,IF(A145='Données projet'!$A$218,'Données projet'!$B$218,FE144+FD145-FM144)))</f>
        <v>395.70641025640958</v>
      </c>
      <c r="FF145" s="17">
        <f>FE145*VLOOKUP('Données projet'!$B$16,Paramètres!$A$1:$I$89,3,0)*VLOOKUP('Données projet'!$B$16,Paramètres!$A$1:$I$89,5,0)</f>
        <v>425.93837999999926</v>
      </c>
      <c r="FG145" s="13">
        <f t="shared" si="155"/>
        <v>97.015890652474837</v>
      </c>
      <c r="FH145" s="20">
        <f t="shared" si="130"/>
        <v>910.81202138639219</v>
      </c>
      <c r="FI145" s="59">
        <f t="shared" si="131"/>
        <v>1204.1453547197254</v>
      </c>
      <c r="FJ145" s="59">
        <f ca="1">AVERAGE(OFFSET($FI$3,0,0,'Données projet'!$E$16+1,1))-AVERAGE(OFFSET($H$3,0,0,'Données projet'!$E$16+1,1))</f>
        <v>395.30533160963489</v>
      </c>
      <c r="FK145" s="59">
        <f t="shared" si="156"/>
        <v>196.02102977695085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227.99999999999986</v>
      </c>
      <c r="GA145" s="17">
        <f>FZ145*VLOOKUP('Données projet'!$B$17,Paramètres!$A$1:$I$89,3,0)*VLOOKUP('Données projet'!$B$17,Paramètres!$A$1:$I$89,5,0)</f>
        <v>238.30559999999986</v>
      </c>
      <c r="GB145" s="13">
        <f t="shared" si="157"/>
        <v>58.074821878967043</v>
      </c>
      <c r="GC145" s="20">
        <f t="shared" si="133"/>
        <v>516.19590143920061</v>
      </c>
      <c r="GD145" s="59">
        <f t="shared" si="134"/>
        <v>809.52923477253398</v>
      </c>
      <c r="GE145" s="59">
        <f ca="1">AVERAGE(OFFSET($GD$3,0,0,'Données projet'!$E$17+1,1))-AVERAGE(OFFSET($H$3,0,0,'Données projet'!$E$17+1,1))</f>
        <v>269.41185214595805</v>
      </c>
      <c r="GF145" s="59">
        <f t="shared" si="158"/>
        <v>299.70148160580993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0.6900562741471109</v>
      </c>
      <c r="GM145" s="21">
        <f>EXP(-LN(2)/25)*GM144+(1-EXP(-LN(2)/25))/(LN(2)/25)*Calculateur!GH145*Calculateur!GJ145*VLOOKUP('Données projet'!$B$17,Paramètres!$A$1:$I$89,3,0)*0.475*44/12</f>
        <v>0.72699111613170908</v>
      </c>
      <c r="GN145" s="21">
        <f>EXP(-LN(2)/2)*GN144+(1-EXP(-LN(2)/2))/(LN(2)/2)*GH145*GK145*VLOOKUP('Données projet'!$B$17,Paramètres!$A$1:$I$89,3,0)*0.475*44/12</f>
        <v>2.6518604761185249E-16</v>
      </c>
      <c r="GO145" s="21">
        <f t="shared" si="135"/>
        <v>1.4170473902788203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5.6843418860808015E-14</v>
      </c>
      <c r="GV145" s="17">
        <f>GU145*VLOOKUP('Données projet'!$B$18,Paramètres!$A$1:$I$89,3,0)*VLOOKUP('Données projet'!$B$18,Paramètres!$A$1:$I$89,5,0)</f>
        <v>4.9658410716801891E-14</v>
      </c>
      <c r="GW145" s="13">
        <f t="shared" si="159"/>
        <v>8.0934058173791862E-13</v>
      </c>
      <c r="GX145" s="20">
        <f t="shared" si="136"/>
        <v>1.4960899118586383E-12</v>
      </c>
      <c r="GY145" s="59">
        <f t="shared" si="137"/>
        <v>293.33333333333479</v>
      </c>
      <c r="GZ145" s="59">
        <f ca="1">AVERAGE(OFFSET($GY$3,0,0,'Données projet'!$E$18+1,1))-AVERAGE(OFFSET($H$3,0,0,'Données projet'!$E$18+1,1))</f>
        <v>226.35975611953359</v>
      </c>
      <c r="HA145" s="59">
        <f t="shared" si="160"/>
        <v>271.65876694892461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0.50596713977820806</v>
      </c>
      <c r="HI145" s="21">
        <f>EXP(-LN(2)/2)*HI144+(1-EXP(-LN(2)/2))/(LN(2)/2)*HC145*HF145*VLOOKUP('Données projet'!$B$18,Paramètres!$A$1:$I$89,3,0)*0.475*44/12</f>
        <v>1.6398844973138873E-16</v>
      </c>
      <c r="HJ145" s="22">
        <f t="shared" si="138"/>
        <v>0.50596713977820817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7.2314102564102543</v>
      </c>
      <c r="N146" s="13">
        <f>IF('Données projet'!$A$36&gt;35,N145+M146-V145,IF(A146&lt;'Données projet'!$A$36,$K$205^A146,IF(A146='Données projet'!$A$36,'Données projet'!$B$36,N145+M146-V145)))</f>
        <v>402.93782051281983</v>
      </c>
      <c r="O146" s="13">
        <f>N146*VLOOKUP('Données projet'!$B$9,Paramètres!$A$1:$I$89,3,0)*VLOOKUP('Données projet'!$B$9,Paramètres!$A$1:$I$89,5,0)</f>
        <v>364.57813999999939</v>
      </c>
      <c r="P146" s="13">
        <f t="shared" si="141"/>
        <v>84.557135282967096</v>
      </c>
      <c r="Q146" s="20">
        <f t="shared" si="108"/>
        <v>782.24393778449996</v>
      </c>
      <c r="R146" s="59">
        <f t="shared" si="109"/>
        <v>1075.5772711178333</v>
      </c>
      <c r="S146" s="59">
        <f ca="1">AVERAGE(OFFSET($R$3,0,0,'Données projet'!$E$9+1,1))-AVERAGE(OFFSET($H$3,0,0,'Données projet'!$E$9+1,1))</f>
        <v>309.07357540707869</v>
      </c>
      <c r="T146" s="59">
        <f t="shared" si="142"/>
        <v>155.9593924683299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227.99999999999986</v>
      </c>
      <c r="AJ146" s="13">
        <f>AI146*VLOOKUP('Données projet'!$B$10,Paramètres!$A$1:$I$89,3,0)*VLOOKUP('Données projet'!$B$10,Paramètres!$A$1:$I$89,5,0)</f>
        <v>199.18079999999992</v>
      </c>
      <c r="AK146" s="13">
        <f t="shared" si="143"/>
        <v>49.564089376413683</v>
      </c>
      <c r="AL146" s="20">
        <f t="shared" si="112"/>
        <v>433.23068233058694</v>
      </c>
      <c r="AM146" s="59">
        <f t="shared" si="113"/>
        <v>726.56401566392026</v>
      </c>
      <c r="AN146" s="59">
        <f ca="1">AVERAGE(OFFSET($AM$3,0,0,'Données projet'!$E$10+1,1))-AVERAGE(OFFSET($H$3,0,0,'Données projet'!$E$10+1,1))</f>
        <v>210.07838338464626</v>
      </c>
      <c r="AO146" s="59">
        <f t="shared" si="144"/>
        <v>241.76003724236273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0.56545347349575825</v>
      </c>
      <c r="AV146" s="21">
        <f>EXP(-LN(2)/25)*AV145+(1-EXP(-LN(2)/25))/(LN(2)/25)*Calculateur!AQ146*Calculateur!AS146*VLOOKUP('Données projet'!$B$10,Paramètres!$A$1:$I$89,3,0)*0.475*44/12</f>
        <v>0.59101857203725416</v>
      </c>
      <c r="AW146" s="21">
        <f>EXP(-LN(2)/2)*AW145+(1-EXP(-LN(2)/2))/(LN(2)/2)*AQ146*AT146*VLOOKUP('Données projet'!$B$10,Paramètres!$A$1:$I$89,3,0)*0.475*44/12</f>
        <v>1.567288319757382E-16</v>
      </c>
      <c r="AX146" s="21">
        <f t="shared" si="114"/>
        <v>1.1564720455330126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2.2737367544323206E-13</v>
      </c>
      <c r="BE146" s="13">
        <f>BD146*VLOOKUP('Données projet'!$B$11,Paramètres!$A$1:$I$89,3,0)*VLOOKUP('Données projet'!$B$11,Paramètres!$A$1:$I$89,5,0)</f>
        <v>1.2414602679200471E-13</v>
      </c>
      <c r="BF146" s="13">
        <f t="shared" si="145"/>
        <v>1.8186582995804361E-12</v>
      </c>
      <c r="BG146" s="20">
        <f t="shared" si="115"/>
        <v>3.3837175350986671E-12</v>
      </c>
      <c r="BH146" s="59">
        <f t="shared" si="116"/>
        <v>293.33333333333672</v>
      </c>
      <c r="BI146" s="59">
        <f ca="1">AVERAGE(OFFSET($BH$3,0,0,'Données projet'!$E$11+1,1))-AVERAGE(OFFSET($H$3,0,0,'Données projet'!$E$11+1,1))</f>
        <v>168.72306536277267</v>
      </c>
      <c r="BJ146" s="59">
        <f t="shared" si="146"/>
        <v>203.35476578922339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0.32454389677317413</v>
      </c>
      <c r="BQ146" s="21">
        <f>EXP(-LN(2)/25)*BQ145+(1-EXP(-LN(2)/25))/(LN(2)/25)*Calculateur!BL146*Calculateur!BN146*VLOOKUP('Données projet'!$B$11,Paramètres!$A$1:$I$89,3,0)*0.475*44/12</f>
        <v>1.0018191632110087</v>
      </c>
      <c r="BR146" s="21">
        <f>EXP(-LN(2)/2)*BR145+(1-EXP(-LN(2)/2))/(LN(2)/2)*BL146*BO146*VLOOKUP('Données projet'!$B$11,Paramètres!$A$1:$I$89,3,0)*0.475*44/12</f>
        <v>1.9649556609489338E-16</v>
      </c>
      <c r="BS146" s="22">
        <f t="shared" si="117"/>
        <v>1.3263630599841831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3.4106051316484809E-13</v>
      </c>
      <c r="BZ146" s="13">
        <f>BY146*VLOOKUP('Données projet'!$B$12,Paramètres!$A$1:$I$89,3,0)*VLOOKUP('Données projet'!$B$12,Paramètres!$A$1:$I$89,5,0)</f>
        <v>1.5961632016114892E-13</v>
      </c>
      <c r="CA146" s="13">
        <f t="shared" si="147"/>
        <v>2.2708641912150958E-12</v>
      </c>
      <c r="CB146" s="20">
        <f t="shared" si="118"/>
        <v>4.2330868906469593E-12</v>
      </c>
      <c r="CC146" s="59">
        <f t="shared" si="119"/>
        <v>293.33333333333752</v>
      </c>
      <c r="CD146" s="59">
        <f ca="1">AVERAGE(OFFSET($CC$3,0,0,'Données projet'!$E$12+1,1))-AVERAGE(OFFSET($H$3,0,0,'Données projet'!$E$12+1,1))</f>
        <v>158.58786357608489</v>
      </c>
      <c r="CE146" s="59">
        <f t="shared" si="148"/>
        <v>163.20074068819849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4.1677594708744434E-14</v>
      </c>
      <c r="CV146" s="13">
        <f t="shared" si="149"/>
        <v>6.9326303456159188E-13</v>
      </c>
      <c r="CW146" s="20">
        <f t="shared" si="121"/>
        <v>1.2800215959791691E-12</v>
      </c>
      <c r="CX146" s="59">
        <f t="shared" si="122"/>
        <v>293.33333333333462</v>
      </c>
      <c r="CY146" s="59">
        <f ca="1">AVERAGE(OFFSET($CX$3,0,0,'Données projet'!$E$13+1,1))-AVERAGE(OFFSET($H$3,0,0,'Données projet'!$E$13+1,1))</f>
        <v>178.12968684094687</v>
      </c>
      <c r="CZ146" s="59">
        <f t="shared" si="150"/>
        <v>219.36004077210373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0.33510702282447252</v>
      </c>
      <c r="DH146" s="21">
        <f>EXP(-LN(2)/2)*DH145+(1-EXP(-LN(2)/2))/(LN(2)/2)*DB146*DE146*VLOOKUP('Données projet'!$B$13,Paramètres!$A$1:$I$89,3,0)*0.475*44/12</f>
        <v>9.7321342991834118E-17</v>
      </c>
      <c r="DI146" s="22">
        <f t="shared" si="123"/>
        <v>0.33510702282447263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-8.5265128291212022E-14</v>
      </c>
      <c r="DP146" s="17">
        <f>DO146*VLOOKUP('Données projet'!$B$14,Paramètres!$A$1:$I$89,3,0)*VLOOKUP('Données projet'!$B$14,Paramètres!$A$1:$I$89,5,0)</f>
        <v>-7.7147888077888636E-14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225.28075317732998</v>
      </c>
      <c r="DU146" s="59">
        <f t="shared" si="152"/>
        <v>358.43407531256207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0.23935025421032707</v>
      </c>
      <c r="EB146" s="21">
        <f>EXP(-LN(2)/25)*EB145+(1-EXP(-LN(2)/25))/(LN(2)/25)*Calculateur!DW146*Calculateur!DY146*VLOOKUP('Données projet'!$B$14,Paramètres!$A$1:$I$89,3,0)*0.475*44/12</f>
        <v>0.36054370819396769</v>
      </c>
      <c r="EC146" s="21">
        <f>EXP(-LN(2)/2)*EC145+(1-EXP(-LN(2)/2))/(LN(2)/2)*DW146*DZ146*VLOOKUP('Données projet'!$B$14,Paramètres!$A$1:$I$89,3,0)*0.475*44/12</f>
        <v>4.3315132906778735E-17</v>
      </c>
      <c r="ED146" s="22">
        <f t="shared" si="126"/>
        <v>0.59989396240429471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7.2314102564102543</v>
      </c>
      <c r="EJ146" s="12">
        <f>IF('Données projet'!$A$192&gt;35,EJ145+EI146-ER145,IF(A146&lt;'Données projet'!$A$192,$EG$205^A146,IF(A146='Données projet'!$A$192,'Données projet'!$B$192,EJ145+EI146-ER145)))</f>
        <v>402.93782051281983</v>
      </c>
      <c r="EK146" s="17">
        <f>EJ146*VLOOKUP('Données projet'!$B$15,Paramètres!$A$1:$I$89,3,0)*VLOOKUP('Données projet'!$B$15,Paramètres!$A$1:$I$89,5,0)</f>
        <v>408.57894999999928</v>
      </c>
      <c r="EL146" s="13">
        <f t="shared" si="153"/>
        <v>93.513761812807942</v>
      </c>
      <c r="EM146" s="20">
        <f t="shared" si="127"/>
        <v>874.47813974063922</v>
      </c>
      <c r="EN146" s="59">
        <f t="shared" si="128"/>
        <v>1167.8114730739726</v>
      </c>
      <c r="EO146" s="59">
        <f ca="1">AVERAGE(OFFSET($EN$3,0,0,'Données projet'!$E$15+1,1))-AVERAGE(OFFSET($H$3,0,0,'Données projet'!$E$15+1,1))</f>
        <v>363.98308691765931</v>
      </c>
      <c r="EP146" s="59">
        <f t="shared" si="154"/>
        <v>181.47089407988187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7.2314102564102543</v>
      </c>
      <c r="FE146" s="12">
        <f>IF('Données projet'!$A$218&gt;35,FE145+FD146-FM145,IF(A146&lt;'Données projet'!$A$218,$FB$205^A146,IF(A146='Données projet'!$A$218,'Données projet'!$B$218,FE145+FD146-FM145)))</f>
        <v>402.93782051281983</v>
      </c>
      <c r="FF146" s="17">
        <f>FE146*VLOOKUP('Données projet'!$B$16,Paramètres!$A$1:$I$89,3,0)*VLOOKUP('Données projet'!$B$16,Paramètres!$A$1:$I$89,5,0)</f>
        <v>433.72226999999924</v>
      </c>
      <c r="FG146" s="13">
        <f t="shared" si="155"/>
        <v>98.580800978846597</v>
      </c>
      <c r="FH146" s="20">
        <f t="shared" si="130"/>
        <v>927.09451528815646</v>
      </c>
      <c r="FI146" s="59">
        <f t="shared" si="131"/>
        <v>1220.4278486214898</v>
      </c>
      <c r="FJ146" s="59">
        <f ca="1">AVERAGE(OFFSET($FI$3,0,0,'Données projet'!$E$16+1,1))-AVERAGE(OFFSET($H$3,0,0,'Données projet'!$E$16+1,1))</f>
        <v>395.30533160963489</v>
      </c>
      <c r="FK146" s="59">
        <f t="shared" si="156"/>
        <v>196.02102977695085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227.99999999999986</v>
      </c>
      <c r="GA146" s="17">
        <f>FZ146*VLOOKUP('Données projet'!$B$17,Paramètres!$A$1:$I$89,3,0)*VLOOKUP('Données projet'!$B$17,Paramètres!$A$1:$I$89,5,0)</f>
        <v>238.30559999999986</v>
      </c>
      <c r="GB146" s="13">
        <f t="shared" si="157"/>
        <v>58.074821878967043</v>
      </c>
      <c r="GC146" s="20">
        <f t="shared" si="133"/>
        <v>516.19590143920061</v>
      </c>
      <c r="GD146" s="59">
        <f t="shared" si="134"/>
        <v>809.52923477253398</v>
      </c>
      <c r="GE146" s="59">
        <f ca="1">AVERAGE(OFFSET($GD$3,0,0,'Données projet'!$E$17+1,1))-AVERAGE(OFFSET($H$3,0,0,'Données projet'!$E$17+1,1))</f>
        <v>269.41185214595805</v>
      </c>
      <c r="GF146" s="59">
        <f t="shared" si="158"/>
        <v>299.70148160580993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0.67652469150385353</v>
      </c>
      <c r="GM146" s="21">
        <f>EXP(-LN(2)/25)*GM145+(1-EXP(-LN(2)/25))/(LN(2)/25)*Calculateur!GH146*Calculateur!GJ146*VLOOKUP('Données projet'!$B$17,Paramètres!$A$1:$I$89,3,0)*0.475*44/12</f>
        <v>0.70711150583028626</v>
      </c>
      <c r="GN146" s="21">
        <f>EXP(-LN(2)/2)*GN145+(1-EXP(-LN(2)/2))/(LN(2)/2)*GH146*GK146*VLOOKUP('Données projet'!$B$17,Paramètres!$A$1:$I$89,3,0)*0.475*44/12</f>
        <v>1.8751485254239955E-16</v>
      </c>
      <c r="GO146" s="21">
        <f t="shared" si="135"/>
        <v>1.38363619733414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5.6843418860808015E-14</v>
      </c>
      <c r="GV146" s="17">
        <f>GU146*VLOOKUP('Données projet'!$B$18,Paramètres!$A$1:$I$89,3,0)*VLOOKUP('Données projet'!$B$18,Paramètres!$A$1:$I$89,5,0)</f>
        <v>4.9658410716801891E-14</v>
      </c>
      <c r="GW146" s="13">
        <f t="shared" si="159"/>
        <v>8.0934058173791862E-13</v>
      </c>
      <c r="GX146" s="20">
        <f t="shared" si="136"/>
        <v>1.4960899118586383E-12</v>
      </c>
      <c r="GY146" s="59">
        <f t="shared" si="137"/>
        <v>293.33333333333479</v>
      </c>
      <c r="GZ146" s="59">
        <f ca="1">AVERAGE(OFFSET($GY$3,0,0,'Données projet'!$E$18+1,1))-AVERAGE(OFFSET($H$3,0,0,'Données projet'!$E$18+1,1))</f>
        <v>226.35975611953359</v>
      </c>
      <c r="HA146" s="59">
        <f t="shared" si="160"/>
        <v>271.65876694892461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0.49213144173331747</v>
      </c>
      <c r="HI146" s="21">
        <f>EXP(-LN(2)/2)*HI145+(1-EXP(-LN(2)/2))/(LN(2)/2)*HC146*HF146*VLOOKUP('Données projet'!$B$18,Paramètres!$A$1:$I$89,3,0)*0.475*44/12</f>
        <v>1.1595734484133424E-16</v>
      </c>
      <c r="HJ146" s="22">
        <f t="shared" si="138"/>
        <v>0.49213144173331758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7.2314102564102543</v>
      </c>
      <c r="N147" s="13">
        <f>IF('Données projet'!$A$36&gt;35,N146+M147-V146,IF(A147&lt;'Données projet'!$A$36,$K$205^A147,IF(A147='Données projet'!$A$36,'Données projet'!$B$36,N146+M147-V146)))</f>
        <v>410.16923076923007</v>
      </c>
      <c r="O147" s="13">
        <f>N147*VLOOKUP('Données projet'!$B$9,Paramètres!$A$1:$I$89,3,0)*VLOOKUP('Données projet'!$B$9,Paramètres!$A$1:$I$89,5,0)</f>
        <v>371.12111999999939</v>
      </c>
      <c r="P147" s="13">
        <f t="shared" si="141"/>
        <v>85.896627156574425</v>
      </c>
      <c r="Q147" s="20">
        <f t="shared" si="108"/>
        <v>795.97257629769945</v>
      </c>
      <c r="R147" s="59">
        <f t="shared" si="109"/>
        <v>1089.3059096310328</v>
      </c>
      <c r="S147" s="59">
        <f ca="1">AVERAGE(OFFSET($R$3,0,0,'Données projet'!$E$9+1,1))-AVERAGE(OFFSET($H$3,0,0,'Données projet'!$E$9+1,1))</f>
        <v>309.07357540707869</v>
      </c>
      <c r="T147" s="59">
        <f t="shared" si="142"/>
        <v>155.9593924683299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227.99999999999986</v>
      </c>
      <c r="AJ147" s="13">
        <f>AI147*VLOOKUP('Données projet'!$B$10,Paramètres!$A$1:$I$89,3,0)*VLOOKUP('Données projet'!$B$10,Paramètres!$A$1:$I$89,5,0)</f>
        <v>199.18079999999992</v>
      </c>
      <c r="AK147" s="13">
        <f t="shared" si="143"/>
        <v>49.564089376413683</v>
      </c>
      <c r="AL147" s="20">
        <f t="shared" si="112"/>
        <v>433.23068233058694</v>
      </c>
      <c r="AM147" s="59">
        <f t="shared" si="113"/>
        <v>726.56401566392026</v>
      </c>
      <c r="AN147" s="59">
        <f ca="1">AVERAGE(OFFSET($AM$3,0,0,'Données projet'!$E$10+1,1))-AVERAGE(OFFSET($H$3,0,0,'Données projet'!$E$10+1,1))</f>
        <v>210.07838338464626</v>
      </c>
      <c r="AO147" s="59">
        <f t="shared" si="144"/>
        <v>241.76003724236273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0.55436527577306993</v>
      </c>
      <c r="AV147" s="21">
        <f>EXP(-LN(2)/25)*AV146+(1-EXP(-LN(2)/25))/(LN(2)/25)*Calculateur!AQ147*Calculateur!AS147*VLOOKUP('Données projet'!$B$10,Paramètres!$A$1:$I$89,3,0)*0.475*44/12</f>
        <v>0.5748571381045795</v>
      </c>
      <c r="AW147" s="21">
        <f>EXP(-LN(2)/2)*AW146+(1-EXP(-LN(2)/2))/(LN(2)/2)*AQ147*AT147*VLOOKUP('Données projet'!$B$10,Paramètres!$A$1:$I$89,3,0)*0.475*44/12</f>
        <v>1.1082401989749149E-16</v>
      </c>
      <c r="AX147" s="21">
        <f t="shared" si="114"/>
        <v>1.1292224138776494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2.2737367544323206E-13</v>
      </c>
      <c r="BE147" s="13">
        <f>BD147*VLOOKUP('Données projet'!$B$11,Paramètres!$A$1:$I$89,3,0)*VLOOKUP('Données projet'!$B$11,Paramètres!$A$1:$I$89,5,0)</f>
        <v>1.2414602679200471E-13</v>
      </c>
      <c r="BF147" s="13">
        <f t="shared" si="145"/>
        <v>1.8186582995804361E-12</v>
      </c>
      <c r="BG147" s="20">
        <f t="shared" si="115"/>
        <v>3.3837175350986671E-12</v>
      </c>
      <c r="BH147" s="59">
        <f t="shared" si="116"/>
        <v>293.33333333333672</v>
      </c>
      <c r="BI147" s="59">
        <f ca="1">AVERAGE(OFFSET($BH$3,0,0,'Données projet'!$E$11+1,1))-AVERAGE(OFFSET($H$3,0,0,'Données projet'!$E$11+1,1))</f>
        <v>168.72306536277267</v>
      </c>
      <c r="BJ147" s="59">
        <f t="shared" si="146"/>
        <v>203.35476578922339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0.31817978890968307</v>
      </c>
      <c r="BQ147" s="21">
        <f>EXP(-LN(2)/25)*BQ146+(1-EXP(-LN(2)/25))/(LN(2)/25)*Calculateur!BL147*Calculateur!BN147*VLOOKUP('Données projet'!$B$11,Paramètres!$A$1:$I$89,3,0)*0.475*44/12</f>
        <v>0.97442436550962364</v>
      </c>
      <c r="BR147" s="21">
        <f>EXP(-LN(2)/2)*BR146+(1-EXP(-LN(2)/2))/(LN(2)/2)*BL147*BO147*VLOOKUP('Données projet'!$B$11,Paramètres!$A$1:$I$89,3,0)*0.475*44/12</f>
        <v>1.3894334725878856E-16</v>
      </c>
      <c r="BS147" s="22">
        <f t="shared" si="117"/>
        <v>1.292604154419307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3.4106051316484809E-13</v>
      </c>
      <c r="BZ147" s="13">
        <f>BY147*VLOOKUP('Données projet'!$B$12,Paramètres!$A$1:$I$89,3,0)*VLOOKUP('Données projet'!$B$12,Paramètres!$A$1:$I$89,5,0)</f>
        <v>1.5961632016114892E-13</v>
      </c>
      <c r="CA147" s="13">
        <f t="shared" si="147"/>
        <v>2.2708641912150958E-12</v>
      </c>
      <c r="CB147" s="20">
        <f t="shared" si="118"/>
        <v>4.2330868906469593E-12</v>
      </c>
      <c r="CC147" s="59">
        <f t="shared" si="119"/>
        <v>293.33333333333752</v>
      </c>
      <c r="CD147" s="59">
        <f ca="1">AVERAGE(OFFSET($CC$3,0,0,'Données projet'!$E$12+1,1))-AVERAGE(OFFSET($H$3,0,0,'Données projet'!$E$12+1,1))</f>
        <v>158.58786357608489</v>
      </c>
      <c r="CE147" s="59">
        <f t="shared" si="148"/>
        <v>163.20074068819849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4.1677594708744434E-14</v>
      </c>
      <c r="CV147" s="13">
        <f t="shared" si="149"/>
        <v>6.9326303456159188E-13</v>
      </c>
      <c r="CW147" s="20">
        <f t="shared" si="121"/>
        <v>1.2800215959791691E-12</v>
      </c>
      <c r="CX147" s="59">
        <f t="shared" si="122"/>
        <v>293.33333333333462</v>
      </c>
      <c r="CY147" s="59">
        <f ca="1">AVERAGE(OFFSET($CX$3,0,0,'Données projet'!$E$13+1,1))-AVERAGE(OFFSET($H$3,0,0,'Données projet'!$E$13+1,1))</f>
        <v>178.12968684094687</v>
      </c>
      <c r="CZ147" s="59">
        <f t="shared" si="150"/>
        <v>219.36004077210373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0.32594350366282487</v>
      </c>
      <c r="DH147" s="21">
        <f>EXP(-LN(2)/2)*DH146+(1-EXP(-LN(2)/2))/(LN(2)/2)*DB147*DE147*VLOOKUP('Données projet'!$B$13,Paramètres!$A$1:$I$89,3,0)*0.475*44/12</f>
        <v>6.8816581583707787E-17</v>
      </c>
      <c r="DI147" s="22">
        <f t="shared" si="123"/>
        <v>0.32594350366282493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-8.5265128291212022E-14</v>
      </c>
      <c r="DP147" s="17">
        <f>DO147*VLOOKUP('Données projet'!$B$14,Paramètres!$A$1:$I$89,3,0)*VLOOKUP('Données projet'!$B$14,Paramètres!$A$1:$I$89,5,0)</f>
        <v>-7.7147888077888636E-14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225.28075317732998</v>
      </c>
      <c r="DU147" s="59">
        <f t="shared" si="152"/>
        <v>358.43407531256207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0.23465674171450238</v>
      </c>
      <c r="EB147" s="21">
        <f>EXP(-LN(2)/25)*EB146+(1-EXP(-LN(2)/25))/(LN(2)/25)*Calculateur!DW147*Calculateur!DY147*VLOOKUP('Données projet'!$B$14,Paramètres!$A$1:$I$89,3,0)*0.475*44/12</f>
        <v>0.35068462153323404</v>
      </c>
      <c r="EC147" s="21">
        <f>EXP(-LN(2)/2)*EC146+(1-EXP(-LN(2)/2))/(LN(2)/2)*DW147*DZ147*VLOOKUP('Données projet'!$B$14,Paramètres!$A$1:$I$89,3,0)*0.475*44/12</f>
        <v>3.0628424206379815E-17</v>
      </c>
      <c r="ED147" s="22">
        <f t="shared" si="126"/>
        <v>0.58534136324773645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7.2314102564102543</v>
      </c>
      <c r="EJ147" s="12">
        <f>IF('Données projet'!$A$192&gt;35,EJ146+EI147-ER146,IF(A147&lt;'Données projet'!$A$192,$EG$205^A147,IF(A147='Données projet'!$A$192,'Données projet'!$B$192,EJ146+EI147-ER146)))</f>
        <v>410.16923076923007</v>
      </c>
      <c r="EK147" s="17">
        <f>EJ147*VLOOKUP('Données projet'!$B$15,Paramètres!$A$1:$I$89,3,0)*VLOOKUP('Données projet'!$B$15,Paramètres!$A$1:$I$89,5,0)</f>
        <v>415.91159999999934</v>
      </c>
      <c r="EL147" s="13">
        <f t="shared" si="153"/>
        <v>94.995137968699765</v>
      </c>
      <c r="EM147" s="20">
        <f t="shared" si="127"/>
        <v>889.82923529548418</v>
      </c>
      <c r="EN147" s="59">
        <f t="shared" si="128"/>
        <v>1183.1625686288176</v>
      </c>
      <c r="EO147" s="59">
        <f ca="1">AVERAGE(OFFSET($EN$3,0,0,'Données projet'!$E$15+1,1))-AVERAGE(OFFSET($H$3,0,0,'Données projet'!$E$15+1,1))</f>
        <v>363.98308691765931</v>
      </c>
      <c r="EP147" s="59">
        <f t="shared" si="154"/>
        <v>181.47089407988187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7.2314102564102543</v>
      </c>
      <c r="FE147" s="12">
        <f>IF('Données projet'!$A$218&gt;35,FE146+FD147-FM146,IF(A147&lt;'Données projet'!$A$218,$FB$205^A147,IF(A147='Données projet'!$A$218,'Données projet'!$B$218,FE146+FD147-FM146)))</f>
        <v>410.16923076923007</v>
      </c>
      <c r="FF147" s="17">
        <f>FE147*VLOOKUP('Données projet'!$B$16,Paramètres!$A$1:$I$89,3,0)*VLOOKUP('Données projet'!$B$16,Paramètres!$A$1:$I$89,5,0)</f>
        <v>441.50615999999923</v>
      </c>
      <c r="FG147" s="13">
        <f t="shared" si="155"/>
        <v>100.14244543809856</v>
      </c>
      <c r="FH147" s="20">
        <f t="shared" si="130"/>
        <v>943.37132113802011</v>
      </c>
      <c r="FI147" s="59">
        <f t="shared" si="131"/>
        <v>1236.7046544713535</v>
      </c>
      <c r="FJ147" s="59">
        <f ca="1">AVERAGE(OFFSET($FI$3,0,0,'Données projet'!$E$16+1,1))-AVERAGE(OFFSET($H$3,0,0,'Données projet'!$E$16+1,1))</f>
        <v>395.30533160963489</v>
      </c>
      <c r="FK147" s="59">
        <f t="shared" si="156"/>
        <v>196.02102977695085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227.99999999999986</v>
      </c>
      <c r="GA147" s="17">
        <f>FZ147*VLOOKUP('Données projet'!$B$17,Paramètres!$A$1:$I$89,3,0)*VLOOKUP('Données projet'!$B$17,Paramètres!$A$1:$I$89,5,0)</f>
        <v>238.30559999999986</v>
      </c>
      <c r="GB147" s="13">
        <f t="shared" si="157"/>
        <v>58.074821878967043</v>
      </c>
      <c r="GC147" s="20">
        <f t="shared" si="133"/>
        <v>516.19590143920061</v>
      </c>
      <c r="GD147" s="59">
        <f t="shared" si="134"/>
        <v>809.52923477253398</v>
      </c>
      <c r="GE147" s="59">
        <f ca="1">AVERAGE(OFFSET($GD$3,0,0,'Données projet'!$E$17+1,1))-AVERAGE(OFFSET($H$3,0,0,'Données projet'!$E$17+1,1))</f>
        <v>269.41185214595805</v>
      </c>
      <c r="GF147" s="59">
        <f t="shared" si="158"/>
        <v>299.70148160580993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0.66325845494278002</v>
      </c>
      <c r="GM147" s="21">
        <f>EXP(-LN(2)/25)*GM146+(1-EXP(-LN(2)/25))/(LN(2)/25)*Calculateur!GH147*Calculateur!GJ147*VLOOKUP('Données projet'!$B$17,Paramètres!$A$1:$I$89,3,0)*0.475*44/12</f>
        <v>0.68777550451797909</v>
      </c>
      <c r="GN147" s="21">
        <f>EXP(-LN(2)/2)*GN146+(1-EXP(-LN(2)/2))/(LN(2)/2)*GH147*GK147*VLOOKUP('Données projet'!$B$17,Paramètres!$A$1:$I$89,3,0)*0.475*44/12</f>
        <v>1.3259302380592624E-16</v>
      </c>
      <c r="GO147" s="21">
        <f t="shared" si="135"/>
        <v>1.3510339594607592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5.6843418860808015E-14</v>
      </c>
      <c r="GV147" s="17">
        <f>GU147*VLOOKUP('Données projet'!$B$18,Paramètres!$A$1:$I$89,3,0)*VLOOKUP('Données projet'!$B$18,Paramètres!$A$1:$I$89,5,0)</f>
        <v>4.9658410716801891E-14</v>
      </c>
      <c r="GW147" s="13">
        <f t="shared" si="159"/>
        <v>8.0934058173791862E-13</v>
      </c>
      <c r="GX147" s="20">
        <f t="shared" si="136"/>
        <v>1.4960899118586383E-12</v>
      </c>
      <c r="GY147" s="59">
        <f t="shared" si="137"/>
        <v>293.33333333333479</v>
      </c>
      <c r="GZ147" s="59">
        <f ca="1">AVERAGE(OFFSET($GY$3,0,0,'Données projet'!$E$18+1,1))-AVERAGE(OFFSET($H$3,0,0,'Données projet'!$E$18+1,1))</f>
        <v>226.35975611953359</v>
      </c>
      <c r="HA147" s="59">
        <f t="shared" si="160"/>
        <v>271.65876694892461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0.47867408157905217</v>
      </c>
      <c r="HI147" s="21">
        <f>EXP(-LN(2)/2)*HI146+(1-EXP(-LN(2)/2))/(LN(2)/2)*HC147*HF147*VLOOKUP('Données projet'!$B$18,Paramètres!$A$1:$I$89,3,0)*0.475*44/12</f>
        <v>8.1994224865694366E-17</v>
      </c>
      <c r="HJ147" s="22">
        <f t="shared" si="138"/>
        <v>0.47867408157905222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7.2314102564102543</v>
      </c>
      <c r="N148" s="13">
        <f>IF('Données projet'!$A$36&gt;35,N147+M148-V147,IF(A148&lt;'Données projet'!$A$36,$K$205^A148,IF(A148='Données projet'!$A$36,'Données projet'!$B$36,N147+M148-V147)))</f>
        <v>417.40064102564031</v>
      </c>
      <c r="O148" s="13">
        <f>N148*VLOOKUP('Données projet'!$B$9,Paramètres!$A$1:$I$89,3,0)*VLOOKUP('Données projet'!$B$9,Paramètres!$A$1:$I$89,5,0)</f>
        <v>377.66409999999934</v>
      </c>
      <c r="P148" s="13">
        <f t="shared" si="141"/>
        <v>87.233372836107904</v>
      </c>
      <c r="Q148" s="20">
        <f t="shared" si="108"/>
        <v>809.69643185621999</v>
      </c>
      <c r="R148" s="59">
        <f t="shared" si="109"/>
        <v>1103.0297651895532</v>
      </c>
      <c r="S148" s="59">
        <f ca="1">AVERAGE(OFFSET($R$3,0,0,'Données projet'!$E$9+1,1))-AVERAGE(OFFSET($H$3,0,0,'Données projet'!$E$9+1,1))</f>
        <v>309.07357540707869</v>
      </c>
      <c r="T148" s="59">
        <f t="shared" si="142"/>
        <v>155.9593924683299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227.99999999999986</v>
      </c>
      <c r="AJ148" s="13">
        <f>AI148*VLOOKUP('Données projet'!$B$10,Paramètres!$A$1:$I$89,3,0)*VLOOKUP('Données projet'!$B$10,Paramètres!$A$1:$I$89,5,0)</f>
        <v>199.18079999999992</v>
      </c>
      <c r="AK148" s="13">
        <f t="shared" si="143"/>
        <v>49.564089376413683</v>
      </c>
      <c r="AL148" s="20">
        <f t="shared" si="112"/>
        <v>433.23068233058694</v>
      </c>
      <c r="AM148" s="59">
        <f t="shared" si="113"/>
        <v>726.56401566392026</v>
      </c>
      <c r="AN148" s="59">
        <f ca="1">AVERAGE(OFFSET($AM$3,0,0,'Données projet'!$E$10+1,1))-AVERAGE(OFFSET($H$3,0,0,'Données projet'!$E$10+1,1))</f>
        <v>210.07838338464626</v>
      </c>
      <c r="AO148" s="59">
        <f t="shared" si="144"/>
        <v>241.76003724236273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0.54349451084459077</v>
      </c>
      <c r="AV148" s="21">
        <f>EXP(-LN(2)/25)*AV147+(1-EXP(-LN(2)/25))/(LN(2)/25)*Calculateur!AQ148*Calculateur!AS148*VLOOKUP('Données projet'!$B$10,Paramètres!$A$1:$I$89,3,0)*0.475*44/12</f>
        <v>0.55913763943268668</v>
      </c>
      <c r="AW148" s="21">
        <f>EXP(-LN(2)/2)*AW147+(1-EXP(-LN(2)/2))/(LN(2)/2)*AQ148*AT148*VLOOKUP('Données projet'!$B$10,Paramètres!$A$1:$I$89,3,0)*0.475*44/12</f>
        <v>7.8364415987869113E-17</v>
      </c>
      <c r="AX148" s="21">
        <f t="shared" si="114"/>
        <v>1.1026321502772776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2.2737367544323206E-13</v>
      </c>
      <c r="BE148" s="13">
        <f>BD148*VLOOKUP('Données projet'!$B$11,Paramètres!$A$1:$I$89,3,0)*VLOOKUP('Données projet'!$B$11,Paramètres!$A$1:$I$89,5,0)</f>
        <v>1.2414602679200471E-13</v>
      </c>
      <c r="BF148" s="13">
        <f t="shared" si="145"/>
        <v>1.8186582995804361E-12</v>
      </c>
      <c r="BG148" s="20">
        <f t="shared" si="115"/>
        <v>3.3837175350986671E-12</v>
      </c>
      <c r="BH148" s="59">
        <f t="shared" si="116"/>
        <v>293.33333333333672</v>
      </c>
      <c r="BI148" s="59">
        <f ca="1">AVERAGE(OFFSET($BH$3,0,0,'Données projet'!$E$11+1,1))-AVERAGE(OFFSET($H$3,0,0,'Données projet'!$E$11+1,1))</f>
        <v>168.72306536277267</v>
      </c>
      <c r="BJ148" s="59">
        <f t="shared" si="146"/>
        <v>203.35476578922339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0.31194047731967256</v>
      </c>
      <c r="BQ148" s="21">
        <f>EXP(-LN(2)/25)*BQ147+(1-EXP(-LN(2)/25))/(LN(2)/25)*Calculateur!BL148*Calculateur!BN148*VLOOKUP('Données projet'!$B$11,Paramètres!$A$1:$I$89,3,0)*0.475*44/12</f>
        <v>0.94777867999201271</v>
      </c>
      <c r="BR148" s="21">
        <f>EXP(-LN(2)/2)*BR147+(1-EXP(-LN(2)/2))/(LN(2)/2)*BL148*BO148*VLOOKUP('Données projet'!$B$11,Paramètres!$A$1:$I$89,3,0)*0.475*44/12</f>
        <v>9.8247783047446689E-17</v>
      </c>
      <c r="BS148" s="22">
        <f t="shared" si="117"/>
        <v>1.2597191573116853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3.4106051316484809E-13</v>
      </c>
      <c r="BZ148" s="13">
        <f>BY148*VLOOKUP('Données projet'!$B$12,Paramètres!$A$1:$I$89,3,0)*VLOOKUP('Données projet'!$B$12,Paramètres!$A$1:$I$89,5,0)</f>
        <v>1.5961632016114892E-13</v>
      </c>
      <c r="CA148" s="13">
        <f t="shared" si="147"/>
        <v>2.2708641912150958E-12</v>
      </c>
      <c r="CB148" s="20">
        <f t="shared" si="118"/>
        <v>4.2330868906469593E-12</v>
      </c>
      <c r="CC148" s="59">
        <f t="shared" si="119"/>
        <v>293.33333333333752</v>
      </c>
      <c r="CD148" s="59">
        <f ca="1">AVERAGE(OFFSET($CC$3,0,0,'Données projet'!$E$12+1,1))-AVERAGE(OFFSET($H$3,0,0,'Données projet'!$E$12+1,1))</f>
        <v>158.58786357608489</v>
      </c>
      <c r="CE148" s="59">
        <f t="shared" si="148"/>
        <v>163.20074068819849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4.1677594708744434E-14</v>
      </c>
      <c r="CV148" s="13">
        <f t="shared" si="149"/>
        <v>6.9326303456159188E-13</v>
      </c>
      <c r="CW148" s="20">
        <f t="shared" si="121"/>
        <v>1.2800215959791691E-12</v>
      </c>
      <c r="CX148" s="59">
        <f t="shared" si="122"/>
        <v>293.33333333333462</v>
      </c>
      <c r="CY148" s="59">
        <f ca="1">AVERAGE(OFFSET($CX$3,0,0,'Données projet'!$E$13+1,1))-AVERAGE(OFFSET($H$3,0,0,'Données projet'!$E$13+1,1))</f>
        <v>178.12968684094687</v>
      </c>
      <c r="CZ148" s="59">
        <f t="shared" si="150"/>
        <v>219.36004077210373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0.317030561414541</v>
      </c>
      <c r="DH148" s="21">
        <f>EXP(-LN(2)/2)*DH147+(1-EXP(-LN(2)/2))/(LN(2)/2)*DB148*DE148*VLOOKUP('Données projet'!$B$13,Paramètres!$A$1:$I$89,3,0)*0.475*44/12</f>
        <v>4.8660671495917059E-17</v>
      </c>
      <c r="DI148" s="22">
        <f t="shared" si="123"/>
        <v>0.31703056141454106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-8.5265128291212022E-14</v>
      </c>
      <c r="DP148" s="17">
        <f>DO148*VLOOKUP('Données projet'!$B$14,Paramètres!$A$1:$I$89,3,0)*VLOOKUP('Données projet'!$B$14,Paramètres!$A$1:$I$89,5,0)</f>
        <v>-7.7147888077888636E-14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225.28075317732998</v>
      </c>
      <c r="DU148" s="59">
        <f t="shared" si="152"/>
        <v>358.43407531256207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0.23005526613596086</v>
      </c>
      <c r="EB148" s="21">
        <f>EXP(-LN(2)/25)*EB147+(1-EXP(-LN(2)/25))/(LN(2)/25)*Calculateur!DW148*Calculateur!DY148*VLOOKUP('Données projet'!$B$14,Paramètres!$A$1:$I$89,3,0)*0.475*44/12</f>
        <v>0.34109513211570502</v>
      </c>
      <c r="EC148" s="21">
        <f>EXP(-LN(2)/2)*EC147+(1-EXP(-LN(2)/2))/(LN(2)/2)*DW148*DZ148*VLOOKUP('Données projet'!$B$14,Paramètres!$A$1:$I$89,3,0)*0.475*44/12</f>
        <v>2.1657566453389367E-17</v>
      </c>
      <c r="ED148" s="22">
        <f t="shared" si="126"/>
        <v>0.57115039825166591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7.2314102564102543</v>
      </c>
      <c r="EJ148" s="12">
        <f>IF('Données projet'!$A$192&gt;35,EJ147+EI148-ER147,IF(A148&lt;'Données projet'!$A$192,$EG$205^A148,IF(A148='Données projet'!$A$192,'Données projet'!$B$192,EJ147+EI148-ER147)))</f>
        <v>417.40064102564031</v>
      </c>
      <c r="EK148" s="17">
        <f>EJ148*VLOOKUP('Données projet'!$B$15,Paramètres!$A$1:$I$89,3,0)*VLOOKUP('Données projet'!$B$15,Paramètres!$A$1:$I$89,5,0)</f>
        <v>423.24424999999928</v>
      </c>
      <c r="EL148" s="13">
        <f t="shared" si="153"/>
        <v>96.473477042769304</v>
      </c>
      <c r="EM148" s="20">
        <f t="shared" si="127"/>
        <v>905.17504126615529</v>
      </c>
      <c r="EN148" s="59">
        <f t="shared" si="128"/>
        <v>1198.5083745994887</v>
      </c>
      <c r="EO148" s="59">
        <f ca="1">AVERAGE(OFFSET($EN$3,0,0,'Données projet'!$E$15+1,1))-AVERAGE(OFFSET($H$3,0,0,'Données projet'!$E$15+1,1))</f>
        <v>363.98308691765931</v>
      </c>
      <c r="EP148" s="59">
        <f t="shared" si="154"/>
        <v>181.47089407988187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7.2314102564102543</v>
      </c>
      <c r="FE148" s="12">
        <f>IF('Données projet'!$A$218&gt;35,FE147+FD148-FM147,IF(A148&lt;'Données projet'!$A$218,$FB$205^A148,IF(A148='Données projet'!$A$218,'Données projet'!$B$218,FE147+FD148-FM147)))</f>
        <v>417.40064102564031</v>
      </c>
      <c r="FF148" s="17">
        <f>FE148*VLOOKUP('Données projet'!$B$16,Paramètres!$A$1:$I$89,3,0)*VLOOKUP('Données projet'!$B$16,Paramètres!$A$1:$I$89,5,0)</f>
        <v>449.29004999999916</v>
      </c>
      <c r="FG148" s="13">
        <f t="shared" si="155"/>
        <v>101.70088825138012</v>
      </c>
      <c r="FH148" s="20">
        <f t="shared" si="130"/>
        <v>959.64255078781878</v>
      </c>
      <c r="FI148" s="59">
        <f t="shared" si="131"/>
        <v>1252.9758841211521</v>
      </c>
      <c r="FJ148" s="59">
        <f ca="1">AVERAGE(OFFSET($FI$3,0,0,'Données projet'!$E$16+1,1))-AVERAGE(OFFSET($H$3,0,0,'Données projet'!$E$16+1,1))</f>
        <v>395.30533160963489</v>
      </c>
      <c r="FK148" s="59">
        <f t="shared" si="156"/>
        <v>196.02102977695085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227.99999999999986</v>
      </c>
      <c r="GA148" s="17">
        <f>FZ148*VLOOKUP('Données projet'!$B$17,Paramètres!$A$1:$I$89,3,0)*VLOOKUP('Données projet'!$B$17,Paramètres!$A$1:$I$89,5,0)</f>
        <v>238.30559999999986</v>
      </c>
      <c r="GB148" s="13">
        <f t="shared" si="157"/>
        <v>58.074821878967043</v>
      </c>
      <c r="GC148" s="20">
        <f t="shared" si="133"/>
        <v>516.19590143920061</v>
      </c>
      <c r="GD148" s="59">
        <f t="shared" si="134"/>
        <v>809.52923477253398</v>
      </c>
      <c r="GE148" s="59">
        <f ca="1">AVERAGE(OFFSET($GD$3,0,0,'Données projet'!$E$17+1,1))-AVERAGE(OFFSET($H$3,0,0,'Données projet'!$E$17+1,1))</f>
        <v>269.41185214595805</v>
      </c>
      <c r="GF148" s="59">
        <f t="shared" si="158"/>
        <v>299.70148160580993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0.65025236118906382</v>
      </c>
      <c r="GM148" s="21">
        <f>EXP(-LN(2)/25)*GM147+(1-EXP(-LN(2)/25))/(LN(2)/25)*Calculateur!GH148*Calculateur!GJ148*VLOOKUP('Données projet'!$B$17,Paramètres!$A$1:$I$89,3,0)*0.475*44/12</f>
        <v>0.66896824717839309</v>
      </c>
      <c r="GN148" s="21">
        <f>EXP(-LN(2)/2)*GN147+(1-EXP(-LN(2)/2))/(LN(2)/2)*GH148*GK148*VLOOKUP('Données projet'!$B$17,Paramètres!$A$1:$I$89,3,0)*0.475*44/12</f>
        <v>9.3757426271199775E-17</v>
      </c>
      <c r="GO148" s="21">
        <f t="shared" si="135"/>
        <v>1.3192206083674569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5.6843418860808015E-14</v>
      </c>
      <c r="GV148" s="17">
        <f>GU148*VLOOKUP('Données projet'!$B$18,Paramètres!$A$1:$I$89,3,0)*VLOOKUP('Données projet'!$B$18,Paramètres!$A$1:$I$89,5,0)</f>
        <v>4.9658410716801891E-14</v>
      </c>
      <c r="GW148" s="13">
        <f t="shared" si="159"/>
        <v>8.0934058173791862E-13</v>
      </c>
      <c r="GX148" s="20">
        <f t="shared" si="136"/>
        <v>1.4960899118586383E-12</v>
      </c>
      <c r="GY148" s="59">
        <f t="shared" si="137"/>
        <v>293.33333333333479</v>
      </c>
      <c r="GZ148" s="59">
        <f ca="1">AVERAGE(OFFSET($GY$3,0,0,'Données projet'!$E$18+1,1))-AVERAGE(OFFSET($H$3,0,0,'Données projet'!$E$18+1,1))</f>
        <v>226.35975611953359</v>
      </c>
      <c r="HA148" s="59">
        <f t="shared" si="160"/>
        <v>271.65876694892461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0.46558471364589704</v>
      </c>
      <c r="HI148" s="21">
        <f>EXP(-LN(2)/2)*HI147+(1-EXP(-LN(2)/2))/(LN(2)/2)*HC148*HF148*VLOOKUP('Données projet'!$B$18,Paramètres!$A$1:$I$89,3,0)*0.475*44/12</f>
        <v>5.7978672420667118E-17</v>
      </c>
      <c r="HJ148" s="22">
        <f t="shared" si="138"/>
        <v>0.4655847136458971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7.2314102564102543</v>
      </c>
      <c r="N149" s="13">
        <f>IF('Données projet'!$A$36&gt;35,N148+M149-V148,IF(A149&lt;'Données projet'!$A$36,$K$205^A149,IF(A149='Données projet'!$A$36,'Données projet'!$B$36,N148+M149-V148)))</f>
        <v>424.63205128205055</v>
      </c>
      <c r="O149" s="13">
        <f>N149*VLOOKUP('Données projet'!$B$9,Paramètres!$A$1:$I$89,3,0)*VLOOKUP('Données projet'!$B$9,Paramètres!$A$1:$I$89,5,0)</f>
        <v>384.20707999999934</v>
      </c>
      <c r="P149" s="13">
        <f t="shared" si="141"/>
        <v>88.567425388857529</v>
      </c>
      <c r="Q149" s="20">
        <f t="shared" si="108"/>
        <v>823.41559688559244</v>
      </c>
      <c r="R149" s="59">
        <f t="shared" si="109"/>
        <v>1116.7489302189258</v>
      </c>
      <c r="S149" s="59">
        <f ca="1">AVERAGE(OFFSET($R$3,0,0,'Données projet'!$E$9+1,1))-AVERAGE(OFFSET($H$3,0,0,'Données projet'!$E$9+1,1))</f>
        <v>309.07357540707869</v>
      </c>
      <c r="T149" s="59">
        <f t="shared" si="142"/>
        <v>155.9593924683299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227.99999999999986</v>
      </c>
      <c r="AJ149" s="13">
        <f>AI149*VLOOKUP('Données projet'!$B$10,Paramètres!$A$1:$I$89,3,0)*VLOOKUP('Données projet'!$B$10,Paramètres!$A$1:$I$89,5,0)</f>
        <v>199.18079999999992</v>
      </c>
      <c r="AK149" s="13">
        <f t="shared" si="143"/>
        <v>49.564089376413683</v>
      </c>
      <c r="AL149" s="20">
        <f t="shared" si="112"/>
        <v>433.23068233058694</v>
      </c>
      <c r="AM149" s="59">
        <f t="shared" si="113"/>
        <v>726.56401566392026</v>
      </c>
      <c r="AN149" s="59">
        <f ca="1">AVERAGE(OFFSET($AM$3,0,0,'Données projet'!$E$10+1,1))-AVERAGE(OFFSET($H$3,0,0,'Données projet'!$E$10+1,1))</f>
        <v>210.07838338464626</v>
      </c>
      <c r="AO149" s="59">
        <f t="shared" si="144"/>
        <v>241.76003724236273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0.53283691498584718</v>
      </c>
      <c r="AV149" s="21">
        <f>EXP(-LN(2)/25)*AV148+(1-EXP(-LN(2)/25))/(LN(2)/25)*Calculateur!AQ149*Calculateur!AS149*VLOOKUP('Données projet'!$B$10,Paramètres!$A$1:$I$89,3,0)*0.475*44/12</f>
        <v>0.54384799127862937</v>
      </c>
      <c r="AW149" s="21">
        <f>EXP(-LN(2)/2)*AW148+(1-EXP(-LN(2)/2))/(LN(2)/2)*AQ149*AT149*VLOOKUP('Données projet'!$B$10,Paramètres!$A$1:$I$89,3,0)*0.475*44/12</f>
        <v>5.5412009948745752E-17</v>
      </c>
      <c r="AX149" s="21">
        <f t="shared" si="114"/>
        <v>1.0766849062644765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2.2737367544323206E-13</v>
      </c>
      <c r="BE149" s="13">
        <f>BD149*VLOOKUP('Données projet'!$B$11,Paramètres!$A$1:$I$89,3,0)*VLOOKUP('Données projet'!$B$11,Paramètres!$A$1:$I$89,5,0)</f>
        <v>1.2414602679200471E-13</v>
      </c>
      <c r="BF149" s="13">
        <f t="shared" si="145"/>
        <v>1.8186582995804361E-12</v>
      </c>
      <c r="BG149" s="20">
        <f t="shared" si="115"/>
        <v>3.3837175350986671E-12</v>
      </c>
      <c r="BH149" s="59">
        <f t="shared" si="116"/>
        <v>293.33333333333672</v>
      </c>
      <c r="BI149" s="59">
        <f ca="1">AVERAGE(OFFSET($BH$3,0,0,'Données projet'!$E$11+1,1))-AVERAGE(OFFSET($H$3,0,0,'Données projet'!$E$11+1,1))</f>
        <v>168.72306536277267</v>
      </c>
      <c r="BJ149" s="59">
        <f t="shared" si="146"/>
        <v>203.35476578922339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0.30582351482433784</v>
      </c>
      <c r="BQ149" s="21">
        <f>EXP(-LN(2)/25)*BQ148+(1-EXP(-LN(2)/25))/(LN(2)/25)*Calculateur!BL149*Calculateur!BN149*VLOOKUP('Données projet'!$B$11,Paramètres!$A$1:$I$89,3,0)*0.475*44/12</f>
        <v>0.92186162214611655</v>
      </c>
      <c r="BR149" s="21">
        <f>EXP(-LN(2)/2)*BR148+(1-EXP(-LN(2)/2))/(LN(2)/2)*BL149*BO149*VLOOKUP('Données projet'!$B$11,Paramètres!$A$1:$I$89,3,0)*0.475*44/12</f>
        <v>6.9471673629394278E-17</v>
      </c>
      <c r="BS149" s="22">
        <f t="shared" si="117"/>
        <v>1.2276851369704544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3.4106051316484809E-13</v>
      </c>
      <c r="BZ149" s="13">
        <f>BY149*VLOOKUP('Données projet'!$B$12,Paramètres!$A$1:$I$89,3,0)*VLOOKUP('Données projet'!$B$12,Paramètres!$A$1:$I$89,5,0)</f>
        <v>1.5961632016114892E-13</v>
      </c>
      <c r="CA149" s="13">
        <f t="shared" si="147"/>
        <v>2.2708641912150958E-12</v>
      </c>
      <c r="CB149" s="20">
        <f t="shared" si="118"/>
        <v>4.2330868906469593E-12</v>
      </c>
      <c r="CC149" s="59">
        <f t="shared" si="119"/>
        <v>293.33333333333752</v>
      </c>
      <c r="CD149" s="59">
        <f ca="1">AVERAGE(OFFSET($CC$3,0,0,'Données projet'!$E$12+1,1))-AVERAGE(OFFSET($H$3,0,0,'Données projet'!$E$12+1,1))</f>
        <v>158.58786357608489</v>
      </c>
      <c r="CE149" s="59">
        <f t="shared" si="148"/>
        <v>163.20074068819849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4.1677594708744434E-14</v>
      </c>
      <c r="CV149" s="13">
        <f t="shared" si="149"/>
        <v>6.9326303456159188E-13</v>
      </c>
      <c r="CW149" s="20">
        <f t="shared" si="121"/>
        <v>1.2800215959791691E-12</v>
      </c>
      <c r="CX149" s="59">
        <f t="shared" si="122"/>
        <v>293.33333333333462</v>
      </c>
      <c r="CY149" s="59">
        <f ca="1">AVERAGE(OFFSET($CX$3,0,0,'Données projet'!$E$13+1,1))-AVERAGE(OFFSET($H$3,0,0,'Données projet'!$E$13+1,1))</f>
        <v>178.12968684094687</v>
      </c>
      <c r="CZ149" s="59">
        <f t="shared" si="150"/>
        <v>219.36004077210373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0.30836134404074772</v>
      </c>
      <c r="DH149" s="21">
        <f>EXP(-LN(2)/2)*DH148+(1-EXP(-LN(2)/2))/(LN(2)/2)*DB149*DE149*VLOOKUP('Données projet'!$B$13,Paramètres!$A$1:$I$89,3,0)*0.475*44/12</f>
        <v>3.4408290791853894E-17</v>
      </c>
      <c r="DI149" s="22">
        <f t="shared" si="123"/>
        <v>0.30836134404074778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-8.5265128291212022E-14</v>
      </c>
      <c r="DP149" s="17">
        <f>DO149*VLOOKUP('Données projet'!$B$14,Paramètres!$A$1:$I$89,3,0)*VLOOKUP('Données projet'!$B$14,Paramètres!$A$1:$I$89,5,0)</f>
        <v>-7.7147888077888636E-14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225.28075317732998</v>
      </c>
      <c r="DU149" s="59">
        <f t="shared" si="152"/>
        <v>358.43407531256207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0.22554402268689158</v>
      </c>
      <c r="EB149" s="21">
        <f>EXP(-LN(2)/25)*EB148+(1-EXP(-LN(2)/25))/(LN(2)/25)*Calculateur!DW149*Calculateur!DY149*VLOOKUP('Données projet'!$B$14,Paramètres!$A$1:$I$89,3,0)*0.475*44/12</f>
        <v>0.33176786779058764</v>
      </c>
      <c r="EC149" s="21">
        <f>EXP(-LN(2)/2)*EC148+(1-EXP(-LN(2)/2))/(LN(2)/2)*DW149*DZ149*VLOOKUP('Données projet'!$B$14,Paramètres!$A$1:$I$89,3,0)*0.475*44/12</f>
        <v>1.5314212103189907E-17</v>
      </c>
      <c r="ED149" s="22">
        <f t="shared" si="126"/>
        <v>0.5573118904774792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7.2314102564102543</v>
      </c>
      <c r="EJ149" s="12">
        <f>IF('Données projet'!$A$192&gt;35,EJ148+EI149-ER148,IF(A149&lt;'Données projet'!$A$192,$EG$205^A149,IF(A149='Données projet'!$A$192,'Données projet'!$B$192,EJ148+EI149-ER148)))</f>
        <v>424.63205128205055</v>
      </c>
      <c r="EK149" s="17">
        <f>EJ149*VLOOKUP('Données projet'!$B$15,Paramètres!$A$1:$I$89,3,0)*VLOOKUP('Données projet'!$B$15,Paramètres!$A$1:$I$89,5,0)</f>
        <v>430.57689999999928</v>
      </c>
      <c r="EL149" s="13">
        <f t="shared" si="153"/>
        <v>97.948837723403983</v>
      </c>
      <c r="EM149" s="20">
        <f t="shared" si="127"/>
        <v>920.51565986826063</v>
      </c>
      <c r="EN149" s="59">
        <f t="shared" si="128"/>
        <v>1213.8489932015939</v>
      </c>
      <c r="EO149" s="59">
        <f ca="1">AVERAGE(OFFSET($EN$3,0,0,'Données projet'!$E$15+1,1))-AVERAGE(OFFSET($H$3,0,0,'Données projet'!$E$15+1,1))</f>
        <v>363.98308691765931</v>
      </c>
      <c r="EP149" s="59">
        <f t="shared" si="154"/>
        <v>181.47089407988187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7.2314102564102543</v>
      </c>
      <c r="FE149" s="12">
        <f>IF('Données projet'!$A$218&gt;35,FE148+FD149-FM148,IF(A149&lt;'Données projet'!$A$218,$FB$205^A149,IF(A149='Données projet'!$A$218,'Données projet'!$B$218,FE148+FD149-FM148)))</f>
        <v>424.63205128205055</v>
      </c>
      <c r="FF149" s="17">
        <f>FE149*VLOOKUP('Données projet'!$B$16,Paramètres!$A$1:$I$89,3,0)*VLOOKUP('Données projet'!$B$16,Paramètres!$A$1:$I$89,5,0)</f>
        <v>457.07393999999925</v>
      </c>
      <c r="FG149" s="13">
        <f t="shared" si="155"/>
        <v>103.25619128710659</v>
      </c>
      <c r="FH149" s="20">
        <f t="shared" si="130"/>
        <v>975.90831199170941</v>
      </c>
      <c r="FI149" s="59">
        <f t="shared" si="131"/>
        <v>1269.2416453250428</v>
      </c>
      <c r="FJ149" s="59">
        <f ca="1">AVERAGE(OFFSET($FI$3,0,0,'Données projet'!$E$16+1,1))-AVERAGE(OFFSET($H$3,0,0,'Données projet'!$E$16+1,1))</f>
        <v>395.30533160963489</v>
      </c>
      <c r="FK149" s="59">
        <f t="shared" si="156"/>
        <v>196.02102977695085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227.99999999999986</v>
      </c>
      <c r="GA149" s="17">
        <f>FZ149*VLOOKUP('Données projet'!$B$17,Paramètres!$A$1:$I$89,3,0)*VLOOKUP('Données projet'!$B$17,Paramètres!$A$1:$I$89,5,0)</f>
        <v>238.30559999999986</v>
      </c>
      <c r="GB149" s="13">
        <f t="shared" si="157"/>
        <v>58.074821878967043</v>
      </c>
      <c r="GC149" s="20">
        <f t="shared" si="133"/>
        <v>516.19590143920061</v>
      </c>
      <c r="GD149" s="59">
        <f t="shared" si="134"/>
        <v>809.52923477253398</v>
      </c>
      <c r="GE149" s="59">
        <f ca="1">AVERAGE(OFFSET($GD$3,0,0,'Données projet'!$E$17+1,1))-AVERAGE(OFFSET($H$3,0,0,'Données projet'!$E$17+1,1))</f>
        <v>269.41185214595805</v>
      </c>
      <c r="GF149" s="59">
        <f t="shared" si="158"/>
        <v>299.70148160580993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0.63750130900092417</v>
      </c>
      <c r="GM149" s="21">
        <f>EXP(-LN(2)/25)*GM148+(1-EXP(-LN(2)/25))/(LN(2)/25)*Calculateur!GH149*Calculateur!GJ149*VLOOKUP('Données projet'!$B$17,Paramètres!$A$1:$I$89,3,0)*0.475*44/12</f>
        <v>0.65067527527978875</v>
      </c>
      <c r="GN149" s="21">
        <f>EXP(-LN(2)/2)*GN148+(1-EXP(-LN(2)/2))/(LN(2)/2)*GH149*GK149*VLOOKUP('Données projet'!$B$17,Paramètres!$A$1:$I$89,3,0)*0.475*44/12</f>
        <v>6.6296511902963122E-17</v>
      </c>
      <c r="GO149" s="21">
        <f t="shared" si="135"/>
        <v>1.2881765842807129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5.6843418860808015E-14</v>
      </c>
      <c r="GV149" s="17">
        <f>GU149*VLOOKUP('Données projet'!$B$18,Paramètres!$A$1:$I$89,3,0)*VLOOKUP('Données projet'!$B$18,Paramètres!$A$1:$I$89,5,0)</f>
        <v>4.9658410716801891E-14</v>
      </c>
      <c r="GW149" s="13">
        <f t="shared" si="159"/>
        <v>8.0934058173791862E-13</v>
      </c>
      <c r="GX149" s="20">
        <f t="shared" si="136"/>
        <v>1.4960899118586383E-12</v>
      </c>
      <c r="GY149" s="59">
        <f t="shared" si="137"/>
        <v>293.33333333333479</v>
      </c>
      <c r="GZ149" s="59">
        <f ca="1">AVERAGE(OFFSET($GY$3,0,0,'Données projet'!$E$18+1,1))-AVERAGE(OFFSET($H$3,0,0,'Données projet'!$E$18+1,1))</f>
        <v>226.35975611953359</v>
      </c>
      <c r="HA149" s="59">
        <f t="shared" si="160"/>
        <v>271.65876694892461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0.45285327516721402</v>
      </c>
      <c r="HI149" s="21">
        <f>EXP(-LN(2)/2)*HI148+(1-EXP(-LN(2)/2))/(LN(2)/2)*HC149*HF149*VLOOKUP('Données projet'!$B$18,Paramètres!$A$1:$I$89,3,0)*0.475*44/12</f>
        <v>4.0997112432847183E-17</v>
      </c>
      <c r="HJ149" s="22">
        <f t="shared" si="138"/>
        <v>0.45285327516721408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7.2314102564102543</v>
      </c>
      <c r="N150" s="13">
        <f>IF('Données projet'!$A$36&gt;35,N149+M150-V149,IF(A150&lt;'Données projet'!$A$36,$K$205^A150,IF(A150='Données projet'!$A$36,'Données projet'!$B$36,N149+M150-V149)))</f>
        <v>431.8634615384608</v>
      </c>
      <c r="O150" s="13">
        <f>N150*VLOOKUP('Données projet'!$B$9,Paramètres!$A$1:$I$89,3,0)*VLOOKUP('Données projet'!$B$9,Paramètres!$A$1:$I$89,5,0)</f>
        <v>390.75005999999934</v>
      </c>
      <c r="P150" s="13">
        <f t="shared" si="141"/>
        <v>89.898835971083955</v>
      </c>
      <c r="Q150" s="20">
        <f t="shared" si="108"/>
        <v>837.13016048297004</v>
      </c>
      <c r="R150" s="59">
        <f t="shared" si="109"/>
        <v>1130.4634938163033</v>
      </c>
      <c r="S150" s="59">
        <f ca="1">AVERAGE(OFFSET($R$3,0,0,'Données projet'!$E$9+1,1))-AVERAGE(OFFSET($H$3,0,0,'Données projet'!$E$9+1,1))</f>
        <v>309.07357540707869</v>
      </c>
      <c r="T150" s="59">
        <f t="shared" si="142"/>
        <v>155.9593924683299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227.99999999999986</v>
      </c>
      <c r="AJ150" s="13">
        <f>AI150*VLOOKUP('Données projet'!$B$10,Paramètres!$A$1:$I$89,3,0)*VLOOKUP('Données projet'!$B$10,Paramètres!$A$1:$I$89,5,0)</f>
        <v>199.18079999999992</v>
      </c>
      <c r="AK150" s="13">
        <f t="shared" si="143"/>
        <v>49.564089376413683</v>
      </c>
      <c r="AL150" s="20">
        <f t="shared" si="112"/>
        <v>433.23068233058694</v>
      </c>
      <c r="AM150" s="59">
        <f t="shared" si="113"/>
        <v>726.56401566392026</v>
      </c>
      <c r="AN150" s="59">
        <f ca="1">AVERAGE(OFFSET($AM$3,0,0,'Données projet'!$E$10+1,1))-AVERAGE(OFFSET($H$3,0,0,'Données projet'!$E$10+1,1))</f>
        <v>210.07838338464626</v>
      </c>
      <c r="AO150" s="59">
        <f t="shared" si="144"/>
        <v>241.76003724236273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0.52238830808140191</v>
      </c>
      <c r="AV150" s="21">
        <f>EXP(-LN(2)/25)*AV149+(1-EXP(-LN(2)/25))/(LN(2)/25)*Calculateur!AQ150*Calculateur!AS150*VLOOKUP('Données projet'!$B$10,Paramètres!$A$1:$I$89,3,0)*0.475*44/12</f>
        <v>0.52897643935739236</v>
      </c>
      <c r="AW150" s="21">
        <f>EXP(-LN(2)/2)*AW149+(1-EXP(-LN(2)/2))/(LN(2)/2)*AQ150*AT150*VLOOKUP('Données projet'!$B$10,Paramètres!$A$1:$I$89,3,0)*0.475*44/12</f>
        <v>3.9182207993934563E-17</v>
      </c>
      <c r="AX150" s="21">
        <f t="shared" si="114"/>
        <v>1.0513647474387944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2.2737367544323206E-13</v>
      </c>
      <c r="BE150" s="13">
        <f>BD150*VLOOKUP('Données projet'!$B$11,Paramètres!$A$1:$I$89,3,0)*VLOOKUP('Données projet'!$B$11,Paramètres!$A$1:$I$89,5,0)</f>
        <v>1.2414602679200471E-13</v>
      </c>
      <c r="BF150" s="13">
        <f t="shared" si="145"/>
        <v>1.8186582995804361E-12</v>
      </c>
      <c r="BG150" s="20">
        <f t="shared" si="115"/>
        <v>3.3837175350986671E-12</v>
      </c>
      <c r="BH150" s="59">
        <f t="shared" si="116"/>
        <v>293.33333333333672</v>
      </c>
      <c r="BI150" s="59">
        <f ca="1">AVERAGE(OFFSET($BH$3,0,0,'Données projet'!$E$11+1,1))-AVERAGE(OFFSET($H$3,0,0,'Données projet'!$E$11+1,1))</f>
        <v>168.72306536277267</v>
      </c>
      <c r="BJ150" s="59">
        <f t="shared" si="146"/>
        <v>203.35476578922339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0.29982650223255791</v>
      </c>
      <c r="BQ150" s="21">
        <f>EXP(-LN(2)/25)*BQ149+(1-EXP(-LN(2)/25))/(LN(2)/25)*Calculateur!BL150*Calculateur!BN150*VLOOKUP('Données projet'!$B$11,Paramètres!$A$1:$I$89,3,0)*0.475*44/12</f>
        <v>0.89665326760993525</v>
      </c>
      <c r="BR150" s="21">
        <f>EXP(-LN(2)/2)*BR149+(1-EXP(-LN(2)/2))/(LN(2)/2)*BL150*BO150*VLOOKUP('Données projet'!$B$11,Paramètres!$A$1:$I$89,3,0)*0.475*44/12</f>
        <v>4.9123891523723344E-17</v>
      </c>
      <c r="BS150" s="22">
        <f t="shared" si="117"/>
        <v>1.1964797698424932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3.4106051316484809E-13</v>
      </c>
      <c r="BZ150" s="13">
        <f>BY150*VLOOKUP('Données projet'!$B$12,Paramètres!$A$1:$I$89,3,0)*VLOOKUP('Données projet'!$B$12,Paramètres!$A$1:$I$89,5,0)</f>
        <v>1.5961632016114892E-13</v>
      </c>
      <c r="CA150" s="13">
        <f t="shared" si="147"/>
        <v>2.2708641912150958E-12</v>
      </c>
      <c r="CB150" s="20">
        <f t="shared" si="118"/>
        <v>4.2330868906469593E-12</v>
      </c>
      <c r="CC150" s="59">
        <f t="shared" si="119"/>
        <v>293.33333333333752</v>
      </c>
      <c r="CD150" s="59">
        <f ca="1">AVERAGE(OFFSET($CC$3,0,0,'Données projet'!$E$12+1,1))-AVERAGE(OFFSET($H$3,0,0,'Données projet'!$E$12+1,1))</f>
        <v>158.58786357608489</v>
      </c>
      <c r="CE150" s="59">
        <f t="shared" si="148"/>
        <v>163.20074068819849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4.1677594708744434E-14</v>
      </c>
      <c r="CV150" s="13">
        <f t="shared" si="149"/>
        <v>6.9326303456159188E-13</v>
      </c>
      <c r="CW150" s="20">
        <f t="shared" si="121"/>
        <v>1.2800215959791691E-12</v>
      </c>
      <c r="CX150" s="59">
        <f t="shared" si="122"/>
        <v>293.33333333333462</v>
      </c>
      <c r="CY150" s="59">
        <f ca="1">AVERAGE(OFFSET($CX$3,0,0,'Données projet'!$E$13+1,1))-AVERAGE(OFFSET($H$3,0,0,'Données projet'!$E$13+1,1))</f>
        <v>178.12968684094687</v>
      </c>
      <c r="CZ150" s="59">
        <f t="shared" si="150"/>
        <v>219.36004077210373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0.29992918687193515</v>
      </c>
      <c r="DH150" s="21">
        <f>EXP(-LN(2)/2)*DH149+(1-EXP(-LN(2)/2))/(LN(2)/2)*DB150*DE150*VLOOKUP('Données projet'!$B$13,Paramètres!$A$1:$I$89,3,0)*0.475*44/12</f>
        <v>2.4330335747958529E-17</v>
      </c>
      <c r="DI150" s="22">
        <f t="shared" si="123"/>
        <v>0.29992918687193515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-8.5265128291212022E-14</v>
      </c>
      <c r="DP150" s="17">
        <f>DO150*VLOOKUP('Données projet'!$B$14,Paramètres!$A$1:$I$89,3,0)*VLOOKUP('Données projet'!$B$14,Paramètres!$A$1:$I$89,5,0)</f>
        <v>-7.7147888077888636E-14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225.28075317732998</v>
      </c>
      <c r="DU150" s="59">
        <f t="shared" si="152"/>
        <v>358.43407531256207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0.22112124197027175</v>
      </c>
      <c r="EB150" s="21">
        <f>EXP(-LN(2)/25)*EB149+(1-EXP(-LN(2)/25))/(LN(2)/25)*Calculateur!DW150*Calculateur!DY150*VLOOKUP('Données projet'!$B$14,Paramètres!$A$1:$I$89,3,0)*0.475*44/12</f>
        <v>0.32269565799894012</v>
      </c>
      <c r="EC150" s="21">
        <f>EXP(-LN(2)/2)*EC149+(1-EXP(-LN(2)/2))/(LN(2)/2)*DW150*DZ150*VLOOKUP('Données projet'!$B$14,Paramètres!$A$1:$I$89,3,0)*0.475*44/12</f>
        <v>1.0828783226694684E-17</v>
      </c>
      <c r="ED150" s="22">
        <f t="shared" si="126"/>
        <v>0.5438168999692119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7.2314102564102543</v>
      </c>
      <c r="EJ150" s="12">
        <f>IF('Données projet'!$A$192&gt;35,EJ149+EI150-ER149,IF(A150&lt;'Données projet'!$A$192,$EG$205^A150,IF(A150='Données projet'!$A$192,'Données projet'!$B$192,EJ149+EI150-ER149)))</f>
        <v>431.8634615384608</v>
      </c>
      <c r="EK150" s="17">
        <f>EJ150*VLOOKUP('Données projet'!$B$15,Paramètres!$A$1:$I$89,3,0)*VLOOKUP('Données projet'!$B$15,Paramètres!$A$1:$I$89,5,0)</f>
        <v>437.90954999999934</v>
      </c>
      <c r="EL150" s="13">
        <f t="shared" si="153"/>
        <v>99.421276585538109</v>
      </c>
      <c r="EM150" s="20">
        <f t="shared" si="127"/>
        <v>935.85118963647767</v>
      </c>
      <c r="EN150" s="59">
        <f t="shared" si="128"/>
        <v>1229.184522969811</v>
      </c>
      <c r="EO150" s="59">
        <f ca="1">AVERAGE(OFFSET($EN$3,0,0,'Données projet'!$E$15+1,1))-AVERAGE(OFFSET($H$3,0,0,'Données projet'!$E$15+1,1))</f>
        <v>363.98308691765931</v>
      </c>
      <c r="EP150" s="59">
        <f t="shared" si="154"/>
        <v>181.47089407988187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7.2314102564102543</v>
      </c>
      <c r="FE150" s="12">
        <f>IF('Données projet'!$A$218&gt;35,FE149+FD150-FM149,IF(A150&lt;'Données projet'!$A$218,$FB$205^A150,IF(A150='Données projet'!$A$218,'Données projet'!$B$218,FE149+FD150-FM149)))</f>
        <v>431.8634615384608</v>
      </c>
      <c r="FF150" s="17">
        <f>FE150*VLOOKUP('Données projet'!$B$16,Paramètres!$A$1:$I$89,3,0)*VLOOKUP('Données projet'!$B$16,Paramètres!$A$1:$I$89,5,0)</f>
        <v>464.85782999999918</v>
      </c>
      <c r="FG150" s="13">
        <f t="shared" si="155"/>
        <v>104.80841418572261</v>
      </c>
      <c r="FH150" s="20">
        <f t="shared" si="130"/>
        <v>992.16870862346525</v>
      </c>
      <c r="FI150" s="59">
        <f t="shared" si="131"/>
        <v>1285.5020419567986</v>
      </c>
      <c r="FJ150" s="59">
        <f ca="1">AVERAGE(OFFSET($FI$3,0,0,'Données projet'!$E$16+1,1))-AVERAGE(OFFSET($H$3,0,0,'Données projet'!$E$16+1,1))</f>
        <v>395.30533160963489</v>
      </c>
      <c r="FK150" s="59">
        <f t="shared" si="156"/>
        <v>196.02102977695085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227.99999999999986</v>
      </c>
      <c r="GA150" s="17">
        <f>FZ150*VLOOKUP('Données projet'!$B$17,Paramètres!$A$1:$I$89,3,0)*VLOOKUP('Données projet'!$B$17,Paramètres!$A$1:$I$89,5,0)</f>
        <v>238.30559999999986</v>
      </c>
      <c r="GB150" s="13">
        <f t="shared" si="157"/>
        <v>58.074821878967043</v>
      </c>
      <c r="GC150" s="20">
        <f t="shared" si="133"/>
        <v>516.19590143920061</v>
      </c>
      <c r="GD150" s="59">
        <f t="shared" si="134"/>
        <v>809.52923477253398</v>
      </c>
      <c r="GE150" s="59">
        <f ca="1">AVERAGE(OFFSET($GD$3,0,0,'Données projet'!$E$17+1,1))-AVERAGE(OFFSET($H$3,0,0,'Données projet'!$E$17+1,1))</f>
        <v>269.41185214595805</v>
      </c>
      <c r="GF150" s="59">
        <f t="shared" si="158"/>
        <v>299.70148160580993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0.62500029716882</v>
      </c>
      <c r="GM150" s="21">
        <f>EXP(-LN(2)/25)*GM149+(1-EXP(-LN(2)/25))/(LN(2)/25)*Calculateur!GH150*Calculateur!GJ150*VLOOKUP('Données projet'!$B$17,Paramètres!$A$1:$I$89,3,0)*0.475*44/12</f>
        <v>0.63288252565973735</v>
      </c>
      <c r="GN150" s="21">
        <f>EXP(-LN(2)/2)*GN149+(1-EXP(-LN(2)/2))/(LN(2)/2)*GH150*GK150*VLOOKUP('Données projet'!$B$17,Paramètres!$A$1:$I$89,3,0)*0.475*44/12</f>
        <v>4.6878713135599888E-17</v>
      </c>
      <c r="GO150" s="21">
        <f t="shared" si="135"/>
        <v>1.2578828228285572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5.6843418860808015E-14</v>
      </c>
      <c r="GV150" s="17">
        <f>GU150*VLOOKUP('Données projet'!$B$18,Paramètres!$A$1:$I$89,3,0)*VLOOKUP('Données projet'!$B$18,Paramètres!$A$1:$I$89,5,0)</f>
        <v>4.9658410716801891E-14</v>
      </c>
      <c r="GW150" s="13">
        <f t="shared" si="159"/>
        <v>8.0934058173791862E-13</v>
      </c>
      <c r="GX150" s="20">
        <f t="shared" si="136"/>
        <v>1.4960899118586383E-12</v>
      </c>
      <c r="GY150" s="59">
        <f t="shared" si="137"/>
        <v>293.33333333333479</v>
      </c>
      <c r="GZ150" s="59">
        <f ca="1">AVERAGE(OFFSET($GY$3,0,0,'Données projet'!$E$18+1,1))-AVERAGE(OFFSET($H$3,0,0,'Données projet'!$E$18+1,1))</f>
        <v>226.35975611953359</v>
      </c>
      <c r="HA150" s="59">
        <f t="shared" si="160"/>
        <v>271.65876694892461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0.44046997854324782</v>
      </c>
      <c r="HI150" s="21">
        <f>EXP(-LN(2)/2)*HI149+(1-EXP(-LN(2)/2))/(LN(2)/2)*HC150*HF150*VLOOKUP('Données projet'!$B$18,Paramètres!$A$1:$I$89,3,0)*0.475*44/12</f>
        <v>2.8989336210333559E-17</v>
      </c>
      <c r="HJ150" s="22">
        <f t="shared" si="138"/>
        <v>0.44046997854324788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7.2314102564102543</v>
      </c>
      <c r="N151" s="13">
        <f>IF('Données projet'!$A$36&gt;35,N150+M151-V150,IF(A151&lt;'Données projet'!$A$36,$K$205^A151,IF(A151='Données projet'!$A$36,'Données projet'!$B$36,N150+M151-V150)))</f>
        <v>439.09487179487104</v>
      </c>
      <c r="O151" s="13">
        <f>N151*VLOOKUP('Données projet'!$B$9,Paramètres!$A$1:$I$89,3,0)*VLOOKUP('Données projet'!$B$9,Paramètres!$A$1:$I$89,5,0)</f>
        <v>397.29303999999928</v>
      </c>
      <c r="P151" s="13">
        <f t="shared" si="141"/>
        <v>91.227653927663823</v>
      </c>
      <c r="Q151" s="20">
        <f t="shared" si="108"/>
        <v>850.84020859067994</v>
      </c>
      <c r="R151" s="59">
        <f t="shared" si="109"/>
        <v>1144.1735419240133</v>
      </c>
      <c r="S151" s="59">
        <f ca="1">AVERAGE(OFFSET($R$3,0,0,'Données projet'!$E$9+1,1))-AVERAGE(OFFSET($H$3,0,0,'Données projet'!$E$9+1,1))</f>
        <v>309.07357540707869</v>
      </c>
      <c r="T151" s="59">
        <f t="shared" si="142"/>
        <v>155.9593924683299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227.99999999999986</v>
      </c>
      <c r="AJ151" s="13">
        <f>AI151*VLOOKUP('Données projet'!$B$10,Paramètres!$A$1:$I$89,3,0)*VLOOKUP('Données projet'!$B$10,Paramètres!$A$1:$I$89,5,0)</f>
        <v>199.18079999999992</v>
      </c>
      <c r="AK151" s="13">
        <f t="shared" si="143"/>
        <v>49.564089376413683</v>
      </c>
      <c r="AL151" s="20">
        <f t="shared" si="112"/>
        <v>433.23068233058694</v>
      </c>
      <c r="AM151" s="59">
        <f t="shared" si="113"/>
        <v>726.56401566392026</v>
      </c>
      <c r="AN151" s="59">
        <f ca="1">AVERAGE(OFFSET($AM$3,0,0,'Données projet'!$E$10+1,1))-AVERAGE(OFFSET($H$3,0,0,'Données projet'!$E$10+1,1))</f>
        <v>210.07838338464626</v>
      </c>
      <c r="AO151" s="59">
        <f t="shared" si="144"/>
        <v>241.76003724236273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0.51214459198533191</v>
      </c>
      <c r="AV151" s="21">
        <f>EXP(-LN(2)/25)*AV150+(1-EXP(-LN(2)/25))/(LN(2)/25)*Calculateur!AQ151*Calculateur!AS151*VLOOKUP('Données projet'!$B$10,Paramètres!$A$1:$I$89,3,0)*0.475*44/12</f>
        <v>0.51451155080550248</v>
      </c>
      <c r="AW151" s="21">
        <f>EXP(-LN(2)/2)*AW150+(1-EXP(-LN(2)/2))/(LN(2)/2)*AQ151*AT151*VLOOKUP('Données projet'!$B$10,Paramètres!$A$1:$I$89,3,0)*0.475*44/12</f>
        <v>2.7706004974372882E-17</v>
      </c>
      <c r="AX151" s="21">
        <f t="shared" si="114"/>
        <v>1.0266561427908343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2.2737367544323206E-13</v>
      </c>
      <c r="BE151" s="13">
        <f>BD151*VLOOKUP('Données projet'!$B$11,Paramètres!$A$1:$I$89,3,0)*VLOOKUP('Données projet'!$B$11,Paramètres!$A$1:$I$89,5,0)</f>
        <v>1.2414602679200471E-13</v>
      </c>
      <c r="BF151" s="13">
        <f t="shared" si="145"/>
        <v>1.8186582995804361E-12</v>
      </c>
      <c r="BG151" s="20">
        <f t="shared" si="115"/>
        <v>3.3837175350986671E-12</v>
      </c>
      <c r="BH151" s="59">
        <f t="shared" si="116"/>
        <v>293.33333333333672</v>
      </c>
      <c r="BI151" s="59">
        <f ca="1">AVERAGE(OFFSET($BH$3,0,0,'Données projet'!$E$11+1,1))-AVERAGE(OFFSET($H$3,0,0,'Données projet'!$E$11+1,1))</f>
        <v>168.72306536277267</v>
      </c>
      <c r="BJ151" s="59">
        <f t="shared" si="146"/>
        <v>203.35476578922339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0.29394708739988629</v>
      </c>
      <c r="BQ151" s="21">
        <f>EXP(-LN(2)/25)*BQ150+(1-EXP(-LN(2)/25))/(LN(2)/25)*Calculateur!BL151*Calculateur!BN151*VLOOKUP('Données projet'!$B$11,Paramètres!$A$1:$I$89,3,0)*0.475*44/12</f>
        <v>0.87213423685419555</v>
      </c>
      <c r="BR151" s="21">
        <f>EXP(-LN(2)/2)*BR150+(1-EXP(-LN(2)/2))/(LN(2)/2)*BL151*BO151*VLOOKUP('Données projet'!$B$11,Paramètres!$A$1:$I$89,3,0)*0.475*44/12</f>
        <v>3.4735836814697139E-17</v>
      </c>
      <c r="BS151" s="22">
        <f t="shared" si="117"/>
        <v>1.166081324254082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3.4106051316484809E-13</v>
      </c>
      <c r="BZ151" s="13">
        <f>BY151*VLOOKUP('Données projet'!$B$12,Paramètres!$A$1:$I$89,3,0)*VLOOKUP('Données projet'!$B$12,Paramètres!$A$1:$I$89,5,0)</f>
        <v>1.5961632016114892E-13</v>
      </c>
      <c r="CA151" s="13">
        <f t="shared" si="147"/>
        <v>2.2708641912150958E-12</v>
      </c>
      <c r="CB151" s="20">
        <f t="shared" si="118"/>
        <v>4.2330868906469593E-12</v>
      </c>
      <c r="CC151" s="59">
        <f t="shared" si="119"/>
        <v>293.33333333333752</v>
      </c>
      <c r="CD151" s="59">
        <f ca="1">AVERAGE(OFFSET($CC$3,0,0,'Données projet'!$E$12+1,1))-AVERAGE(OFFSET($H$3,0,0,'Données projet'!$E$12+1,1))</f>
        <v>158.58786357608489</v>
      </c>
      <c r="CE151" s="59">
        <f t="shared" si="148"/>
        <v>163.20074068819849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4.1677594708744434E-14</v>
      </c>
      <c r="CV151" s="13">
        <f t="shared" si="149"/>
        <v>6.9326303456159188E-13</v>
      </c>
      <c r="CW151" s="20">
        <f t="shared" si="121"/>
        <v>1.2800215959791691E-12</v>
      </c>
      <c r="CX151" s="59">
        <f t="shared" si="122"/>
        <v>293.33333333333462</v>
      </c>
      <c r="CY151" s="59">
        <f ca="1">AVERAGE(OFFSET($CX$3,0,0,'Données projet'!$E$13+1,1))-AVERAGE(OFFSET($H$3,0,0,'Données projet'!$E$13+1,1))</f>
        <v>178.12968684094687</v>
      </c>
      <c r="CZ151" s="59">
        <f t="shared" si="150"/>
        <v>219.36004077210373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0.29172760748433163</v>
      </c>
      <c r="DH151" s="21">
        <f>EXP(-LN(2)/2)*DH150+(1-EXP(-LN(2)/2))/(LN(2)/2)*DB151*DE151*VLOOKUP('Données projet'!$B$13,Paramètres!$A$1:$I$89,3,0)*0.475*44/12</f>
        <v>1.7204145395926947E-17</v>
      </c>
      <c r="DI151" s="22">
        <f t="shared" si="123"/>
        <v>0.29172760748433163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-8.5265128291212022E-14</v>
      </c>
      <c r="DP151" s="17">
        <f>DO151*VLOOKUP('Données projet'!$B$14,Paramètres!$A$1:$I$89,3,0)*VLOOKUP('Données projet'!$B$14,Paramètres!$A$1:$I$89,5,0)</f>
        <v>-7.7147888077888636E-14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225.28075317732998</v>
      </c>
      <c r="DU151" s="59">
        <f t="shared" si="152"/>
        <v>358.43407531256207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0.21678518928587495</v>
      </c>
      <c r="EB151" s="21">
        <f>EXP(-LN(2)/25)*EB150+(1-EXP(-LN(2)/25))/(LN(2)/25)*Calculateur!DW151*Calculateur!DY151*VLOOKUP('Données projet'!$B$14,Paramètres!$A$1:$I$89,3,0)*0.475*44/12</f>
        <v>0.31387152826113196</v>
      </c>
      <c r="EC151" s="21">
        <f>EXP(-LN(2)/2)*EC150+(1-EXP(-LN(2)/2))/(LN(2)/2)*DW151*DZ151*VLOOKUP('Données projet'!$B$14,Paramètres!$A$1:$I$89,3,0)*0.475*44/12</f>
        <v>7.6571060515949537E-18</v>
      </c>
      <c r="ED151" s="22">
        <f t="shared" si="126"/>
        <v>0.53065671754700694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7.2314102564102543</v>
      </c>
      <c r="EJ151" s="12">
        <f>IF('Données projet'!$A$192&gt;35,EJ150+EI151-ER150,IF(A151&lt;'Données projet'!$A$192,$EG$205^A151,IF(A151='Données projet'!$A$192,'Données projet'!$B$192,EJ150+EI151-ER150)))</f>
        <v>439.09487179487104</v>
      </c>
      <c r="EK151" s="17">
        <f>EJ151*VLOOKUP('Données projet'!$B$15,Paramètres!$A$1:$I$89,3,0)*VLOOKUP('Données projet'!$B$15,Paramètres!$A$1:$I$89,5,0)</f>
        <v>445.24219999999923</v>
      </c>
      <c r="EL151" s="13">
        <f t="shared" si="153"/>
        <v>100.89084820085311</v>
      </c>
      <c r="EM151" s="20">
        <f t="shared" si="127"/>
        <v>951.18172561648464</v>
      </c>
      <c r="EN151" s="59">
        <f t="shared" si="128"/>
        <v>1244.515058949818</v>
      </c>
      <c r="EO151" s="59">
        <f ca="1">AVERAGE(OFFSET($EN$3,0,0,'Données projet'!$E$15+1,1))-AVERAGE(OFFSET($H$3,0,0,'Données projet'!$E$15+1,1))</f>
        <v>363.98308691765931</v>
      </c>
      <c r="EP151" s="59">
        <f t="shared" si="154"/>
        <v>181.47089407988187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7.2314102564102543</v>
      </c>
      <c r="FE151" s="12">
        <f>IF('Données projet'!$A$218&gt;35,FE150+FD151-FM150,IF(A151&lt;'Données projet'!$A$218,$FB$205^A151,IF(A151='Données projet'!$A$218,'Données projet'!$B$218,FE150+FD151-FM150)))</f>
        <v>439.09487179487104</v>
      </c>
      <c r="FF151" s="17">
        <f>FE151*VLOOKUP('Données projet'!$B$16,Paramètres!$A$1:$I$89,3,0)*VLOOKUP('Données projet'!$B$16,Paramètres!$A$1:$I$89,5,0)</f>
        <v>472.64171999999917</v>
      </c>
      <c r="FG151" s="13">
        <f t="shared" si="155"/>
        <v>106.35761447587369</v>
      </c>
      <c r="FH151" s="20">
        <f t="shared" si="130"/>
        <v>1008.4238408788119</v>
      </c>
      <c r="FI151" s="59">
        <f t="shared" si="131"/>
        <v>1301.7571742121452</v>
      </c>
      <c r="FJ151" s="59">
        <f ca="1">AVERAGE(OFFSET($FI$3,0,0,'Données projet'!$E$16+1,1))-AVERAGE(OFFSET($H$3,0,0,'Données projet'!$E$16+1,1))</f>
        <v>395.30533160963489</v>
      </c>
      <c r="FK151" s="59">
        <f t="shared" si="156"/>
        <v>196.02102977695085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227.99999999999986</v>
      </c>
      <c r="GA151" s="17">
        <f>FZ151*VLOOKUP('Données projet'!$B$17,Paramètres!$A$1:$I$89,3,0)*VLOOKUP('Données projet'!$B$17,Paramètres!$A$1:$I$89,5,0)</f>
        <v>238.30559999999986</v>
      </c>
      <c r="GB151" s="13">
        <f t="shared" si="157"/>
        <v>58.074821878967043</v>
      </c>
      <c r="GC151" s="20">
        <f t="shared" si="133"/>
        <v>516.19590143920061</v>
      </c>
      <c r="GD151" s="59">
        <f t="shared" si="134"/>
        <v>809.52923477253398</v>
      </c>
      <c r="GE151" s="59">
        <f ca="1">AVERAGE(OFFSET($GD$3,0,0,'Données projet'!$E$17+1,1))-AVERAGE(OFFSET($H$3,0,0,'Données projet'!$E$17+1,1))</f>
        <v>269.41185214595805</v>
      </c>
      <c r="GF151" s="59">
        <f t="shared" si="158"/>
        <v>299.70148160580993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0.61274442255387906</v>
      </c>
      <c r="GM151" s="21">
        <f>EXP(-LN(2)/25)*GM150+(1-EXP(-LN(2)/25))/(LN(2)/25)*Calculateur!GH151*Calculateur!GJ151*VLOOKUP('Données projet'!$B$17,Paramètres!$A$1:$I$89,3,0)*0.475*44/12</f>
        <v>0.61557631971372628</v>
      </c>
      <c r="GN151" s="21">
        <f>EXP(-LN(2)/2)*GN150+(1-EXP(-LN(2)/2))/(LN(2)/2)*GH151*GK151*VLOOKUP('Données projet'!$B$17,Paramètres!$A$1:$I$89,3,0)*0.475*44/12</f>
        <v>3.3148255951481561E-17</v>
      </c>
      <c r="GO151" s="21">
        <f t="shared" si="135"/>
        <v>1.2283207422676052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5.6843418860808015E-14</v>
      </c>
      <c r="GV151" s="17">
        <f>GU151*VLOOKUP('Données projet'!$B$18,Paramètres!$A$1:$I$89,3,0)*VLOOKUP('Données projet'!$B$18,Paramètres!$A$1:$I$89,5,0)</f>
        <v>4.9658410716801891E-14</v>
      </c>
      <c r="GW151" s="13">
        <f t="shared" si="159"/>
        <v>8.0934058173791862E-13</v>
      </c>
      <c r="GX151" s="20">
        <f t="shared" si="136"/>
        <v>1.4960899118586383E-12</v>
      </c>
      <c r="GY151" s="59">
        <f t="shared" si="137"/>
        <v>293.33333333333479</v>
      </c>
      <c r="GZ151" s="59">
        <f ca="1">AVERAGE(OFFSET($GY$3,0,0,'Données projet'!$E$18+1,1))-AVERAGE(OFFSET($H$3,0,0,'Données projet'!$E$18+1,1))</f>
        <v>226.35975611953359</v>
      </c>
      <c r="HA151" s="59">
        <f t="shared" si="160"/>
        <v>271.65876694892461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0.42842530381667326</v>
      </c>
      <c r="HI151" s="21">
        <f>EXP(-LN(2)/2)*HI150+(1-EXP(-LN(2)/2))/(LN(2)/2)*HC151*HF151*VLOOKUP('Données projet'!$B$18,Paramètres!$A$1:$I$89,3,0)*0.475*44/12</f>
        <v>2.0498556216423591E-17</v>
      </c>
      <c r="HJ151" s="22">
        <f t="shared" si="138"/>
        <v>0.42842530381667326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7.2314102564102543</v>
      </c>
      <c r="N152" s="13">
        <f>IF('Données projet'!$A$36&gt;35,N151+M152-V151,IF(A152&lt;'Données projet'!$A$36,$K$205^A152,IF(A152='Données projet'!$A$36,'Données projet'!$B$36,N151+M152-V151)))</f>
        <v>446.32628205128128</v>
      </c>
      <c r="O152" s="13">
        <f>N152*VLOOKUP('Données projet'!$B$9,Paramètres!$A$1:$I$89,3,0)*VLOOKUP('Données projet'!$B$9,Paramètres!$A$1:$I$89,5,0)</f>
        <v>403.83601999999928</v>
      </c>
      <c r="P152" s="13">
        <f t="shared" si="141"/>
        <v>92.553926884983895</v>
      </c>
      <c r="Q152" s="20">
        <f t="shared" si="108"/>
        <v>864.54582415801235</v>
      </c>
      <c r="R152" s="59">
        <f t="shared" si="109"/>
        <v>1157.8791574913457</v>
      </c>
      <c r="S152" s="59">
        <f ca="1">AVERAGE(OFFSET($R$3,0,0,'Données projet'!$E$9+1,1))-AVERAGE(OFFSET($H$3,0,0,'Données projet'!$E$9+1,1))</f>
        <v>309.07357540707869</v>
      </c>
      <c r="T152" s="59">
        <f t="shared" si="142"/>
        <v>155.9593924683299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227.99999999999986</v>
      </c>
      <c r="AJ152" s="13">
        <f>AI152*VLOOKUP('Données projet'!$B$10,Paramètres!$A$1:$I$89,3,0)*VLOOKUP('Données projet'!$B$10,Paramètres!$A$1:$I$89,5,0)</f>
        <v>199.18079999999992</v>
      </c>
      <c r="AK152" s="13">
        <f t="shared" si="143"/>
        <v>49.564089376413683</v>
      </c>
      <c r="AL152" s="20">
        <f t="shared" si="112"/>
        <v>433.23068233058694</v>
      </c>
      <c r="AM152" s="59">
        <f t="shared" si="113"/>
        <v>726.56401566392026</v>
      </c>
      <c r="AN152" s="59">
        <f ca="1">AVERAGE(OFFSET($AM$3,0,0,'Données projet'!$E$10+1,1))-AVERAGE(OFFSET($H$3,0,0,'Données projet'!$E$10+1,1))</f>
        <v>210.07838338464626</v>
      </c>
      <c r="AO152" s="59">
        <f t="shared" si="144"/>
        <v>241.76003724236273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0.50210174891385595</v>
      </c>
      <c r="AV152" s="21">
        <f>EXP(-LN(2)/25)*AV151+(1-EXP(-LN(2)/25))/(LN(2)/25)*Calculateur!AQ152*Calculateur!AS152*VLOOKUP('Données projet'!$B$10,Paramètres!$A$1:$I$89,3,0)*0.475*44/12</f>
        <v>0.50044220539173945</v>
      </c>
      <c r="AW152" s="21">
        <f>EXP(-LN(2)/2)*AW151+(1-EXP(-LN(2)/2))/(LN(2)/2)*AQ152*AT152*VLOOKUP('Données projet'!$B$10,Paramètres!$A$1:$I$89,3,0)*0.475*44/12</f>
        <v>1.9591103996967284E-17</v>
      </c>
      <c r="AX152" s="21">
        <f t="shared" si="114"/>
        <v>1.0025439543055954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2.2737367544323206E-13</v>
      </c>
      <c r="BE152" s="13">
        <f>BD152*VLOOKUP('Données projet'!$B$11,Paramètres!$A$1:$I$89,3,0)*VLOOKUP('Données projet'!$B$11,Paramètres!$A$1:$I$89,5,0)</f>
        <v>1.2414602679200471E-13</v>
      </c>
      <c r="BF152" s="13">
        <f t="shared" si="145"/>
        <v>1.8186582995804361E-12</v>
      </c>
      <c r="BG152" s="20">
        <f t="shared" si="115"/>
        <v>3.3837175350986671E-12</v>
      </c>
      <c r="BH152" s="59">
        <f t="shared" si="116"/>
        <v>293.33333333333672</v>
      </c>
      <c r="BI152" s="59">
        <f ca="1">AVERAGE(OFFSET($BH$3,0,0,'Données projet'!$E$11+1,1))-AVERAGE(OFFSET($H$3,0,0,'Données projet'!$E$11+1,1))</f>
        <v>168.72306536277267</v>
      </c>
      <c r="BJ152" s="59">
        <f t="shared" si="146"/>
        <v>203.35476578922339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0.28818296430599444</v>
      </c>
      <c r="BQ152" s="21">
        <f>EXP(-LN(2)/25)*BQ151+(1-EXP(-LN(2)/25))/(LN(2)/25)*Calculateur!BL152*Calculateur!BN152*VLOOKUP('Données projet'!$B$11,Paramètres!$A$1:$I$89,3,0)*0.475*44/12</f>
        <v>0.8482856802838713</v>
      </c>
      <c r="BR152" s="21">
        <f>EXP(-LN(2)/2)*BR151+(1-EXP(-LN(2)/2))/(LN(2)/2)*BL152*BO152*VLOOKUP('Données projet'!$B$11,Paramètres!$A$1:$I$89,3,0)*0.475*44/12</f>
        <v>2.4561945761861672E-17</v>
      </c>
      <c r="BS152" s="22">
        <f t="shared" si="117"/>
        <v>1.1364686445898657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3.4106051316484809E-13</v>
      </c>
      <c r="BZ152" s="13">
        <f>BY152*VLOOKUP('Données projet'!$B$12,Paramètres!$A$1:$I$89,3,0)*VLOOKUP('Données projet'!$B$12,Paramètres!$A$1:$I$89,5,0)</f>
        <v>1.5961632016114892E-13</v>
      </c>
      <c r="CA152" s="13">
        <f t="shared" si="147"/>
        <v>2.2708641912150958E-12</v>
      </c>
      <c r="CB152" s="20">
        <f t="shared" si="118"/>
        <v>4.2330868906469593E-12</v>
      </c>
      <c r="CC152" s="59">
        <f t="shared" si="119"/>
        <v>293.33333333333752</v>
      </c>
      <c r="CD152" s="59">
        <f ca="1">AVERAGE(OFFSET($CC$3,0,0,'Données projet'!$E$12+1,1))-AVERAGE(OFFSET($H$3,0,0,'Données projet'!$E$12+1,1))</f>
        <v>158.58786357608489</v>
      </c>
      <c r="CE152" s="59">
        <f t="shared" si="148"/>
        <v>163.20074068819849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4.1677594708744434E-14</v>
      </c>
      <c r="CV152" s="13">
        <f t="shared" si="149"/>
        <v>6.9326303456159188E-13</v>
      </c>
      <c r="CW152" s="20">
        <f t="shared" si="121"/>
        <v>1.2800215959791691E-12</v>
      </c>
      <c r="CX152" s="59">
        <f t="shared" si="122"/>
        <v>293.33333333333462</v>
      </c>
      <c r="CY152" s="59">
        <f ca="1">AVERAGE(OFFSET($CX$3,0,0,'Données projet'!$E$13+1,1))-AVERAGE(OFFSET($H$3,0,0,'Données projet'!$E$13+1,1))</f>
        <v>178.12968684094687</v>
      </c>
      <c r="CZ152" s="59">
        <f t="shared" si="150"/>
        <v>219.36004077210373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0.28375030071638446</v>
      </c>
      <c r="DH152" s="21">
        <f>EXP(-LN(2)/2)*DH151+(1-EXP(-LN(2)/2))/(LN(2)/2)*DB152*DE152*VLOOKUP('Données projet'!$B$13,Paramètres!$A$1:$I$89,3,0)*0.475*44/12</f>
        <v>1.2165167873979265E-17</v>
      </c>
      <c r="DI152" s="22">
        <f t="shared" si="123"/>
        <v>0.28375030071638446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-8.5265128291212022E-14</v>
      </c>
      <c r="DP152" s="17">
        <f>DO152*VLOOKUP('Données projet'!$B$14,Paramètres!$A$1:$I$89,3,0)*VLOOKUP('Données projet'!$B$14,Paramètres!$A$1:$I$89,5,0)</f>
        <v>-7.7147888077888636E-14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225.28075317732998</v>
      </c>
      <c r="DU152" s="59">
        <f t="shared" si="152"/>
        <v>358.43407531256207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0.21253416394988819</v>
      </c>
      <c r="EB152" s="21">
        <f>EXP(-LN(2)/25)*EB151+(1-EXP(-LN(2)/25))/(LN(2)/25)*Calculateur!DW152*Calculateur!DY152*VLOOKUP('Données projet'!$B$14,Paramètres!$A$1:$I$89,3,0)*0.475*44/12</f>
        <v>0.305288694815045</v>
      </c>
      <c r="EC152" s="21">
        <f>EXP(-LN(2)/2)*EC151+(1-EXP(-LN(2)/2))/(LN(2)/2)*DW152*DZ152*VLOOKUP('Données projet'!$B$14,Paramètres!$A$1:$I$89,3,0)*0.475*44/12</f>
        <v>5.4143916133473418E-18</v>
      </c>
      <c r="ED152" s="22">
        <f t="shared" si="126"/>
        <v>0.51782285876493317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7.2314102564102543</v>
      </c>
      <c r="EJ152" s="12">
        <f>IF('Données projet'!$A$192&gt;35,EJ151+EI152-ER151,IF(A152&lt;'Données projet'!$A$192,$EG$205^A152,IF(A152='Données projet'!$A$192,'Données projet'!$B$192,EJ151+EI152-ER151)))</f>
        <v>446.32628205128128</v>
      </c>
      <c r="EK152" s="17">
        <f>EJ152*VLOOKUP('Données projet'!$B$15,Paramètres!$A$1:$I$89,3,0)*VLOOKUP('Données projet'!$B$15,Paramètres!$A$1:$I$89,5,0)</f>
        <v>452.57484999999929</v>
      </c>
      <c r="EL152" s="13">
        <f t="shared" si="153"/>
        <v>102.35760524051102</v>
      </c>
      <c r="EM152" s="20">
        <f t="shared" si="127"/>
        <v>966.50735954388858</v>
      </c>
      <c r="EN152" s="59">
        <f t="shared" si="128"/>
        <v>1259.840692877222</v>
      </c>
      <c r="EO152" s="59">
        <f ca="1">AVERAGE(OFFSET($EN$3,0,0,'Données projet'!$E$15+1,1))-AVERAGE(OFFSET($H$3,0,0,'Données projet'!$E$15+1,1))</f>
        <v>363.98308691765931</v>
      </c>
      <c r="EP152" s="59">
        <f t="shared" si="154"/>
        <v>181.47089407988187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7.2314102564102543</v>
      </c>
      <c r="FE152" s="12">
        <f>IF('Données projet'!$A$218&gt;35,FE151+FD152-FM151,IF(A152&lt;'Données projet'!$A$218,$FB$205^A152,IF(A152='Données projet'!$A$218,'Données projet'!$B$218,FE151+FD152-FM151)))</f>
        <v>446.32628205128128</v>
      </c>
      <c r="FF152" s="17">
        <f>FE152*VLOOKUP('Données projet'!$B$16,Paramètres!$A$1:$I$89,3,0)*VLOOKUP('Données projet'!$B$16,Paramètres!$A$1:$I$89,5,0)</f>
        <v>480.42560999999915</v>
      </c>
      <c r="FG152" s="13">
        <f t="shared" si="155"/>
        <v>107.90384768270681</v>
      </c>
      <c r="FH152" s="20">
        <f t="shared" si="130"/>
        <v>1024.6738054640462</v>
      </c>
      <c r="FI152" s="59">
        <f t="shared" si="131"/>
        <v>1318.0071387973794</v>
      </c>
      <c r="FJ152" s="59">
        <f ca="1">AVERAGE(OFFSET($FI$3,0,0,'Données projet'!$E$16+1,1))-AVERAGE(OFFSET($H$3,0,0,'Données projet'!$E$16+1,1))</f>
        <v>395.30533160963489</v>
      </c>
      <c r="FK152" s="59">
        <f t="shared" si="156"/>
        <v>196.02102977695085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227.99999999999986</v>
      </c>
      <c r="GA152" s="17">
        <f>FZ152*VLOOKUP('Données projet'!$B$17,Paramètres!$A$1:$I$89,3,0)*VLOOKUP('Données projet'!$B$17,Paramètres!$A$1:$I$89,5,0)</f>
        <v>238.30559999999986</v>
      </c>
      <c r="GB152" s="13">
        <f t="shared" si="157"/>
        <v>58.074821878967043</v>
      </c>
      <c r="GC152" s="20">
        <f t="shared" si="133"/>
        <v>516.19590143920061</v>
      </c>
      <c r="GD152" s="59">
        <f t="shared" si="134"/>
        <v>809.52923477253398</v>
      </c>
      <c r="GE152" s="59">
        <f ca="1">AVERAGE(OFFSET($GD$3,0,0,'Données projet'!$E$17+1,1))-AVERAGE(OFFSET($H$3,0,0,'Données projet'!$E$17+1,1))</f>
        <v>269.41185214595805</v>
      </c>
      <c r="GF152" s="59">
        <f t="shared" si="158"/>
        <v>299.70148160580993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0.60072887816479181</v>
      </c>
      <c r="GM152" s="21">
        <f>EXP(-LN(2)/25)*GM151+(1-EXP(-LN(2)/25))/(LN(2)/25)*Calculateur!GH152*Calculateur!GJ152*VLOOKUP('Données projet'!$B$17,Paramètres!$A$1:$I$89,3,0)*0.475*44/12</f>
        <v>0.59874335287940272</v>
      </c>
      <c r="GN152" s="21">
        <f>EXP(-LN(2)/2)*GN151+(1-EXP(-LN(2)/2))/(LN(2)/2)*GH152*GK152*VLOOKUP('Données projet'!$B$17,Paramètres!$A$1:$I$89,3,0)*0.475*44/12</f>
        <v>2.3439356567799944E-17</v>
      </c>
      <c r="GO152" s="21">
        <f t="shared" si="135"/>
        <v>1.1994722310441945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5.6843418860808015E-14</v>
      </c>
      <c r="GV152" s="17">
        <f>GU152*VLOOKUP('Données projet'!$B$18,Paramètres!$A$1:$I$89,3,0)*VLOOKUP('Données projet'!$B$18,Paramètres!$A$1:$I$89,5,0)</f>
        <v>4.9658410716801891E-14</v>
      </c>
      <c r="GW152" s="13">
        <f t="shared" si="159"/>
        <v>8.0934058173791862E-13</v>
      </c>
      <c r="GX152" s="20">
        <f t="shared" si="136"/>
        <v>1.4960899118586383E-12</v>
      </c>
      <c r="GY152" s="59">
        <f t="shared" si="137"/>
        <v>293.33333333333479</v>
      </c>
      <c r="GZ152" s="59">
        <f ca="1">AVERAGE(OFFSET($GY$3,0,0,'Données projet'!$E$18+1,1))-AVERAGE(OFFSET($H$3,0,0,'Données projet'!$E$18+1,1))</f>
        <v>226.35975611953359</v>
      </c>
      <c r="HA152" s="59">
        <f t="shared" si="160"/>
        <v>271.65876694892461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0.4167099913538988</v>
      </c>
      <c r="HI152" s="21">
        <f>EXP(-LN(2)/2)*HI151+(1-EXP(-LN(2)/2))/(LN(2)/2)*HC152*HF152*VLOOKUP('Données projet'!$B$18,Paramètres!$A$1:$I$89,3,0)*0.475*44/12</f>
        <v>1.449466810516678E-17</v>
      </c>
      <c r="HJ152" s="22">
        <f t="shared" si="138"/>
        <v>0.4167099913538988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453.55769230769226</v>
      </c>
      <c r="L153" s="12">
        <f>VLOOKUP(A153,'Données projet'!$A$35:$I$55,9,0)</f>
        <v>7.2314102564102543</v>
      </c>
      <c r="M153" s="12">
        <f t="array" ref="M153">INDEX(L:L,MIN(IF(ISNUMBER(L153:L349),ROW(L153:L349),"")))</f>
        <v>7.2314102564102543</v>
      </c>
      <c r="N153" s="13">
        <f>IF('Données projet'!$A$36&gt;35,N152+M153-V152,IF(A153&lt;'Données projet'!$A$36,$K$205^A153,IF(A153='Données projet'!$A$36,'Données projet'!$B$36,N152+M153-V152)))</f>
        <v>453.55769230769153</v>
      </c>
      <c r="O153" s="13">
        <f>N153*VLOOKUP('Données projet'!$B$9,Paramètres!$A$1:$I$89,3,0)*VLOOKUP('Données projet'!$B$9,Paramètres!$A$1:$I$89,5,0)</f>
        <v>410.37899999999928</v>
      </c>
      <c r="P153" s="13">
        <f t="shared" si="141"/>
        <v>93.877700837644795</v>
      </c>
      <c r="Q153" s="20">
        <f t="shared" si="108"/>
        <v>878.24708729223005</v>
      </c>
      <c r="R153" s="59">
        <f t="shared" si="109"/>
        <v>1171.5804206255634</v>
      </c>
      <c r="S153" s="59">
        <f ca="1">AVERAGE(OFFSET($R$3,0,0,'Données projet'!$E$9+1,1))-AVERAGE(OFFSET($H$3,0,0,'Données projet'!$E$9+1,1))</f>
        <v>309.07357540707869</v>
      </c>
      <c r="T153" s="59">
        <f t="shared" si="142"/>
        <v>155.9593924683299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178.72435897435898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227.99999999999986</v>
      </c>
      <c r="AJ153" s="13">
        <f>AI153*VLOOKUP('Données projet'!$B$10,Paramètres!$A$1:$I$89,3,0)*VLOOKUP('Données projet'!$B$10,Paramètres!$A$1:$I$89,5,0)</f>
        <v>199.18079999999992</v>
      </c>
      <c r="AK153" s="13">
        <f t="shared" si="143"/>
        <v>49.564089376413683</v>
      </c>
      <c r="AL153" s="20">
        <f t="shared" si="112"/>
        <v>433.23068233058694</v>
      </c>
      <c r="AM153" s="59">
        <f t="shared" si="113"/>
        <v>726.56401566392026</v>
      </c>
      <c r="AN153" s="59">
        <f ca="1">AVERAGE(OFFSET($AM$3,0,0,'Données projet'!$E$10+1,1))-AVERAGE(OFFSET($H$3,0,0,'Données projet'!$E$10+1,1))</f>
        <v>210.07838338464626</v>
      </c>
      <c r="AO153" s="59">
        <f t="shared" si="144"/>
        <v>241.76003724236273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0.49225583986948224</v>
      </c>
      <c r="AV153" s="21">
        <f>EXP(-LN(2)/25)*AV152+(1-EXP(-LN(2)/25))/(LN(2)/25)*Calculateur!AQ153*Calculateur!AS153*VLOOKUP('Données projet'!$B$10,Paramètres!$A$1:$I$89,3,0)*0.475*44/12</f>
        <v>0.48675758696819055</v>
      </c>
      <c r="AW153" s="21">
        <f>EXP(-LN(2)/2)*AW152+(1-EXP(-LN(2)/2))/(LN(2)/2)*AQ153*AT153*VLOOKUP('Données projet'!$B$10,Paramètres!$A$1:$I$89,3,0)*0.475*44/12</f>
        <v>1.3853002487186443E-17</v>
      </c>
      <c r="AX153" s="21">
        <f t="shared" si="114"/>
        <v>0.97901342683767278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2.2737367544323206E-13</v>
      </c>
      <c r="BE153" s="13">
        <f>BD153*VLOOKUP('Données projet'!$B$11,Paramètres!$A$1:$I$89,3,0)*VLOOKUP('Données projet'!$B$11,Paramètres!$A$1:$I$89,5,0)</f>
        <v>1.2414602679200471E-13</v>
      </c>
      <c r="BF153" s="13">
        <f t="shared" si="145"/>
        <v>1.8186582995804361E-12</v>
      </c>
      <c r="BG153" s="20">
        <f t="shared" si="115"/>
        <v>3.3837175350986671E-12</v>
      </c>
      <c r="BH153" s="59">
        <f t="shared" si="116"/>
        <v>293.33333333333672</v>
      </c>
      <c r="BI153" s="59">
        <f ca="1">AVERAGE(OFFSET($BH$3,0,0,'Données projet'!$E$11+1,1))-AVERAGE(OFFSET($H$3,0,0,'Données projet'!$E$11+1,1))</f>
        <v>168.72306536277267</v>
      </c>
      <c r="BJ153" s="59">
        <f t="shared" si="146"/>
        <v>203.35476578922339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0.28253187215020586</v>
      </c>
      <c r="BQ153" s="21">
        <f>EXP(-LN(2)/25)*BQ152+(1-EXP(-LN(2)/25))/(LN(2)/25)*Calculateur!BL153*Calculateur!BN153*VLOOKUP('Données projet'!$B$11,Paramètres!$A$1:$I$89,3,0)*0.475*44/12</f>
        <v>0.82508926374710367</v>
      </c>
      <c r="BR153" s="21">
        <f>EXP(-LN(2)/2)*BR152+(1-EXP(-LN(2)/2))/(LN(2)/2)*BL153*BO153*VLOOKUP('Données projet'!$B$11,Paramètres!$A$1:$I$89,3,0)*0.475*44/12</f>
        <v>1.7367918407348569E-17</v>
      </c>
      <c r="BS153" s="22">
        <f t="shared" si="117"/>
        <v>1.1076211358973096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3.4106051316484809E-13</v>
      </c>
      <c r="BZ153" s="13">
        <f>BY153*VLOOKUP('Données projet'!$B$12,Paramètres!$A$1:$I$89,3,0)*VLOOKUP('Données projet'!$B$12,Paramètres!$A$1:$I$89,5,0)</f>
        <v>1.5961632016114892E-13</v>
      </c>
      <c r="CA153" s="13">
        <f t="shared" si="147"/>
        <v>2.2708641912150958E-12</v>
      </c>
      <c r="CB153" s="20">
        <f t="shared" si="118"/>
        <v>4.2330868906469593E-12</v>
      </c>
      <c r="CC153" s="59">
        <f t="shared" si="119"/>
        <v>293.33333333333752</v>
      </c>
      <c r="CD153" s="59">
        <f ca="1">AVERAGE(OFFSET($CC$3,0,0,'Données projet'!$E$12+1,1))-AVERAGE(OFFSET($H$3,0,0,'Données projet'!$E$12+1,1))</f>
        <v>158.58786357608489</v>
      </c>
      <c r="CE153" s="59">
        <f t="shared" si="148"/>
        <v>163.20074068819849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4.1677594708744434E-14</v>
      </c>
      <c r="CV153" s="13">
        <f t="shared" si="149"/>
        <v>6.9326303456159188E-13</v>
      </c>
      <c r="CW153" s="20">
        <f t="shared" si="121"/>
        <v>1.2800215959791691E-12</v>
      </c>
      <c r="CX153" s="59">
        <f t="shared" si="122"/>
        <v>293.33333333333462</v>
      </c>
      <c r="CY153" s="59">
        <f ca="1">AVERAGE(OFFSET($CX$3,0,0,'Données projet'!$E$13+1,1))-AVERAGE(OFFSET($H$3,0,0,'Données projet'!$E$13+1,1))</f>
        <v>178.12968684094687</v>
      </c>
      <c r="CZ153" s="59">
        <f t="shared" si="150"/>
        <v>219.36004077210373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0.27599113382151513</v>
      </c>
      <c r="DH153" s="21">
        <f>EXP(-LN(2)/2)*DH152+(1-EXP(-LN(2)/2))/(LN(2)/2)*DB153*DE153*VLOOKUP('Données projet'!$B$13,Paramètres!$A$1:$I$89,3,0)*0.475*44/12</f>
        <v>8.6020726979634734E-18</v>
      </c>
      <c r="DI153" s="22">
        <f t="shared" si="123"/>
        <v>0.27599113382151513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-8.5265128291212022E-14</v>
      </c>
      <c r="DP153" s="17">
        <f>DO153*VLOOKUP('Données projet'!$B$14,Paramètres!$A$1:$I$89,3,0)*VLOOKUP('Données projet'!$B$14,Paramètres!$A$1:$I$89,5,0)</f>
        <v>-7.7147888077888636E-14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225.28075317732998</v>
      </c>
      <c r="DU153" s="59">
        <f t="shared" si="152"/>
        <v>358.43407531256207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0.20836649862787068</v>
      </c>
      <c r="EB153" s="21">
        <f>EXP(-LN(2)/25)*EB152+(1-EXP(-LN(2)/25))/(LN(2)/25)*Calculateur!DW153*Calculateur!DY153*VLOOKUP('Données projet'!$B$14,Paramètres!$A$1:$I$89,3,0)*0.475*44/12</f>
        <v>0.29694055940089287</v>
      </c>
      <c r="EC153" s="21">
        <f>EXP(-LN(2)/2)*EC152+(1-EXP(-LN(2)/2))/(LN(2)/2)*DW153*DZ153*VLOOKUP('Données projet'!$B$14,Paramètres!$A$1:$I$89,3,0)*0.475*44/12</f>
        <v>3.8285530257974769E-18</v>
      </c>
      <c r="ED153" s="22">
        <f t="shared" si="126"/>
        <v>0.50530705802876352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>
        <f>VLOOKUP(A153,'Données projet'!$A$191:$I$211,2,0)</f>
        <v>453.55769230769226</v>
      </c>
      <c r="EH153" s="12">
        <f>VLOOKUP(A153,'Données projet'!$A$191:$I$211,9,0)</f>
        <v>7.2314102564102543</v>
      </c>
      <c r="EI153" s="12">
        <f t="array" ref="EI153">INDEX(EH:EH,MIN(IF(ISNUMBER(EH153:EH349),ROW(EH153:EH349),"")))</f>
        <v>7.2314102564102543</v>
      </c>
      <c r="EJ153" s="12">
        <f>IF('Données projet'!$A$192&gt;35,EJ152+EI153-ER152,IF(A153&lt;'Données projet'!$A$192,$EG$205^A153,IF(A153='Données projet'!$A$192,'Données projet'!$B$192,EJ152+EI153-ER152)))</f>
        <v>453.55769230769153</v>
      </c>
      <c r="EK153" s="17">
        <f>EJ153*VLOOKUP('Données projet'!$B$15,Paramètres!$A$1:$I$89,3,0)*VLOOKUP('Données projet'!$B$15,Paramètres!$A$1:$I$89,5,0)</f>
        <v>459.90749999999923</v>
      </c>
      <c r="EL153" s="13">
        <f t="shared" si="153"/>
        <v>103.82159857104273</v>
      </c>
      <c r="EM153" s="20">
        <f t="shared" si="127"/>
        <v>981.82818001123132</v>
      </c>
      <c r="EN153" s="59">
        <f t="shared" si="128"/>
        <v>1275.1615133445646</v>
      </c>
      <c r="EO153" s="59">
        <f ca="1">AVERAGE(OFFSET($EN$3,0,0,'Données projet'!$E$15+1,1))-AVERAGE(OFFSET($H$3,0,0,'Données projet'!$E$15+1,1))</f>
        <v>363.98308691765931</v>
      </c>
      <c r="EP153" s="59">
        <f t="shared" si="154"/>
        <v>181.47089407988187</v>
      </c>
      <c r="EQ153" s="15">
        <f>IF(ISNA(VLOOKUP(A153,'Données projet'!$A$191:$I$211,3,0)),0,VLOOKUP(A153,'Données projet'!$A$191:$I$211,3,0))</f>
        <v>14</v>
      </c>
      <c r="ER153" s="15">
        <f>IF(ISNA(VLOOKUP(A153,'Données projet'!$A$191:$I$211,4,0)),0,VLOOKUP(A153,'Données projet'!$A$191:$I$211,4,0))</f>
        <v>178.72435897435898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>
        <f>VLOOKUP(A153,'Données projet'!$A$217:$I$237,2,0)</f>
        <v>453.55769230769226</v>
      </c>
      <c r="FC153" s="12">
        <f>VLOOKUP(A153,'Données projet'!$A$217:$I$237,9,0)</f>
        <v>7.2314102564102543</v>
      </c>
      <c r="FD153" s="12">
        <f t="array" ref="FD153">INDEX(FC:FC,MIN(IF(ISNUMBER(FC153:FC349),ROW(FC153:FC349),"")))</f>
        <v>7.2314102564102543</v>
      </c>
      <c r="FE153" s="12">
        <f>IF('Données projet'!$A$218&gt;35,FE152+FD153-FM152,IF(A153&lt;'Données projet'!$A$218,$FB$205^A153,IF(A153='Données projet'!$A$218,'Données projet'!$B$218,FE152+FD153-FM152)))</f>
        <v>453.55769230769153</v>
      </c>
      <c r="FF153" s="17">
        <f>FE153*VLOOKUP('Données projet'!$B$16,Paramètres!$A$1:$I$89,3,0)*VLOOKUP('Données projet'!$B$16,Paramètres!$A$1:$I$89,5,0)</f>
        <v>488.2094999999992</v>
      </c>
      <c r="FG153" s="13">
        <f t="shared" si="155"/>
        <v>109.44716742895339</v>
      </c>
      <c r="FH153" s="20">
        <f t="shared" si="130"/>
        <v>1040.9186957720924</v>
      </c>
      <c r="FI153" s="59">
        <f t="shared" si="131"/>
        <v>1334.2520291054257</v>
      </c>
      <c r="FJ153" s="59">
        <f ca="1">AVERAGE(OFFSET($FI$3,0,0,'Données projet'!$E$16+1,1))-AVERAGE(OFFSET($H$3,0,0,'Données projet'!$E$16+1,1))</f>
        <v>395.30533160963489</v>
      </c>
      <c r="FK153" s="59">
        <f t="shared" si="156"/>
        <v>196.02102977695085</v>
      </c>
      <c r="FL153" s="15">
        <f>IF(ISNA(VLOOKUP(A153,'Données projet'!$A$217:$I$237,3,0)),0,VLOOKUP(A153,'Données projet'!$A$217:$I$237,3,0))</f>
        <v>14</v>
      </c>
      <c r="FM153" s="15">
        <f>IF(ISNA(VLOOKUP(A153,'Données projet'!$A$217:$I$237,4,0)),0,VLOOKUP(A153,'Données projet'!$A$217:$I$237,4,0))</f>
        <v>178.72435897435898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227.99999999999986</v>
      </c>
      <c r="GA153" s="17">
        <f>FZ153*VLOOKUP('Données projet'!$B$17,Paramètres!$A$1:$I$89,3,0)*VLOOKUP('Données projet'!$B$17,Paramètres!$A$1:$I$89,5,0)</f>
        <v>238.30559999999986</v>
      </c>
      <c r="GB153" s="13">
        <f t="shared" si="157"/>
        <v>58.074821878967043</v>
      </c>
      <c r="GC153" s="20">
        <f t="shared" si="133"/>
        <v>516.19590143920061</v>
      </c>
      <c r="GD153" s="59">
        <f t="shared" si="134"/>
        <v>809.52923477253398</v>
      </c>
      <c r="GE153" s="59">
        <f ca="1">AVERAGE(OFFSET($GD$3,0,0,'Données projet'!$E$17+1,1))-AVERAGE(OFFSET($H$3,0,0,'Données projet'!$E$17+1,1))</f>
        <v>269.41185214595805</v>
      </c>
      <c r="GF153" s="59">
        <f t="shared" si="158"/>
        <v>299.70148160580993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0.58894895127241609</v>
      </c>
      <c r="GM153" s="21">
        <f>EXP(-LN(2)/25)*GM152+(1-EXP(-LN(2)/25))/(LN(2)/25)*Calculateur!GH153*Calculateur!GJ153*VLOOKUP('Données projet'!$B$17,Paramètres!$A$1:$I$89,3,0)*0.475*44/12</f>
        <v>0.58237068440837092</v>
      </c>
      <c r="GN153" s="21">
        <f>EXP(-LN(2)/2)*GN152+(1-EXP(-LN(2)/2))/(LN(2)/2)*GH153*GK153*VLOOKUP('Données projet'!$B$17,Paramètres!$A$1:$I$89,3,0)*0.475*44/12</f>
        <v>1.657412797574078E-17</v>
      </c>
      <c r="GO153" s="21">
        <f t="shared" si="135"/>
        <v>1.1713196356807871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5.6843418860808015E-14</v>
      </c>
      <c r="GV153" s="17">
        <f>GU153*VLOOKUP('Données projet'!$B$18,Paramètres!$A$1:$I$89,3,0)*VLOOKUP('Données projet'!$B$18,Paramètres!$A$1:$I$89,5,0)</f>
        <v>4.9658410716801891E-14</v>
      </c>
      <c r="GW153" s="13">
        <f t="shared" si="159"/>
        <v>8.0934058173791862E-13</v>
      </c>
      <c r="GX153" s="20">
        <f t="shared" si="136"/>
        <v>1.4960899118586383E-12</v>
      </c>
      <c r="GY153" s="59">
        <f t="shared" si="137"/>
        <v>293.33333333333479</v>
      </c>
      <c r="GZ153" s="59">
        <f ca="1">AVERAGE(OFFSET($GY$3,0,0,'Données projet'!$E$18+1,1))-AVERAGE(OFFSET($H$3,0,0,'Données projet'!$E$18+1,1))</f>
        <v>226.35975611953359</v>
      </c>
      <c r="HA153" s="59">
        <f t="shared" si="160"/>
        <v>271.65876694892461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0.40531503472650038</v>
      </c>
      <c r="HI153" s="21">
        <f>EXP(-LN(2)/2)*HI152+(1-EXP(-LN(2)/2))/(LN(2)/2)*HC153*HF153*VLOOKUP('Données projet'!$B$18,Paramètres!$A$1:$I$89,3,0)*0.475*44/12</f>
        <v>1.0249278108211796E-17</v>
      </c>
      <c r="HJ153" s="22">
        <f t="shared" si="138"/>
        <v>0.40531503472650038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6.0235042735042912</v>
      </c>
      <c r="N154" s="13">
        <f>IF('Données projet'!$A$36&gt;35,N153+M154-V153,IF(A154&lt;'Données projet'!$A$36,$K$205^A154,IF(A154='Données projet'!$A$36,'Données projet'!$B$36,N153+M154-V153)))</f>
        <v>280.85683760683685</v>
      </c>
      <c r="O154" s="13">
        <f>N154*VLOOKUP('Données projet'!$B$9,Paramètres!$A$1:$I$89,3,0)*VLOOKUP('Données projet'!$B$9,Paramètres!$A$1:$I$89,5,0)</f>
        <v>254.11926666666599</v>
      </c>
      <c r="P154" s="13">
        <f t="shared" si="141"/>
        <v>61.467179070182553</v>
      </c>
      <c r="Q154" s="20">
        <f t="shared" ref="Q154:Q203" si="162">(O154+P154)*0.475*44/12</f>
        <v>549.64639299167777</v>
      </c>
      <c r="R154" s="59">
        <f t="shared" si="109"/>
        <v>842.97972632501114</v>
      </c>
      <c r="S154" s="59">
        <f ca="1">AVERAGE(OFFSET($R$3,0,0,'Données projet'!$E$9+1,1))-AVERAGE(OFFSET($H$3,0,0,'Données projet'!$E$9+1,1))</f>
        <v>309.07357540707869</v>
      </c>
      <c r="T154" s="59">
        <f t="shared" si="142"/>
        <v>155.9593924683299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227.99999999999986</v>
      </c>
      <c r="AJ154" s="13">
        <f>AI154*VLOOKUP('Données projet'!$B$10,Paramètres!$A$1:$I$89,3,0)*VLOOKUP('Données projet'!$B$10,Paramètres!$A$1:$I$89,5,0)</f>
        <v>199.18079999999992</v>
      </c>
      <c r="AK154" s="13">
        <f t="shared" ref="AK154:AK203" si="164">EXP(-1.0587+0.8836*LN(AJ154)+0.284)</f>
        <v>49.564089376413683</v>
      </c>
      <c r="AL154" s="20">
        <f t="shared" ref="AL154:AL203" si="165">(AJ154+AK154)*0.475*44/12</f>
        <v>433.23068233058694</v>
      </c>
      <c r="AM154" s="59">
        <f t="shared" si="113"/>
        <v>726.56401566392026</v>
      </c>
      <c r="AN154" s="59">
        <f ca="1">AVERAGE(OFFSET($AM$3,0,0,'Données projet'!$E$10+1,1))-AVERAGE(OFFSET($H$3,0,0,'Données projet'!$E$10+1,1))</f>
        <v>210.07838338464626</v>
      </c>
      <c r="AO154" s="59">
        <f t="shared" si="144"/>
        <v>241.76003724236273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0.48260300309605714</v>
      </c>
      <c r="AV154" s="21">
        <f>EXP(-LN(2)/25)*AV153+(1-EXP(-LN(2)/25))/(LN(2)/25)*Calculateur!AQ154*Calculateur!AS154*VLOOKUP('Données projet'!$B$10,Paramètres!$A$1:$I$89,3,0)*0.475*44/12</f>
        <v>0.47344717515507639</v>
      </c>
      <c r="AW154" s="21">
        <f>EXP(-LN(2)/2)*AW153+(1-EXP(-LN(2)/2))/(LN(2)/2)*AQ154*AT154*VLOOKUP('Données projet'!$B$10,Paramètres!$A$1:$I$89,3,0)*0.475*44/12</f>
        <v>9.7955519984836437E-18</v>
      </c>
      <c r="AX154" s="21">
        <f t="shared" ref="AX154:AX203" si="166">SUM(AU154:AW154)</f>
        <v>0.95605017825113348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2.2737367544323206E-13</v>
      </c>
      <c r="BE154" s="13">
        <f>BD154*VLOOKUP('Données projet'!$B$11,Paramètres!$A$1:$I$89,3,0)*VLOOKUP('Données projet'!$B$11,Paramètres!$A$1:$I$89,5,0)</f>
        <v>1.2414602679200471E-13</v>
      </c>
      <c r="BF154" s="13">
        <f t="shared" ref="BF154:BF203" si="167">EXP(-1.0587+0.8836*LN(BE154)+0.284)</f>
        <v>1.8186582995804361E-12</v>
      </c>
      <c r="BG154" s="20">
        <f t="shared" ref="BG154:BG203" si="168">(BE154+BF154)*0.475*44/12</f>
        <v>3.3837175350986671E-12</v>
      </c>
      <c r="BH154" s="59">
        <f t="shared" si="116"/>
        <v>293.33333333333672</v>
      </c>
      <c r="BI154" s="59">
        <f ca="1">AVERAGE(OFFSET($BH$3,0,0,'Données projet'!$E$11+1,1))-AVERAGE(OFFSET($H$3,0,0,'Données projet'!$E$11+1,1))</f>
        <v>168.72306536277267</v>
      </c>
      <c r="BJ154" s="59">
        <f t="shared" si="146"/>
        <v>203.35476578922339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0.2769915944647664</v>
      </c>
      <c r="BQ154" s="21">
        <f>EXP(-LN(2)/25)*BQ153+(1-EXP(-LN(2)/25))/(LN(2)/25)*Calculateur!BL154*Calculateur!BN154*VLOOKUP('Données projet'!$B$11,Paramètres!$A$1:$I$89,3,0)*0.475*44/12</f>
        <v>0.80252715444038047</v>
      </c>
      <c r="BR154" s="21">
        <f>EXP(-LN(2)/2)*BR153+(1-EXP(-LN(2)/2))/(LN(2)/2)*BL154*BO154*VLOOKUP('Données projet'!$B$11,Paramètres!$A$1:$I$89,3,0)*0.475*44/12</f>
        <v>1.2280972880930836E-17</v>
      </c>
      <c r="BS154" s="22">
        <f t="shared" ref="BS154:BS203" si="169">SUM(BP154:BR154)</f>
        <v>1.079518748905147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3.4106051316484809E-13</v>
      </c>
      <c r="BZ154" s="13">
        <f>BY154*VLOOKUP('Données projet'!$B$12,Paramètres!$A$1:$I$89,3,0)*VLOOKUP('Données projet'!$B$12,Paramètres!$A$1:$I$89,5,0)</f>
        <v>1.5961632016114892E-13</v>
      </c>
      <c r="CA154" s="13">
        <f t="shared" ref="CA154:CA203" si="170">EXP(-1.0587+0.8836*LN(BZ154)+0.284)</f>
        <v>2.2708641912150958E-12</v>
      </c>
      <c r="CB154" s="20">
        <f t="shared" ref="CB154:CB203" si="171">(BZ154+CA154)*0.475*44/12</f>
        <v>4.2330868906469593E-12</v>
      </c>
      <c r="CC154" s="59">
        <f t="shared" si="119"/>
        <v>293.33333333333752</v>
      </c>
      <c r="CD154" s="59">
        <f ca="1">AVERAGE(OFFSET($CC$3,0,0,'Données projet'!$E$12+1,1))-AVERAGE(OFFSET($H$3,0,0,'Données projet'!$E$12+1,1))</f>
        <v>158.58786357608489</v>
      </c>
      <c r="CE154" s="59">
        <f t="shared" si="148"/>
        <v>163.20074068819849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4.1677594708744434E-14</v>
      </c>
      <c r="CV154" s="13">
        <f t="shared" ref="CV154:CV203" si="173">EXP(-1.0587+0.8836*LN(CU154)+0.284)</f>
        <v>6.9326303456159188E-13</v>
      </c>
      <c r="CW154" s="20">
        <f t="shared" ref="CW154:CW203" si="174">(CU154+CV154)*0.475*44/12</f>
        <v>1.2800215959791691E-12</v>
      </c>
      <c r="CX154" s="59">
        <f t="shared" si="122"/>
        <v>293.33333333333462</v>
      </c>
      <c r="CY154" s="59">
        <f ca="1">AVERAGE(OFFSET($CX$3,0,0,'Données projet'!$E$13+1,1))-AVERAGE(OFFSET($H$3,0,0,'Données projet'!$E$13+1,1))</f>
        <v>178.12968684094687</v>
      </c>
      <c r="CZ154" s="59">
        <f t="shared" si="150"/>
        <v>219.36004077210373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0.26844414175342285</v>
      </c>
      <c r="DH154" s="21">
        <f>EXP(-LN(2)/2)*DH153+(1-EXP(-LN(2)/2))/(LN(2)/2)*DB154*DE154*VLOOKUP('Données projet'!$B$13,Paramètres!$A$1:$I$89,3,0)*0.475*44/12</f>
        <v>6.0825839369896324E-18</v>
      </c>
      <c r="DI154" s="22">
        <f t="shared" ref="DI154:DI203" si="175">SUM(DF154:DH154)</f>
        <v>0.26844414175342285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-8.5265128291212022E-14</v>
      </c>
      <c r="DP154" s="17">
        <f>DO154*VLOOKUP('Données projet'!$B$14,Paramètres!$A$1:$I$89,3,0)*VLOOKUP('Données projet'!$B$14,Paramètres!$A$1:$I$89,5,0)</f>
        <v>-7.7147888077888636E-14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225.28075317732998</v>
      </c>
      <c r="DU154" s="59">
        <f t="shared" si="152"/>
        <v>358.43407531256207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0.20428055868079312</v>
      </c>
      <c r="EB154" s="21">
        <f>EXP(-LN(2)/25)*EB153+(1-EXP(-LN(2)/25))/(LN(2)/25)*Calculateur!DW154*Calculateur!DY154*VLOOKUP('Données projet'!$B$14,Paramètres!$A$1:$I$89,3,0)*0.475*44/12</f>
        <v>0.28882070418865008</v>
      </c>
      <c r="EC154" s="21">
        <f>EXP(-LN(2)/2)*EC153+(1-EXP(-LN(2)/2))/(LN(2)/2)*DW154*DZ154*VLOOKUP('Données projet'!$B$14,Paramètres!$A$1:$I$89,3,0)*0.475*44/12</f>
        <v>2.7071958066736709E-18</v>
      </c>
      <c r="ED154" s="22">
        <f t="shared" ref="ED154:ED203" si="178">SUM(EA154:EC154)</f>
        <v>0.49310126286944322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6.0235042735042912</v>
      </c>
      <c r="EJ154" s="12">
        <f>IF('Données projet'!$A$192&gt;35,EJ153+EI154-ER153,IF(A154&lt;'Données projet'!$A$192,$EG$205^A154,IF(A154='Données projet'!$A$192,'Données projet'!$B$192,EJ153+EI154-ER153)))</f>
        <v>280.85683760683685</v>
      </c>
      <c r="EK154" s="17">
        <f>EJ154*VLOOKUP('Données projet'!$B$15,Paramètres!$A$1:$I$89,3,0)*VLOOKUP('Données projet'!$B$15,Paramètres!$A$1:$I$89,5,0)</f>
        <v>284.7888333333326</v>
      </c>
      <c r="EL154" s="13">
        <f t="shared" ref="EL154:EL203" si="179">EXP(-1.0587+0.8836*LN(EK154)+0.284)</f>
        <v>67.97802602510977</v>
      </c>
      <c r="EM154" s="20">
        <f t="shared" ref="EM154:EM203" si="180">(EK154+EL154)*0.475*44/12</f>
        <v>614.40228004928713</v>
      </c>
      <c r="EN154" s="59">
        <f t="shared" si="128"/>
        <v>907.73561338262039</v>
      </c>
      <c r="EO154" s="59">
        <f ca="1">AVERAGE(OFFSET($EN$3,0,0,'Données projet'!$E$15+1,1))-AVERAGE(OFFSET($H$3,0,0,'Données projet'!$E$15+1,1))</f>
        <v>363.98308691765931</v>
      </c>
      <c r="EP154" s="59">
        <f t="shared" si="154"/>
        <v>181.47089407988187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6.0235042735042912</v>
      </c>
      <c r="FE154" s="12">
        <f>IF('Données projet'!$A$218&gt;35,FE153+FD154-FM153,IF(A154&lt;'Données projet'!$A$218,$FB$205^A154,IF(A154='Données projet'!$A$218,'Données projet'!$B$218,FE153+FD154-FM153)))</f>
        <v>280.85683760683685</v>
      </c>
      <c r="FF154" s="17">
        <f>FE154*VLOOKUP('Données projet'!$B$16,Paramètres!$A$1:$I$89,3,0)*VLOOKUP('Données projet'!$B$16,Paramètres!$A$1:$I$89,5,0)</f>
        <v>302.31429999999921</v>
      </c>
      <c r="FG154" s="13">
        <f t="shared" ref="FG154:FG203" si="182">EXP(-1.0587+0.8836*LN(FF154)+0.284)</f>
        <v>71.661412444626563</v>
      </c>
      <c r="FH154" s="20">
        <f t="shared" ref="FH154:FH203" si="183">(FF154+FG154)*0.475*44/12</f>
        <v>651.34103250772307</v>
      </c>
      <c r="FI154" s="59">
        <f t="shared" si="131"/>
        <v>944.67436584105644</v>
      </c>
      <c r="FJ154" s="59">
        <f ca="1">AVERAGE(OFFSET($FI$3,0,0,'Données projet'!$E$16+1,1))-AVERAGE(OFFSET($H$3,0,0,'Données projet'!$E$16+1,1))</f>
        <v>395.30533160963489</v>
      </c>
      <c r="FK154" s="59">
        <f t="shared" si="156"/>
        <v>196.02102977695085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227.99999999999986</v>
      </c>
      <c r="GA154" s="17">
        <f>FZ154*VLOOKUP('Données projet'!$B$17,Paramètres!$A$1:$I$89,3,0)*VLOOKUP('Données projet'!$B$17,Paramètres!$A$1:$I$89,5,0)</f>
        <v>238.30559999999986</v>
      </c>
      <c r="GB154" s="13">
        <f t="shared" ref="GB154:GB203" si="185">EXP(-1.0587+0.8836*LN(GA154)+0.284)</f>
        <v>58.074821878967043</v>
      </c>
      <c r="GC154" s="20">
        <f t="shared" ref="GC154:GC203" si="186">(GA154+GB154)*0.475*44/12</f>
        <v>516.19590143920061</v>
      </c>
      <c r="GD154" s="59">
        <f t="shared" si="134"/>
        <v>809.52923477253398</v>
      </c>
      <c r="GE154" s="59">
        <f ca="1">AVERAGE(OFFSET($GD$3,0,0,'Données projet'!$E$17+1,1))-AVERAGE(OFFSET($H$3,0,0,'Données projet'!$E$17+1,1))</f>
        <v>269.41185214595805</v>
      </c>
      <c r="GF154" s="59">
        <f t="shared" si="158"/>
        <v>299.70148160580993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0.57740002156135395</v>
      </c>
      <c r="GM154" s="21">
        <f>EXP(-LN(2)/25)*GM153+(1-EXP(-LN(2)/25))/(LN(2)/25)*Calculateur!GH154*Calculateur!GJ154*VLOOKUP('Données projet'!$B$17,Paramètres!$A$1:$I$89,3,0)*0.475*44/12</f>
        <v>0.56644572741768073</v>
      </c>
      <c r="GN154" s="21">
        <f>EXP(-LN(2)/2)*GN153+(1-EXP(-LN(2)/2))/(LN(2)/2)*GH154*GK154*VLOOKUP('Données projet'!$B$17,Paramètres!$A$1:$I$89,3,0)*0.475*44/12</f>
        <v>1.1719678283899972E-17</v>
      </c>
      <c r="GO154" s="21">
        <f t="shared" ref="GO154:GO203" si="187">SUM(GL154:GN154)</f>
        <v>1.1438457489790346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5.6843418860808015E-14</v>
      </c>
      <c r="GV154" s="17">
        <f>GU154*VLOOKUP('Données projet'!$B$18,Paramètres!$A$1:$I$89,3,0)*VLOOKUP('Données projet'!$B$18,Paramètres!$A$1:$I$89,5,0)</f>
        <v>4.9658410716801891E-14</v>
      </c>
      <c r="GW154" s="13">
        <f t="shared" ref="GW154:GW203" si="188">EXP(-1.0587+0.8836*LN(GV154)+0.284)</f>
        <v>8.0934058173791862E-13</v>
      </c>
      <c r="GX154" s="20">
        <f t="shared" ref="GX154:GX203" si="189">(GV154+GW154)*0.475*44/12</f>
        <v>1.4960899118586383E-12</v>
      </c>
      <c r="GY154" s="59">
        <f t="shared" si="137"/>
        <v>293.33333333333479</v>
      </c>
      <c r="GZ154" s="59">
        <f ca="1">AVERAGE(OFFSET($GY$3,0,0,'Données projet'!$E$18+1,1))-AVERAGE(OFFSET($H$3,0,0,'Données projet'!$E$18+1,1))</f>
        <v>226.35975611953359</v>
      </c>
      <c r="HA154" s="59">
        <f t="shared" si="160"/>
        <v>271.65876694892461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0.39423167378731289</v>
      </c>
      <c r="HI154" s="21">
        <f>EXP(-LN(2)/2)*HI153+(1-EXP(-LN(2)/2))/(LN(2)/2)*HC154*HF154*VLOOKUP('Données projet'!$B$18,Paramètres!$A$1:$I$89,3,0)*0.475*44/12</f>
        <v>7.2473340525833898E-18</v>
      </c>
      <c r="HJ154" s="22">
        <f t="shared" ref="HJ154:HJ203" si="190">SUM(HG154:HI154)</f>
        <v>0.39423167378731289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6.0235042735042912</v>
      </c>
      <c r="N155" s="13">
        <f>IF('Données projet'!$A$36&gt;35,N154+M155-V154,IF(A155&lt;'Données projet'!$A$36,$K$205^A155,IF(A155='Données projet'!$A$36,'Données projet'!$B$36,N154+M155-V154)))</f>
        <v>286.88034188034112</v>
      </c>
      <c r="O155" s="13">
        <f>N155*VLOOKUP('Données projet'!$B$9,Paramètres!$A$1:$I$89,3,0)*VLOOKUP('Données projet'!$B$9,Paramètres!$A$1:$I$89,5,0)</f>
        <v>259.56933333333262</v>
      </c>
      <c r="P155" s="13">
        <f t="shared" si="141"/>
        <v>62.63056837113065</v>
      </c>
      <c r="Q155" s="20">
        <f t="shared" si="162"/>
        <v>561.16482880194019</v>
      </c>
      <c r="R155" s="59">
        <f t="shared" si="109"/>
        <v>854.49816213527356</v>
      </c>
      <c r="S155" s="59">
        <f ca="1">AVERAGE(OFFSET($R$3,0,0,'Données projet'!$E$9+1,1))-AVERAGE(OFFSET($H$3,0,0,'Données projet'!$E$9+1,1))</f>
        <v>309.07357540707869</v>
      </c>
      <c r="T155" s="59">
        <f t="shared" si="142"/>
        <v>155.9593924683299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227.99999999999986</v>
      </c>
      <c r="AJ155" s="13">
        <f>AI155*VLOOKUP('Données projet'!$B$10,Paramètres!$A$1:$I$89,3,0)*VLOOKUP('Données projet'!$B$10,Paramètres!$A$1:$I$89,5,0)</f>
        <v>199.18079999999992</v>
      </c>
      <c r="AK155" s="13">
        <f t="shared" si="164"/>
        <v>49.564089376413683</v>
      </c>
      <c r="AL155" s="20">
        <f t="shared" si="165"/>
        <v>433.23068233058694</v>
      </c>
      <c r="AM155" s="59">
        <f t="shared" si="113"/>
        <v>726.56401566392026</v>
      </c>
      <c r="AN155" s="59">
        <f ca="1">AVERAGE(OFFSET($AM$3,0,0,'Données projet'!$E$10+1,1))-AVERAGE(OFFSET($H$3,0,0,'Données projet'!$E$10+1,1))</f>
        <v>210.07838338464626</v>
      </c>
      <c r="AO155" s="59">
        <f t="shared" si="144"/>
        <v>241.76003724236273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0.47313945256410983</v>
      </c>
      <c r="AV155" s="21">
        <f>EXP(-LN(2)/25)*AV154+(1-EXP(-LN(2)/25))/(LN(2)/25)*Calculateur!AQ155*Calculateur!AS155*VLOOKUP('Données projet'!$B$10,Paramètres!$A$1:$I$89,3,0)*0.475*44/12</f>
        <v>0.46050073725295598</v>
      </c>
      <c r="AW155" s="21">
        <f>EXP(-LN(2)/2)*AW154+(1-EXP(-LN(2)/2))/(LN(2)/2)*AQ155*AT155*VLOOKUP('Données projet'!$B$10,Paramètres!$A$1:$I$89,3,0)*0.475*44/12</f>
        <v>6.9265012435932229E-18</v>
      </c>
      <c r="AX155" s="21">
        <f t="shared" si="166"/>
        <v>0.93364018981706587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2.2737367544323206E-13</v>
      </c>
      <c r="BE155" s="13">
        <f>BD155*VLOOKUP('Données projet'!$B$11,Paramètres!$A$1:$I$89,3,0)*VLOOKUP('Données projet'!$B$11,Paramètres!$A$1:$I$89,5,0)</f>
        <v>1.2414602679200471E-13</v>
      </c>
      <c r="BF155" s="13">
        <f t="shared" si="167"/>
        <v>1.8186582995804361E-12</v>
      </c>
      <c r="BG155" s="20">
        <f t="shared" si="168"/>
        <v>3.3837175350986671E-12</v>
      </c>
      <c r="BH155" s="59">
        <f t="shared" si="116"/>
        <v>293.33333333333672</v>
      </c>
      <c r="BI155" s="59">
        <f ca="1">AVERAGE(OFFSET($BH$3,0,0,'Données projet'!$E$11+1,1))-AVERAGE(OFFSET($H$3,0,0,'Données projet'!$E$11+1,1))</f>
        <v>168.72306536277267</v>
      </c>
      <c r="BJ155" s="59">
        <f t="shared" si="146"/>
        <v>203.35476578922339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0.27155995824550272</v>
      </c>
      <c r="BQ155" s="21">
        <f>EXP(-LN(2)/25)*BQ154+(1-EXP(-LN(2)/25))/(LN(2)/25)*Calculateur!BL155*Calculateur!BN155*VLOOKUP('Données projet'!$B$11,Paramètres!$A$1:$I$89,3,0)*0.475*44/12</f>
        <v>0.78058200719913939</v>
      </c>
      <c r="BR155" s="21">
        <f>EXP(-LN(2)/2)*BR154+(1-EXP(-LN(2)/2))/(LN(2)/2)*BL155*BO155*VLOOKUP('Données projet'!$B$11,Paramètres!$A$1:$I$89,3,0)*0.475*44/12</f>
        <v>8.6839592036742847E-18</v>
      </c>
      <c r="BS155" s="22">
        <f t="shared" si="169"/>
        <v>1.0521419654446422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3.4106051316484809E-13</v>
      </c>
      <c r="BZ155" s="13">
        <f>BY155*VLOOKUP('Données projet'!$B$12,Paramètres!$A$1:$I$89,3,0)*VLOOKUP('Données projet'!$B$12,Paramètres!$A$1:$I$89,5,0)</f>
        <v>1.5961632016114892E-13</v>
      </c>
      <c r="CA155" s="13">
        <f t="shared" si="170"/>
        <v>2.2708641912150958E-12</v>
      </c>
      <c r="CB155" s="20">
        <f t="shared" si="171"/>
        <v>4.2330868906469593E-12</v>
      </c>
      <c r="CC155" s="59">
        <f t="shared" si="119"/>
        <v>293.33333333333752</v>
      </c>
      <c r="CD155" s="59">
        <f ca="1">AVERAGE(OFFSET($CC$3,0,0,'Données projet'!$E$12+1,1))-AVERAGE(OFFSET($H$3,0,0,'Données projet'!$E$12+1,1))</f>
        <v>158.58786357608489</v>
      </c>
      <c r="CE155" s="59">
        <f t="shared" si="148"/>
        <v>163.20074068819849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4.1677594708744434E-14</v>
      </c>
      <c r="CV155" s="13">
        <f t="shared" si="173"/>
        <v>6.9326303456159188E-13</v>
      </c>
      <c r="CW155" s="20">
        <f t="shared" si="174"/>
        <v>1.2800215959791691E-12</v>
      </c>
      <c r="CX155" s="59">
        <f t="shared" si="122"/>
        <v>293.33333333333462</v>
      </c>
      <c r="CY155" s="59">
        <f ca="1">AVERAGE(OFFSET($CX$3,0,0,'Données projet'!$E$13+1,1))-AVERAGE(OFFSET($H$3,0,0,'Données projet'!$E$13+1,1))</f>
        <v>178.12968684094687</v>
      </c>
      <c r="CZ155" s="59">
        <f t="shared" si="150"/>
        <v>219.36004077210373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0.26110352258031161</v>
      </c>
      <c r="DH155" s="21">
        <f>EXP(-LN(2)/2)*DH154+(1-EXP(-LN(2)/2))/(LN(2)/2)*DB155*DE155*VLOOKUP('Données projet'!$B$13,Paramètres!$A$1:$I$89,3,0)*0.475*44/12</f>
        <v>4.3010363489817367E-18</v>
      </c>
      <c r="DI155" s="22">
        <f t="shared" si="175"/>
        <v>0.26110352258031161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-8.5265128291212022E-14</v>
      </c>
      <c r="DP155" s="17">
        <f>DO155*VLOOKUP('Données projet'!$B$14,Paramètres!$A$1:$I$89,3,0)*VLOOKUP('Données projet'!$B$14,Paramètres!$A$1:$I$89,5,0)</f>
        <v>-7.7147888077888636E-14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225.28075317732998</v>
      </c>
      <c r="DU155" s="59">
        <f t="shared" si="152"/>
        <v>358.43407531256207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0.20027474152390046</v>
      </c>
      <c r="EB155" s="21">
        <f>EXP(-LN(2)/25)*EB154+(1-EXP(-LN(2)/25))/(LN(2)/25)*Calculateur!DW155*Calculateur!DY155*VLOOKUP('Données projet'!$B$14,Paramètres!$A$1:$I$89,3,0)*0.475*44/12</f>
        <v>0.2809228868441907</v>
      </c>
      <c r="EC155" s="21">
        <f>EXP(-LN(2)/2)*EC154+(1-EXP(-LN(2)/2))/(LN(2)/2)*DW155*DZ155*VLOOKUP('Données projet'!$B$14,Paramètres!$A$1:$I$89,3,0)*0.475*44/12</f>
        <v>1.9142765128987384E-18</v>
      </c>
      <c r="ED155" s="22">
        <f t="shared" si="178"/>
        <v>0.48119762836809116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6.0235042735042912</v>
      </c>
      <c r="EJ155" s="12">
        <f>IF('Données projet'!$A$192&gt;35,EJ154+EI155-ER154,IF(A155&lt;'Données projet'!$A$192,$EG$205^A155,IF(A155='Données projet'!$A$192,'Données projet'!$B$192,EJ154+EI155-ER154)))</f>
        <v>286.88034188034112</v>
      </c>
      <c r="EK155" s="17">
        <f>EJ155*VLOOKUP('Données projet'!$B$15,Paramètres!$A$1:$I$89,3,0)*VLOOKUP('Données projet'!$B$15,Paramètres!$A$1:$I$89,5,0)</f>
        <v>290.89666666666591</v>
      </c>
      <c r="EL155" s="13">
        <f t="shared" si="179"/>
        <v>69.264646126658363</v>
      </c>
      <c r="EM155" s="20">
        <f t="shared" si="180"/>
        <v>627.28095311503967</v>
      </c>
      <c r="EN155" s="59">
        <f t="shared" si="128"/>
        <v>920.61428644837292</v>
      </c>
      <c r="EO155" s="59">
        <f ca="1">AVERAGE(OFFSET($EN$3,0,0,'Données projet'!$E$15+1,1))-AVERAGE(OFFSET($H$3,0,0,'Données projet'!$E$15+1,1))</f>
        <v>363.98308691765931</v>
      </c>
      <c r="EP155" s="59">
        <f t="shared" si="154"/>
        <v>181.47089407988187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6.0235042735042912</v>
      </c>
      <c r="FE155" s="12">
        <f>IF('Données projet'!$A$218&gt;35,FE154+FD155-FM154,IF(A155&lt;'Données projet'!$A$218,$FB$205^A155,IF(A155='Données projet'!$A$218,'Données projet'!$B$218,FE154+FD155-FM154)))</f>
        <v>286.88034188034112</v>
      </c>
      <c r="FF155" s="17">
        <f>FE155*VLOOKUP('Données projet'!$B$16,Paramètres!$A$1:$I$89,3,0)*VLOOKUP('Données projet'!$B$16,Paramètres!$A$1:$I$89,5,0)</f>
        <v>308.79799999999915</v>
      </c>
      <c r="FG155" s="13">
        <f t="shared" si="182"/>
        <v>73.017748001098298</v>
      </c>
      <c r="FH155" s="20">
        <f t="shared" si="183"/>
        <v>664.9957611019114</v>
      </c>
      <c r="FI155" s="59">
        <f t="shared" si="131"/>
        <v>958.32909443524477</v>
      </c>
      <c r="FJ155" s="59">
        <f ca="1">AVERAGE(OFFSET($FI$3,0,0,'Données projet'!$E$16+1,1))-AVERAGE(OFFSET($H$3,0,0,'Données projet'!$E$16+1,1))</f>
        <v>395.30533160963489</v>
      </c>
      <c r="FK155" s="59">
        <f t="shared" si="156"/>
        <v>196.02102977695085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227.99999999999986</v>
      </c>
      <c r="GA155" s="17">
        <f>FZ155*VLOOKUP('Données projet'!$B$17,Paramètres!$A$1:$I$89,3,0)*VLOOKUP('Données projet'!$B$17,Paramètres!$A$1:$I$89,5,0)</f>
        <v>238.30559999999986</v>
      </c>
      <c r="GB155" s="13">
        <f t="shared" si="185"/>
        <v>58.074821878967043</v>
      </c>
      <c r="GC155" s="20">
        <f t="shared" si="186"/>
        <v>516.19590143920061</v>
      </c>
      <c r="GD155" s="59">
        <f t="shared" si="134"/>
        <v>809.52923477253398</v>
      </c>
      <c r="GE155" s="59">
        <f ca="1">AVERAGE(OFFSET($GD$3,0,0,'Données projet'!$E$17+1,1))-AVERAGE(OFFSET($H$3,0,0,'Données projet'!$E$17+1,1))</f>
        <v>269.41185214595805</v>
      </c>
      <c r="GF155" s="59">
        <f t="shared" si="158"/>
        <v>299.70148160580993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0.56607755931777415</v>
      </c>
      <c r="GM155" s="21">
        <f>EXP(-LN(2)/25)*GM154+(1-EXP(-LN(2)/25))/(LN(2)/25)*Calculateur!GH155*Calculateur!GJ155*VLOOKUP('Données projet'!$B$17,Paramètres!$A$1:$I$89,3,0)*0.475*44/12</f>
        <v>0.55095623921335812</v>
      </c>
      <c r="GN155" s="21">
        <f>EXP(-LN(2)/2)*GN154+(1-EXP(-LN(2)/2))/(LN(2)/2)*GH155*GK155*VLOOKUP('Données projet'!$B$17,Paramètres!$A$1:$I$89,3,0)*0.475*44/12</f>
        <v>8.2870639878703902E-18</v>
      </c>
      <c r="GO155" s="21">
        <f t="shared" si="187"/>
        <v>1.1170337985311323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5.6843418860808015E-14</v>
      </c>
      <c r="GV155" s="17">
        <f>GU155*VLOOKUP('Données projet'!$B$18,Paramètres!$A$1:$I$89,3,0)*VLOOKUP('Données projet'!$B$18,Paramètres!$A$1:$I$89,5,0)</f>
        <v>4.9658410716801891E-14</v>
      </c>
      <c r="GW155" s="13">
        <f t="shared" si="188"/>
        <v>8.0934058173791862E-13</v>
      </c>
      <c r="GX155" s="20">
        <f t="shared" si="189"/>
        <v>1.4960899118586383E-12</v>
      </c>
      <c r="GY155" s="59">
        <f t="shared" si="137"/>
        <v>293.33333333333479</v>
      </c>
      <c r="GZ155" s="59">
        <f ca="1">AVERAGE(OFFSET($GY$3,0,0,'Données projet'!$E$18+1,1))-AVERAGE(OFFSET($H$3,0,0,'Données projet'!$E$18+1,1))</f>
        <v>226.35975611953359</v>
      </c>
      <c r="HA155" s="59">
        <f t="shared" si="160"/>
        <v>271.65876694892461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0.38345138793585615</v>
      </c>
      <c r="HI155" s="21">
        <f>EXP(-LN(2)/2)*HI154+(1-EXP(-LN(2)/2))/(LN(2)/2)*HC155*HF155*VLOOKUP('Données projet'!$B$18,Paramètres!$A$1:$I$89,3,0)*0.475*44/12</f>
        <v>5.1246390541058979E-18</v>
      </c>
      <c r="HJ155" s="22">
        <f t="shared" si="190"/>
        <v>0.38345138793585615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292.90384615384613</v>
      </c>
      <c r="L156" s="12">
        <f>VLOOKUP(A156,'Données projet'!$A$35:$I$55,9,0)</f>
        <v>6.0235042735042912</v>
      </c>
      <c r="M156" s="12">
        <f t="array" ref="M156">INDEX(L:L,MIN(IF(ISNUMBER(L156:L352),ROW(L156:L352),"")))</f>
        <v>6.0235042735042912</v>
      </c>
      <c r="N156" s="13">
        <f>IF('Données projet'!$A$36&gt;35,N155+M156-V155,IF(A156&lt;'Données projet'!$A$36,$K$205^A156,IF(A156='Données projet'!$A$36,'Données projet'!$B$36,N155+M156-V155)))</f>
        <v>292.90384615384539</v>
      </c>
      <c r="O156" s="13">
        <f>N156*VLOOKUP('Données projet'!$B$9,Paramètres!$A$1:$I$89,3,0)*VLOOKUP('Données projet'!$B$9,Paramètres!$A$1:$I$89,5,0)</f>
        <v>265.01939999999934</v>
      </c>
      <c r="P156" s="13">
        <f t="shared" si="141"/>
        <v>63.791117598380389</v>
      </c>
      <c r="Q156" s="20">
        <f t="shared" si="162"/>
        <v>572.67831815051125</v>
      </c>
      <c r="R156" s="59">
        <f t="shared" si="109"/>
        <v>866.01165148384462</v>
      </c>
      <c r="S156" s="59">
        <f ca="1">AVERAGE(OFFSET($R$3,0,0,'Données projet'!$E$9+1,1))-AVERAGE(OFFSET($H$3,0,0,'Données projet'!$E$9+1,1))</f>
        <v>309.07357540707869</v>
      </c>
      <c r="T156" s="59">
        <f t="shared" si="142"/>
        <v>155.9593924683299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105.26282051282051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227.99999999999986</v>
      </c>
      <c r="AJ156" s="13">
        <f>AI156*VLOOKUP('Données projet'!$B$10,Paramètres!$A$1:$I$89,3,0)*VLOOKUP('Données projet'!$B$10,Paramètres!$A$1:$I$89,5,0)</f>
        <v>199.18079999999992</v>
      </c>
      <c r="AK156" s="13">
        <f t="shared" si="164"/>
        <v>49.564089376413683</v>
      </c>
      <c r="AL156" s="20">
        <f t="shared" si="165"/>
        <v>433.23068233058694</v>
      </c>
      <c r="AM156" s="59">
        <f t="shared" si="113"/>
        <v>726.56401566392026</v>
      </c>
      <c r="AN156" s="59">
        <f ca="1">AVERAGE(OFFSET($AM$3,0,0,'Données projet'!$E$10+1,1))-AVERAGE(OFFSET($H$3,0,0,'Données projet'!$E$10+1,1))</f>
        <v>210.07838338464626</v>
      </c>
      <c r="AO156" s="59">
        <f t="shared" si="144"/>
        <v>241.76003724236273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0.46386147648589815</v>
      </c>
      <c r="AV156" s="21">
        <f>EXP(-LN(2)/25)*AV155+(1-EXP(-LN(2)/25))/(LN(2)/25)*Calculateur!AQ156*Calculateur!AS156*VLOOKUP('Données projet'!$B$10,Paramètres!$A$1:$I$89,3,0)*0.475*44/12</f>
        <v>0.44790832037609263</v>
      </c>
      <c r="AW156" s="21">
        <f>EXP(-LN(2)/2)*AW155+(1-EXP(-LN(2)/2))/(LN(2)/2)*AQ156*AT156*VLOOKUP('Données projet'!$B$10,Paramètres!$A$1:$I$89,3,0)*0.475*44/12</f>
        <v>4.8977759992418226E-18</v>
      </c>
      <c r="AX156" s="21">
        <f t="shared" si="166"/>
        <v>0.91176979686199078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2.2737367544323206E-13</v>
      </c>
      <c r="BE156" s="13">
        <f>BD156*VLOOKUP('Données projet'!$B$11,Paramètres!$A$1:$I$89,3,0)*VLOOKUP('Données projet'!$B$11,Paramètres!$A$1:$I$89,5,0)</f>
        <v>1.2414602679200471E-13</v>
      </c>
      <c r="BF156" s="13">
        <f t="shared" si="167"/>
        <v>1.8186582995804361E-12</v>
      </c>
      <c r="BG156" s="20">
        <f t="shared" si="168"/>
        <v>3.3837175350986671E-12</v>
      </c>
      <c r="BH156" s="59">
        <f t="shared" si="116"/>
        <v>293.33333333333672</v>
      </c>
      <c r="BI156" s="59">
        <f ca="1">AVERAGE(OFFSET($BH$3,0,0,'Données projet'!$E$11+1,1))-AVERAGE(OFFSET($H$3,0,0,'Données projet'!$E$11+1,1))</f>
        <v>168.72306536277267</v>
      </c>
      <c r="BJ156" s="59">
        <f t="shared" si="146"/>
        <v>203.35476578922339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0.26623483309952783</v>
      </c>
      <c r="BQ156" s="21">
        <f>EXP(-LN(2)/25)*BQ155+(1-EXP(-LN(2)/25))/(LN(2)/25)*Calculateur!BL156*Calculateur!BN156*VLOOKUP('Données projet'!$B$11,Paramètres!$A$1:$I$89,3,0)*0.475*44/12</f>
        <v>0.75923695116325518</v>
      </c>
      <c r="BR156" s="21">
        <f>EXP(-LN(2)/2)*BR155+(1-EXP(-LN(2)/2))/(LN(2)/2)*BL156*BO156*VLOOKUP('Données projet'!$B$11,Paramètres!$A$1:$I$89,3,0)*0.475*44/12</f>
        <v>6.1404864404654181E-18</v>
      </c>
      <c r="BS156" s="22">
        <f t="shared" si="169"/>
        <v>1.025471784262783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3.4106051316484809E-13</v>
      </c>
      <c r="BZ156" s="13">
        <f>BY156*VLOOKUP('Données projet'!$B$12,Paramètres!$A$1:$I$89,3,0)*VLOOKUP('Données projet'!$B$12,Paramètres!$A$1:$I$89,5,0)</f>
        <v>1.5961632016114892E-13</v>
      </c>
      <c r="CA156" s="13">
        <f t="shared" si="170"/>
        <v>2.2708641912150958E-12</v>
      </c>
      <c r="CB156" s="20">
        <f t="shared" si="171"/>
        <v>4.2330868906469593E-12</v>
      </c>
      <c r="CC156" s="59">
        <f t="shared" si="119"/>
        <v>293.33333333333752</v>
      </c>
      <c r="CD156" s="59">
        <f ca="1">AVERAGE(OFFSET($CC$3,0,0,'Données projet'!$E$12+1,1))-AVERAGE(OFFSET($H$3,0,0,'Données projet'!$E$12+1,1))</f>
        <v>158.58786357608489</v>
      </c>
      <c r="CE156" s="59">
        <f t="shared" si="148"/>
        <v>163.20074068819849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4.1677594708744434E-14</v>
      </c>
      <c r="CV156" s="13">
        <f t="shared" si="173"/>
        <v>6.9326303456159188E-13</v>
      </c>
      <c r="CW156" s="20">
        <f t="shared" si="174"/>
        <v>1.2800215959791691E-12</v>
      </c>
      <c r="CX156" s="59">
        <f t="shared" si="122"/>
        <v>293.33333333333462</v>
      </c>
      <c r="CY156" s="59">
        <f ca="1">AVERAGE(OFFSET($CX$3,0,0,'Données projet'!$E$13+1,1))-AVERAGE(OFFSET($H$3,0,0,'Données projet'!$E$13+1,1))</f>
        <v>178.12968684094687</v>
      </c>
      <c r="CZ156" s="59">
        <f t="shared" si="150"/>
        <v>219.36004077210373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0.25396363302451552</v>
      </c>
      <c r="DH156" s="21">
        <f>EXP(-LN(2)/2)*DH155+(1-EXP(-LN(2)/2))/(LN(2)/2)*DB156*DE156*VLOOKUP('Données projet'!$B$13,Paramètres!$A$1:$I$89,3,0)*0.475*44/12</f>
        <v>3.0412919684948162E-18</v>
      </c>
      <c r="DI156" s="22">
        <f t="shared" si="175"/>
        <v>0.25396363302451552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-8.5265128291212022E-14</v>
      </c>
      <c r="DP156" s="17">
        <f>DO156*VLOOKUP('Données projet'!$B$14,Paramètres!$A$1:$I$89,3,0)*VLOOKUP('Données projet'!$B$14,Paramètres!$A$1:$I$89,5,0)</f>
        <v>-7.7147888077888636E-14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225.28075317732998</v>
      </c>
      <c r="DU156" s="59">
        <f t="shared" si="152"/>
        <v>358.43407531256207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0.19634747599814725</v>
      </c>
      <c r="EB156" s="21">
        <f>EXP(-LN(2)/25)*EB155+(1-EXP(-LN(2)/25))/(LN(2)/25)*Calculateur!DW156*Calculateur!DY156*VLOOKUP('Données projet'!$B$14,Paramètres!$A$1:$I$89,3,0)*0.475*44/12</f>
        <v>0.27324103573034375</v>
      </c>
      <c r="EC156" s="21">
        <f>EXP(-LN(2)/2)*EC155+(1-EXP(-LN(2)/2))/(LN(2)/2)*DW156*DZ156*VLOOKUP('Données projet'!$B$14,Paramètres!$A$1:$I$89,3,0)*0.475*44/12</f>
        <v>1.3535979033368355E-18</v>
      </c>
      <c r="ED156" s="22">
        <f t="shared" si="178"/>
        <v>0.46958851172849103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292.90384615384613</v>
      </c>
      <c r="EH156" s="12">
        <f>VLOOKUP(A156,'Données projet'!$A$191:$I$211,9,0)</f>
        <v>6.0235042735042912</v>
      </c>
      <c r="EI156" s="12">
        <f t="array" ref="EI156">INDEX(EH:EH,MIN(IF(ISNUMBER(EH156:EH352),ROW(EH156:EH352),"")))</f>
        <v>6.0235042735042912</v>
      </c>
      <c r="EJ156" s="12">
        <f>IF('Données projet'!$A$192&gt;35,EJ155+EI156-ER155,IF(A156&lt;'Données projet'!$A$192,$EG$205^A156,IF(A156='Données projet'!$A$192,'Données projet'!$B$192,EJ155+EI156-ER155)))</f>
        <v>292.90384615384539</v>
      </c>
      <c r="EK156" s="17">
        <f>EJ156*VLOOKUP('Données projet'!$B$15,Paramètres!$A$1:$I$89,3,0)*VLOOKUP('Données projet'!$B$15,Paramètres!$A$1:$I$89,5,0)</f>
        <v>297.00449999999921</v>
      </c>
      <c r="EL156" s="13">
        <f t="shared" si="179"/>
        <v>70.548125322658649</v>
      </c>
      <c r="EM156" s="20">
        <f t="shared" si="180"/>
        <v>640.15415577029569</v>
      </c>
      <c r="EN156" s="59">
        <f t="shared" si="128"/>
        <v>933.48748910362906</v>
      </c>
      <c r="EO156" s="59">
        <f ca="1">AVERAGE(OFFSET($EN$3,0,0,'Données projet'!$E$15+1,1))-AVERAGE(OFFSET($H$3,0,0,'Données projet'!$E$15+1,1))</f>
        <v>363.98308691765931</v>
      </c>
      <c r="EP156" s="59">
        <f t="shared" si="154"/>
        <v>181.47089407988187</v>
      </c>
      <c r="EQ156" s="15">
        <f>IF(ISNA(VLOOKUP(A156,'Données projet'!$A$191:$I$211,3,0)),0,VLOOKUP(A156,'Données projet'!$A$191:$I$211,3,0))</f>
        <v>15</v>
      </c>
      <c r="ER156" s="15">
        <f>IF(ISNA(VLOOKUP(A156,'Données projet'!$A$191:$I$211,4,0)),0,VLOOKUP(A156,'Données projet'!$A$191:$I$211,4,0))</f>
        <v>105.26282051282051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>
        <f>VLOOKUP(A156,'Données projet'!$A$217:$I$237,2,0)</f>
        <v>292.90384615384613</v>
      </c>
      <c r="FC156" s="12">
        <f>VLOOKUP(A156,'Données projet'!$A$217:$I$237,9,0)</f>
        <v>6.0235042735042912</v>
      </c>
      <c r="FD156" s="12">
        <f t="array" ref="FD156">INDEX(FC:FC,MIN(IF(ISNUMBER(FC156:FC352),ROW(FC156:FC352),"")))</f>
        <v>6.0235042735042912</v>
      </c>
      <c r="FE156" s="12">
        <f>IF('Données projet'!$A$218&gt;35,FE155+FD156-FM155,IF(A156&lt;'Données projet'!$A$218,$FB$205^A156,IF(A156='Données projet'!$A$218,'Données projet'!$B$218,FE155+FD156-FM155)))</f>
        <v>292.90384615384539</v>
      </c>
      <c r="FF156" s="17">
        <f>FE156*VLOOKUP('Données projet'!$B$16,Paramètres!$A$1:$I$89,3,0)*VLOOKUP('Données projet'!$B$16,Paramètres!$A$1:$I$89,5,0)</f>
        <v>315.28169999999915</v>
      </c>
      <c r="FG156" s="13">
        <f t="shared" si="182"/>
        <v>74.370772462189592</v>
      </c>
      <c r="FH156" s="20">
        <f t="shared" si="183"/>
        <v>678.64472287164529</v>
      </c>
      <c r="FI156" s="59">
        <f t="shared" si="131"/>
        <v>971.97805620497866</v>
      </c>
      <c r="FJ156" s="59">
        <f ca="1">AVERAGE(OFFSET($FI$3,0,0,'Données projet'!$E$16+1,1))-AVERAGE(OFFSET($H$3,0,0,'Données projet'!$E$16+1,1))</f>
        <v>395.30533160963489</v>
      </c>
      <c r="FK156" s="59">
        <f t="shared" si="156"/>
        <v>196.02102977695085</v>
      </c>
      <c r="FL156" s="15">
        <f>IF(ISNA(VLOOKUP(A156,'Données projet'!$A$217:$I$237,3,0)),0,VLOOKUP(A156,'Données projet'!$A$217:$I$237,3,0))</f>
        <v>15</v>
      </c>
      <c r="FM156" s="15">
        <f>IF(ISNA(VLOOKUP(A156,'Données projet'!$A$217:$I$237,4,0)),0,VLOOKUP(A156,'Données projet'!$A$217:$I$237,4,0))</f>
        <v>105.26282051282051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227.99999999999986</v>
      </c>
      <c r="GA156" s="17">
        <f>FZ156*VLOOKUP('Données projet'!$B$17,Paramètres!$A$1:$I$89,3,0)*VLOOKUP('Données projet'!$B$17,Paramètres!$A$1:$I$89,5,0)</f>
        <v>238.30559999999986</v>
      </c>
      <c r="GB156" s="13">
        <f t="shared" si="185"/>
        <v>58.074821878967043</v>
      </c>
      <c r="GC156" s="20">
        <f t="shared" si="186"/>
        <v>516.19590143920061</v>
      </c>
      <c r="GD156" s="59">
        <f t="shared" si="134"/>
        <v>809.52923477253398</v>
      </c>
      <c r="GE156" s="59">
        <f ca="1">AVERAGE(OFFSET($GD$3,0,0,'Données projet'!$E$17+1,1))-AVERAGE(OFFSET($H$3,0,0,'Données projet'!$E$17+1,1))</f>
        <v>269.41185214595805</v>
      </c>
      <c r="GF156" s="59">
        <f t="shared" si="158"/>
        <v>299.70148160580993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0.55497712365277085</v>
      </c>
      <c r="GM156" s="21">
        <f>EXP(-LN(2)/25)*GM155+(1-EXP(-LN(2)/25))/(LN(2)/25)*Calculateur!GH156*Calculateur!GJ156*VLOOKUP('Données projet'!$B$17,Paramètres!$A$1:$I$89,3,0)*0.475*44/12</f>
        <v>0.53589031187853942</v>
      </c>
      <c r="GN156" s="21">
        <f>EXP(-LN(2)/2)*GN155+(1-EXP(-LN(2)/2))/(LN(2)/2)*GH156*GK156*VLOOKUP('Données projet'!$B$17,Paramètres!$A$1:$I$89,3,0)*0.475*44/12</f>
        <v>5.859839141949986E-18</v>
      </c>
      <c r="GO156" s="21">
        <f t="shared" si="187"/>
        <v>1.0908674355313104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5.6843418860808015E-14</v>
      </c>
      <c r="GV156" s="17">
        <f>GU156*VLOOKUP('Données projet'!$B$18,Paramètres!$A$1:$I$89,3,0)*VLOOKUP('Données projet'!$B$18,Paramètres!$A$1:$I$89,5,0)</f>
        <v>4.9658410716801891E-14</v>
      </c>
      <c r="GW156" s="13">
        <f t="shared" si="188"/>
        <v>8.0934058173791862E-13</v>
      </c>
      <c r="GX156" s="20">
        <f t="shared" si="189"/>
        <v>1.4960899118586383E-12</v>
      </c>
      <c r="GY156" s="59">
        <f t="shared" si="137"/>
        <v>293.33333333333479</v>
      </c>
      <c r="GZ156" s="59">
        <f ca="1">AVERAGE(OFFSET($GY$3,0,0,'Données projet'!$E$18+1,1))-AVERAGE(OFFSET($H$3,0,0,'Données projet'!$E$18+1,1))</f>
        <v>226.35975611953359</v>
      </c>
      <c r="HA156" s="59">
        <f t="shared" si="160"/>
        <v>271.65876694892461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0.37296588956791804</v>
      </c>
      <c r="HI156" s="21">
        <f>EXP(-LN(2)/2)*HI155+(1-EXP(-LN(2)/2))/(LN(2)/2)*HC156*HF156*VLOOKUP('Données projet'!$B$18,Paramètres!$A$1:$I$89,3,0)*0.475*44/12</f>
        <v>3.6236670262916949E-18</v>
      </c>
      <c r="HJ156" s="22">
        <f t="shared" si="190"/>
        <v>0.37296588956791804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2.724358974358978</v>
      </c>
      <c r="N157" s="13">
        <f>IF('Données projet'!$A$36&gt;35,N156+M157-V156,IF(A157&lt;'Données projet'!$A$36,$K$205^A157,IF(A157='Données projet'!$A$36,'Données projet'!$B$36,N156+M157-V156)))</f>
        <v>190.3653846153839</v>
      </c>
      <c r="O157" s="13">
        <f>N157*VLOOKUP('Données projet'!$B$9,Paramètres!$A$1:$I$89,3,0)*VLOOKUP('Données projet'!$B$9,Paramètres!$A$1:$I$89,5,0)</f>
        <v>172.24259999999936</v>
      </c>
      <c r="P157" s="13">
        <f t="shared" si="141"/>
        <v>43.591907642239391</v>
      </c>
      <c r="Q157" s="20">
        <f t="shared" si="162"/>
        <v>375.91176747689912</v>
      </c>
      <c r="R157" s="59">
        <f t="shared" si="109"/>
        <v>669.24510081023243</v>
      </c>
      <c r="S157" s="59">
        <f ca="1">AVERAGE(OFFSET($R$3,0,0,'Données projet'!$E$9+1,1))-AVERAGE(OFFSET($H$3,0,0,'Données projet'!$E$9+1,1))</f>
        <v>309.07357540707869</v>
      </c>
      <c r="T157" s="59">
        <f t="shared" si="142"/>
        <v>155.9593924683299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227.99999999999986</v>
      </c>
      <c r="AJ157" s="13">
        <f>AI157*VLOOKUP('Données projet'!$B$10,Paramètres!$A$1:$I$89,3,0)*VLOOKUP('Données projet'!$B$10,Paramètres!$A$1:$I$89,5,0)</f>
        <v>199.18079999999992</v>
      </c>
      <c r="AK157" s="13">
        <f t="shared" si="164"/>
        <v>49.564089376413683</v>
      </c>
      <c r="AL157" s="20">
        <f t="shared" si="165"/>
        <v>433.23068233058694</v>
      </c>
      <c r="AM157" s="59">
        <f t="shared" si="113"/>
        <v>726.56401566392026</v>
      </c>
      <c r="AN157" s="59">
        <f ca="1">AVERAGE(OFFSET($AM$3,0,0,'Données projet'!$E$10+1,1))-AVERAGE(OFFSET($H$3,0,0,'Données projet'!$E$10+1,1))</f>
        <v>210.07838338464626</v>
      </c>
      <c r="AO157" s="59">
        <f t="shared" si="144"/>
        <v>241.76003724236273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0.45476543585957357</v>
      </c>
      <c r="AV157" s="21">
        <f>EXP(-LN(2)/25)*AV156+(1-EXP(-LN(2)/25))/(LN(2)/25)*Calculateur!AQ157*Calculateur!AS157*VLOOKUP('Données projet'!$B$10,Paramètres!$A$1:$I$89,3,0)*0.475*44/12</f>
        <v>0.43566024380093349</v>
      </c>
      <c r="AW157" s="21">
        <f>EXP(-LN(2)/2)*AW156+(1-EXP(-LN(2)/2))/(LN(2)/2)*AQ157*AT157*VLOOKUP('Données projet'!$B$10,Paramètres!$A$1:$I$89,3,0)*0.475*44/12</f>
        <v>3.4632506217966118E-18</v>
      </c>
      <c r="AX157" s="21">
        <f t="shared" si="166"/>
        <v>0.89042567966050701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2.2737367544323206E-13</v>
      </c>
      <c r="BE157" s="13">
        <f>BD157*VLOOKUP('Données projet'!$B$11,Paramètres!$A$1:$I$89,3,0)*VLOOKUP('Données projet'!$B$11,Paramètres!$A$1:$I$89,5,0)</f>
        <v>1.2414602679200471E-13</v>
      </c>
      <c r="BF157" s="13">
        <f t="shared" si="167"/>
        <v>1.8186582995804361E-12</v>
      </c>
      <c r="BG157" s="20">
        <f t="shared" si="168"/>
        <v>3.3837175350986671E-12</v>
      </c>
      <c r="BH157" s="59">
        <f t="shared" si="116"/>
        <v>293.33333333333672</v>
      </c>
      <c r="BI157" s="59">
        <f ca="1">AVERAGE(OFFSET($BH$3,0,0,'Données projet'!$E$11+1,1))-AVERAGE(OFFSET($H$3,0,0,'Données projet'!$E$11+1,1))</f>
        <v>168.72306536277267</v>
      </c>
      <c r="BJ157" s="59">
        <f t="shared" si="146"/>
        <v>203.35476578922339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0.26101413040965987</v>
      </c>
      <c r="BQ157" s="21">
        <f>EXP(-LN(2)/25)*BQ156+(1-EXP(-LN(2)/25))/(LN(2)/25)*Calculateur!BL157*Calculateur!BN157*VLOOKUP('Données projet'!$B$11,Paramètres!$A$1:$I$89,3,0)*0.475*44/12</f>
        <v>0.73847557680715992</v>
      </c>
      <c r="BR157" s="21">
        <f>EXP(-LN(2)/2)*BR156+(1-EXP(-LN(2)/2))/(LN(2)/2)*BL157*BO157*VLOOKUP('Données projet'!$B$11,Paramètres!$A$1:$I$89,3,0)*0.475*44/12</f>
        <v>4.3419796018371424E-18</v>
      </c>
      <c r="BS157" s="22">
        <f t="shared" si="169"/>
        <v>0.99948970721681984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3.4106051316484809E-13</v>
      </c>
      <c r="BZ157" s="13">
        <f>BY157*VLOOKUP('Données projet'!$B$12,Paramètres!$A$1:$I$89,3,0)*VLOOKUP('Données projet'!$B$12,Paramètres!$A$1:$I$89,5,0)</f>
        <v>1.5961632016114892E-13</v>
      </c>
      <c r="CA157" s="13">
        <f t="shared" si="170"/>
        <v>2.2708641912150958E-12</v>
      </c>
      <c r="CB157" s="20">
        <f t="shared" si="171"/>
        <v>4.2330868906469593E-12</v>
      </c>
      <c r="CC157" s="59">
        <f t="shared" si="119"/>
        <v>293.33333333333752</v>
      </c>
      <c r="CD157" s="59">
        <f ca="1">AVERAGE(OFFSET($CC$3,0,0,'Données projet'!$E$12+1,1))-AVERAGE(OFFSET($H$3,0,0,'Données projet'!$E$12+1,1))</f>
        <v>158.58786357608489</v>
      </c>
      <c r="CE157" s="59">
        <f t="shared" si="148"/>
        <v>163.20074068819849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4.1677594708744434E-14</v>
      </c>
      <c r="CV157" s="13">
        <f t="shared" si="173"/>
        <v>6.9326303456159188E-13</v>
      </c>
      <c r="CW157" s="20">
        <f t="shared" si="174"/>
        <v>1.2800215959791691E-12</v>
      </c>
      <c r="CX157" s="59">
        <f t="shared" si="122"/>
        <v>293.33333333333462</v>
      </c>
      <c r="CY157" s="59">
        <f ca="1">AVERAGE(OFFSET($CX$3,0,0,'Données projet'!$E$13+1,1))-AVERAGE(OFFSET($H$3,0,0,'Données projet'!$E$13+1,1))</f>
        <v>178.12968684094687</v>
      </c>
      <c r="CZ157" s="59">
        <f t="shared" si="150"/>
        <v>219.36004077210373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0.24701898412409312</v>
      </c>
      <c r="DH157" s="21">
        <f>EXP(-LN(2)/2)*DH156+(1-EXP(-LN(2)/2))/(LN(2)/2)*DB157*DE157*VLOOKUP('Données projet'!$B$13,Paramètres!$A$1:$I$89,3,0)*0.475*44/12</f>
        <v>2.1505181744908683E-18</v>
      </c>
      <c r="DI157" s="22">
        <f t="shared" si="175"/>
        <v>0.24701898412409312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-8.5265128291212022E-14</v>
      </c>
      <c r="DP157" s="17">
        <f>DO157*VLOOKUP('Données projet'!$B$14,Paramètres!$A$1:$I$89,3,0)*VLOOKUP('Données projet'!$B$14,Paramètres!$A$1:$I$89,5,0)</f>
        <v>-7.7147888077888636E-14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225.28075317732998</v>
      </c>
      <c r="DU157" s="59">
        <f t="shared" si="152"/>
        <v>358.43407531256207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0.19249722175395861</v>
      </c>
      <c r="EB157" s="21">
        <f>EXP(-LN(2)/25)*EB156+(1-EXP(-LN(2)/25))/(LN(2)/25)*Calculateur!DW157*Calculateur!DY157*VLOOKUP('Données projet'!$B$14,Paramètres!$A$1:$I$89,3,0)*0.475*44/12</f>
        <v>0.26576924523917594</v>
      </c>
      <c r="EC157" s="21">
        <f>EXP(-LN(2)/2)*EC156+(1-EXP(-LN(2)/2))/(LN(2)/2)*DW157*DZ157*VLOOKUP('Données projet'!$B$14,Paramètres!$A$1:$I$89,3,0)*0.475*44/12</f>
        <v>9.5713825644936922E-19</v>
      </c>
      <c r="ED157" s="22">
        <f t="shared" si="178"/>
        <v>0.45826646699313456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2.724358974358978</v>
      </c>
      <c r="EJ157" s="12">
        <f>IF('Données projet'!$A$192&gt;35,EJ156+EI157-ER156,IF(A157&lt;'Données projet'!$A$192,$EG$205^A157,IF(A157='Données projet'!$A$192,'Données projet'!$B$192,EJ156+EI157-ER156)))</f>
        <v>190.3653846153839</v>
      </c>
      <c r="EK157" s="17">
        <f>EJ157*VLOOKUP('Données projet'!$B$15,Paramètres!$A$1:$I$89,3,0)*VLOOKUP('Données projet'!$B$15,Paramètres!$A$1:$I$89,5,0)</f>
        <v>193.03049999999928</v>
      </c>
      <c r="EL157" s="13">
        <f t="shared" si="179"/>
        <v>48.209335079536942</v>
      </c>
      <c r="EM157" s="20">
        <f t="shared" si="180"/>
        <v>420.15937943019225</v>
      </c>
      <c r="EN157" s="59">
        <f t="shared" si="128"/>
        <v>713.49271276352556</v>
      </c>
      <c r="EO157" s="59">
        <f ca="1">AVERAGE(OFFSET($EN$3,0,0,'Données projet'!$E$15+1,1))-AVERAGE(OFFSET($H$3,0,0,'Données projet'!$E$15+1,1))</f>
        <v>363.98308691765931</v>
      </c>
      <c r="EP157" s="59">
        <f t="shared" si="154"/>
        <v>181.47089407988187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2.724358974358978</v>
      </c>
      <c r="FE157" s="12">
        <f>IF('Données projet'!$A$218&gt;35,FE156+FD157-FM156,IF(A157&lt;'Données projet'!$A$218,$FB$205^A157,IF(A157='Données projet'!$A$218,'Données projet'!$B$218,FE156+FD157-FM156)))</f>
        <v>190.3653846153839</v>
      </c>
      <c r="FF157" s="17">
        <f>FE157*VLOOKUP('Données projet'!$B$16,Paramètres!$A$1:$I$89,3,0)*VLOOKUP('Données projet'!$B$16,Paramètres!$A$1:$I$89,5,0)</f>
        <v>204.90929999999921</v>
      </c>
      <c r="FG157" s="13">
        <f t="shared" si="182"/>
        <v>50.821555829523213</v>
      </c>
      <c r="FH157" s="20">
        <f t="shared" si="183"/>
        <v>445.39790723641818</v>
      </c>
      <c r="FI157" s="59">
        <f t="shared" si="131"/>
        <v>738.73124056975144</v>
      </c>
      <c r="FJ157" s="59">
        <f ca="1">AVERAGE(OFFSET($FI$3,0,0,'Données projet'!$E$16+1,1))-AVERAGE(OFFSET($H$3,0,0,'Données projet'!$E$16+1,1))</f>
        <v>395.30533160963489</v>
      </c>
      <c r="FK157" s="59">
        <f t="shared" si="156"/>
        <v>196.02102977695085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227.99999999999986</v>
      </c>
      <c r="GA157" s="17">
        <f>FZ157*VLOOKUP('Données projet'!$B$17,Paramètres!$A$1:$I$89,3,0)*VLOOKUP('Données projet'!$B$17,Paramètres!$A$1:$I$89,5,0)</f>
        <v>238.30559999999986</v>
      </c>
      <c r="GB157" s="13">
        <f t="shared" si="185"/>
        <v>58.074821878967043</v>
      </c>
      <c r="GC157" s="20">
        <f t="shared" si="186"/>
        <v>516.19590143920061</v>
      </c>
      <c r="GD157" s="59">
        <f t="shared" si="134"/>
        <v>809.52923477253398</v>
      </c>
      <c r="GE157" s="59">
        <f ca="1">AVERAGE(OFFSET($GD$3,0,0,'Données projet'!$E$17+1,1))-AVERAGE(OFFSET($H$3,0,0,'Données projet'!$E$17+1,1))</f>
        <v>269.41185214595805</v>
      </c>
      <c r="GF157" s="59">
        <f t="shared" si="158"/>
        <v>299.70148160580993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0.54409436076056106</v>
      </c>
      <c r="GM157" s="21">
        <f>EXP(-LN(2)/25)*GM156+(1-EXP(-LN(2)/25))/(LN(2)/25)*Calculateur!GH157*Calculateur!GJ157*VLOOKUP('Données projet'!$B$17,Paramètres!$A$1:$I$89,3,0)*0.475*44/12</f>
        <v>0.52123636311897403</v>
      </c>
      <c r="GN157" s="21">
        <f>EXP(-LN(2)/2)*GN156+(1-EXP(-LN(2)/2))/(LN(2)/2)*GH157*GK157*VLOOKUP('Données projet'!$B$17,Paramètres!$A$1:$I$89,3,0)*0.475*44/12</f>
        <v>4.1435319939351951E-18</v>
      </c>
      <c r="GO157" s="21">
        <f t="shared" si="187"/>
        <v>1.0653307238795351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5.6843418860808015E-14</v>
      </c>
      <c r="GV157" s="17">
        <f>GU157*VLOOKUP('Données projet'!$B$18,Paramètres!$A$1:$I$89,3,0)*VLOOKUP('Données projet'!$B$18,Paramètres!$A$1:$I$89,5,0)</f>
        <v>4.9658410716801891E-14</v>
      </c>
      <c r="GW157" s="13">
        <f t="shared" si="188"/>
        <v>8.0934058173791862E-13</v>
      </c>
      <c r="GX157" s="20">
        <f t="shared" si="189"/>
        <v>1.4960899118586383E-12</v>
      </c>
      <c r="GY157" s="59">
        <f t="shared" si="137"/>
        <v>293.33333333333479</v>
      </c>
      <c r="GZ157" s="59">
        <f ca="1">AVERAGE(OFFSET($GY$3,0,0,'Données projet'!$E$18+1,1))-AVERAGE(OFFSET($H$3,0,0,'Données projet'!$E$18+1,1))</f>
        <v>226.35975611953359</v>
      </c>
      <c r="HA157" s="59">
        <f t="shared" si="160"/>
        <v>271.65876694892461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0.36276711770425962</v>
      </c>
      <c r="HI157" s="21">
        <f>EXP(-LN(2)/2)*HI156+(1-EXP(-LN(2)/2))/(LN(2)/2)*HC157*HF157*VLOOKUP('Données projet'!$B$18,Paramètres!$A$1:$I$89,3,0)*0.475*44/12</f>
        <v>2.5623195270529489E-18</v>
      </c>
      <c r="HJ157" s="22">
        <f t="shared" si="190"/>
        <v>0.36276711770425962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2.724358974358978</v>
      </c>
      <c r="N158" s="13">
        <f>IF('Données projet'!$A$36&gt;35,N157+M158-V157,IF(A158&lt;'Données projet'!$A$36,$K$205^A158,IF(A158='Données projet'!$A$36,'Données projet'!$B$36,N157+M158-V157)))</f>
        <v>193.08974358974288</v>
      </c>
      <c r="O158" s="13">
        <f>N158*VLOOKUP('Données projet'!$B$9,Paramètres!$A$1:$I$89,3,0)*VLOOKUP('Données projet'!$B$9,Paramètres!$A$1:$I$89,5,0)</f>
        <v>174.70759999999936</v>
      </c>
      <c r="P158" s="13">
        <f t="shared" si="141"/>
        <v>44.142687394836166</v>
      </c>
      <c r="Q158" s="20">
        <f t="shared" si="162"/>
        <v>381.16425054600518</v>
      </c>
      <c r="R158" s="59">
        <f t="shared" si="109"/>
        <v>674.49758387933844</v>
      </c>
      <c r="S158" s="59">
        <f ca="1">AVERAGE(OFFSET($R$3,0,0,'Données projet'!$E$9+1,1))-AVERAGE(OFFSET($H$3,0,0,'Données projet'!$E$9+1,1))</f>
        <v>309.07357540707869</v>
      </c>
      <c r="T158" s="59">
        <f t="shared" si="142"/>
        <v>155.9593924683299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227.99999999999986</v>
      </c>
      <c r="AJ158" s="13">
        <f>AI158*VLOOKUP('Données projet'!$B$10,Paramètres!$A$1:$I$89,3,0)*VLOOKUP('Données projet'!$B$10,Paramètres!$A$1:$I$89,5,0)</f>
        <v>199.18079999999992</v>
      </c>
      <c r="AK158" s="13">
        <f t="shared" si="164"/>
        <v>49.564089376413683</v>
      </c>
      <c r="AL158" s="20">
        <f t="shared" si="165"/>
        <v>433.23068233058694</v>
      </c>
      <c r="AM158" s="59">
        <f t="shared" si="113"/>
        <v>726.56401566392026</v>
      </c>
      <c r="AN158" s="59">
        <f ca="1">AVERAGE(OFFSET($AM$3,0,0,'Données projet'!$E$10+1,1))-AVERAGE(OFFSET($H$3,0,0,'Données projet'!$E$10+1,1))</f>
        <v>210.07838338464626</v>
      </c>
      <c r="AO158" s="59">
        <f t="shared" si="144"/>
        <v>241.76003724236273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0.44584776304189427</v>
      </c>
      <c r="AV158" s="21">
        <f>EXP(-LN(2)/25)*AV157+(1-EXP(-LN(2)/25))/(LN(2)/25)*Calculateur!AQ158*Calculateur!AS158*VLOOKUP('Données projet'!$B$10,Paramètres!$A$1:$I$89,3,0)*0.475*44/12</f>
        <v>0.42374709152382045</v>
      </c>
      <c r="AW158" s="21">
        <f>EXP(-LN(2)/2)*AW157+(1-EXP(-LN(2)/2))/(LN(2)/2)*AQ158*AT158*VLOOKUP('Données projet'!$B$10,Paramètres!$A$1:$I$89,3,0)*0.475*44/12</f>
        <v>2.4488879996209117E-18</v>
      </c>
      <c r="AX158" s="21">
        <f t="shared" si="166"/>
        <v>0.86959485456571473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2.2737367544323206E-13</v>
      </c>
      <c r="BE158" s="13">
        <f>BD158*VLOOKUP('Données projet'!$B$11,Paramètres!$A$1:$I$89,3,0)*VLOOKUP('Données projet'!$B$11,Paramètres!$A$1:$I$89,5,0)</f>
        <v>1.2414602679200471E-13</v>
      </c>
      <c r="BF158" s="13">
        <f t="shared" si="167"/>
        <v>1.8186582995804361E-12</v>
      </c>
      <c r="BG158" s="20">
        <f t="shared" si="168"/>
        <v>3.3837175350986671E-12</v>
      </c>
      <c r="BH158" s="59">
        <f t="shared" si="116"/>
        <v>293.33333333333672</v>
      </c>
      <c r="BI158" s="59">
        <f ca="1">AVERAGE(OFFSET($BH$3,0,0,'Données projet'!$E$11+1,1))-AVERAGE(OFFSET($H$3,0,0,'Données projet'!$E$11+1,1))</f>
        <v>168.72306536277267</v>
      </c>
      <c r="BJ158" s="59">
        <f t="shared" si="146"/>
        <v>203.35476578922339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0.25589580251522603</v>
      </c>
      <c r="BQ158" s="21">
        <f>EXP(-LN(2)/25)*BQ157+(1-EXP(-LN(2)/25))/(LN(2)/25)*Calculateur!BL158*Calculateur!BN158*VLOOKUP('Données projet'!$B$11,Paramètres!$A$1:$I$89,3,0)*0.475*44/12</f>
        <v>0.71828192332462537</v>
      </c>
      <c r="BR158" s="21">
        <f>EXP(-LN(2)/2)*BR157+(1-EXP(-LN(2)/2))/(LN(2)/2)*BL158*BO158*VLOOKUP('Données projet'!$B$11,Paramètres!$A$1:$I$89,3,0)*0.475*44/12</f>
        <v>3.070243220232709E-18</v>
      </c>
      <c r="BS158" s="22">
        <f t="shared" si="169"/>
        <v>0.9741777258398514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3.4106051316484809E-13</v>
      </c>
      <c r="BZ158" s="13">
        <f>BY158*VLOOKUP('Données projet'!$B$12,Paramètres!$A$1:$I$89,3,0)*VLOOKUP('Données projet'!$B$12,Paramètres!$A$1:$I$89,5,0)</f>
        <v>1.5961632016114892E-13</v>
      </c>
      <c r="CA158" s="13">
        <f t="shared" si="170"/>
        <v>2.2708641912150958E-12</v>
      </c>
      <c r="CB158" s="20">
        <f t="shared" si="171"/>
        <v>4.2330868906469593E-12</v>
      </c>
      <c r="CC158" s="59">
        <f t="shared" si="119"/>
        <v>293.33333333333752</v>
      </c>
      <c r="CD158" s="59">
        <f ca="1">AVERAGE(OFFSET($CC$3,0,0,'Données projet'!$E$12+1,1))-AVERAGE(OFFSET($H$3,0,0,'Données projet'!$E$12+1,1))</f>
        <v>158.58786357608489</v>
      </c>
      <c r="CE158" s="59">
        <f t="shared" si="148"/>
        <v>163.20074068819849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4.1677594708744434E-14</v>
      </c>
      <c r="CV158" s="13">
        <f t="shared" si="173"/>
        <v>6.9326303456159188E-13</v>
      </c>
      <c r="CW158" s="20">
        <f t="shared" si="174"/>
        <v>1.2800215959791691E-12</v>
      </c>
      <c r="CX158" s="59">
        <f t="shared" si="122"/>
        <v>293.33333333333462</v>
      </c>
      <c r="CY158" s="59">
        <f ca="1">AVERAGE(OFFSET($CX$3,0,0,'Données projet'!$E$13+1,1))-AVERAGE(OFFSET($H$3,0,0,'Données projet'!$E$13+1,1))</f>
        <v>178.12968684094687</v>
      </c>
      <c r="CZ158" s="59">
        <f t="shared" si="150"/>
        <v>219.36004077210373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0.24026423701305599</v>
      </c>
      <c r="DH158" s="21">
        <f>EXP(-LN(2)/2)*DH157+(1-EXP(-LN(2)/2))/(LN(2)/2)*DB158*DE158*VLOOKUP('Données projet'!$B$13,Paramètres!$A$1:$I$89,3,0)*0.475*44/12</f>
        <v>1.5206459842474081E-18</v>
      </c>
      <c r="DI158" s="22">
        <f t="shared" si="175"/>
        <v>0.24026423701305599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-8.5265128291212022E-14</v>
      </c>
      <c r="DP158" s="17">
        <f>DO158*VLOOKUP('Données projet'!$B$14,Paramètres!$A$1:$I$89,3,0)*VLOOKUP('Données projet'!$B$14,Paramètres!$A$1:$I$89,5,0)</f>
        <v>-7.7147888077888636E-14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225.28075317732998</v>
      </c>
      <c r="DU158" s="59">
        <f t="shared" si="152"/>
        <v>358.43407531256207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0.18872246864707531</v>
      </c>
      <c r="EB158" s="21">
        <f>EXP(-LN(2)/25)*EB157+(1-EXP(-LN(2)/25))/(LN(2)/25)*Calculateur!DW158*Calculateur!DY158*VLOOKUP('Données projet'!$B$14,Paramètres!$A$1:$I$89,3,0)*0.475*44/12</f>
        <v>0.25850177125191348</v>
      </c>
      <c r="EC158" s="21">
        <f>EXP(-LN(2)/2)*EC157+(1-EXP(-LN(2)/2))/(LN(2)/2)*DW158*DZ158*VLOOKUP('Données projet'!$B$14,Paramètres!$A$1:$I$89,3,0)*0.475*44/12</f>
        <v>6.7679895166841773E-19</v>
      </c>
      <c r="ED158" s="22">
        <f t="shared" si="178"/>
        <v>0.4472242398989888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2.724358974358978</v>
      </c>
      <c r="EJ158" s="12">
        <f>IF('Données projet'!$A$192&gt;35,EJ157+EI158-ER157,IF(A158&lt;'Données projet'!$A$192,$EG$205^A158,IF(A158='Données projet'!$A$192,'Données projet'!$B$192,EJ157+EI158-ER157)))</f>
        <v>193.08974358974288</v>
      </c>
      <c r="EK158" s="17">
        <f>EJ158*VLOOKUP('Données projet'!$B$15,Paramètres!$A$1:$I$89,3,0)*VLOOKUP('Données projet'!$B$15,Paramètres!$A$1:$I$89,5,0)</f>
        <v>195.7929999999993</v>
      </c>
      <c r="EL158" s="13">
        <f t="shared" si="179"/>
        <v>48.818455604059096</v>
      </c>
      <c r="EM158" s="20">
        <f t="shared" si="180"/>
        <v>426.03161851040176</v>
      </c>
      <c r="EN158" s="59">
        <f t="shared" si="128"/>
        <v>719.36495184373507</v>
      </c>
      <c r="EO158" s="59">
        <f ca="1">AVERAGE(OFFSET($EN$3,0,0,'Données projet'!$E$15+1,1))-AVERAGE(OFFSET($H$3,0,0,'Données projet'!$E$15+1,1))</f>
        <v>363.98308691765931</v>
      </c>
      <c r="EP158" s="59">
        <f t="shared" si="154"/>
        <v>181.47089407988187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2.724358974358978</v>
      </c>
      <c r="FE158" s="12">
        <f>IF('Données projet'!$A$218&gt;35,FE157+FD158-FM157,IF(A158&lt;'Données projet'!$A$218,$FB$205^A158,IF(A158='Données projet'!$A$218,'Données projet'!$B$218,FE157+FD158-FM157)))</f>
        <v>193.08974358974288</v>
      </c>
      <c r="FF158" s="17">
        <f>FE158*VLOOKUP('Données projet'!$B$16,Paramètres!$A$1:$I$89,3,0)*VLOOKUP('Données projet'!$B$16,Paramètres!$A$1:$I$89,5,0)</f>
        <v>207.84179999999924</v>
      </c>
      <c r="FG158" s="13">
        <f t="shared" si="182"/>
        <v>51.463681523495936</v>
      </c>
      <c r="FH158" s="20">
        <f t="shared" si="183"/>
        <v>451.62371365342074</v>
      </c>
      <c r="FI158" s="59">
        <f t="shared" si="131"/>
        <v>744.95704698675399</v>
      </c>
      <c r="FJ158" s="59">
        <f ca="1">AVERAGE(OFFSET($FI$3,0,0,'Données projet'!$E$16+1,1))-AVERAGE(OFFSET($H$3,0,0,'Données projet'!$E$16+1,1))</f>
        <v>395.30533160963489</v>
      </c>
      <c r="FK158" s="59">
        <f t="shared" si="156"/>
        <v>196.02102977695085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227.99999999999986</v>
      </c>
      <c r="GA158" s="17">
        <f>FZ158*VLOOKUP('Données projet'!$B$17,Paramètres!$A$1:$I$89,3,0)*VLOOKUP('Données projet'!$B$17,Paramètres!$A$1:$I$89,5,0)</f>
        <v>238.30559999999986</v>
      </c>
      <c r="GB158" s="13">
        <f t="shared" si="185"/>
        <v>58.074821878967043</v>
      </c>
      <c r="GC158" s="20">
        <f t="shared" si="186"/>
        <v>516.19590143920061</v>
      </c>
      <c r="GD158" s="59">
        <f t="shared" si="134"/>
        <v>809.52923477253398</v>
      </c>
      <c r="GE158" s="59">
        <f ca="1">AVERAGE(OFFSET($GD$3,0,0,'Données projet'!$E$17+1,1))-AVERAGE(OFFSET($H$3,0,0,'Données projet'!$E$17+1,1))</f>
        <v>269.41185214595805</v>
      </c>
      <c r="GF158" s="59">
        <f t="shared" si="158"/>
        <v>299.70148160580993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0.53342500221083755</v>
      </c>
      <c r="GM158" s="21">
        <f>EXP(-LN(2)/25)*GM157+(1-EXP(-LN(2)/25))/(LN(2)/25)*Calculateur!GH158*Calculateur!GJ158*VLOOKUP('Données projet'!$B$17,Paramètres!$A$1:$I$89,3,0)*0.475*44/12</f>
        <v>0.50698312735885664</v>
      </c>
      <c r="GN158" s="21">
        <f>EXP(-LN(2)/2)*GN157+(1-EXP(-LN(2)/2))/(LN(2)/2)*GH158*GK158*VLOOKUP('Données projet'!$B$17,Paramètres!$A$1:$I$89,3,0)*0.475*44/12</f>
        <v>2.929919570974993E-18</v>
      </c>
      <c r="GO158" s="21">
        <f t="shared" si="187"/>
        <v>1.0404081295696943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5.6843418860808015E-14</v>
      </c>
      <c r="GV158" s="17">
        <f>GU158*VLOOKUP('Données projet'!$B$18,Paramètres!$A$1:$I$89,3,0)*VLOOKUP('Données projet'!$B$18,Paramètres!$A$1:$I$89,5,0)</f>
        <v>4.9658410716801891E-14</v>
      </c>
      <c r="GW158" s="13">
        <f t="shared" si="188"/>
        <v>8.0934058173791862E-13</v>
      </c>
      <c r="GX158" s="20">
        <f t="shared" si="189"/>
        <v>1.4960899118586383E-12</v>
      </c>
      <c r="GY158" s="59">
        <f t="shared" si="137"/>
        <v>293.33333333333479</v>
      </c>
      <c r="GZ158" s="59">
        <f ca="1">AVERAGE(OFFSET($GY$3,0,0,'Données projet'!$E$18+1,1))-AVERAGE(OFFSET($H$3,0,0,'Données projet'!$E$18+1,1))</f>
        <v>226.35975611953359</v>
      </c>
      <c r="HA158" s="59">
        <f t="shared" si="160"/>
        <v>271.65876694892461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0.35284723179354305</v>
      </c>
      <c r="HI158" s="21">
        <f>EXP(-LN(2)/2)*HI157+(1-EXP(-LN(2)/2))/(LN(2)/2)*HC158*HF158*VLOOKUP('Données projet'!$B$18,Paramètres!$A$1:$I$89,3,0)*0.475*44/12</f>
        <v>1.8118335131458474E-18</v>
      </c>
      <c r="HJ158" s="22">
        <f t="shared" si="190"/>
        <v>0.35284723179354305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195.81410256410257</v>
      </c>
      <c r="L159" s="12">
        <f>VLOOKUP(A159,'Données projet'!$A$35:$I$55,9,0)</f>
        <v>2.724358974358978</v>
      </c>
      <c r="M159" s="12">
        <f t="array" ref="M159">INDEX(L:L,MIN(IF(ISNUMBER(L159:L355),ROW(L159:L355),"")))</f>
        <v>2.724358974358978</v>
      </c>
      <c r="N159" s="13">
        <f>IF('Données projet'!$A$36&gt;35,N158+M159-V158,IF(A159&lt;'Données projet'!$A$36,$K$205^A159,IF(A159='Données projet'!$A$36,'Données projet'!$B$36,N158+M159-V158)))</f>
        <v>195.81410256410186</v>
      </c>
      <c r="O159" s="13">
        <f>N159*VLOOKUP('Données projet'!$B$9,Paramètres!$A$1:$I$89,3,0)*VLOOKUP('Données projet'!$B$9,Paramètres!$A$1:$I$89,5,0)</f>
        <v>177.17259999999936</v>
      </c>
      <c r="P159" s="13">
        <f t="shared" si="141"/>
        <v>44.692563300824965</v>
      </c>
      <c r="Q159" s="20">
        <f t="shared" si="162"/>
        <v>386.41515941560237</v>
      </c>
      <c r="R159" s="59">
        <f t="shared" si="109"/>
        <v>679.74849274893563</v>
      </c>
      <c r="S159" s="59">
        <f ca="1">AVERAGE(OFFSET($R$3,0,0,'Données projet'!$E$9+1,1))-AVERAGE(OFFSET($H$3,0,0,'Données projet'!$E$9+1,1))</f>
        <v>309.07357540707869</v>
      </c>
      <c r="T159" s="59">
        <f t="shared" si="142"/>
        <v>155.9593924683299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65.070512820512818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227.99999999999986</v>
      </c>
      <c r="AJ159" s="13">
        <f>AI159*VLOOKUP('Données projet'!$B$10,Paramètres!$A$1:$I$89,3,0)*VLOOKUP('Données projet'!$B$10,Paramètres!$A$1:$I$89,5,0)</f>
        <v>199.18079999999992</v>
      </c>
      <c r="AK159" s="13">
        <f t="shared" si="164"/>
        <v>49.564089376413683</v>
      </c>
      <c r="AL159" s="20">
        <f t="shared" si="165"/>
        <v>433.23068233058694</v>
      </c>
      <c r="AM159" s="59">
        <f t="shared" si="113"/>
        <v>726.56401566392026</v>
      </c>
      <c r="AN159" s="59">
        <f ca="1">AVERAGE(OFFSET($AM$3,0,0,'Données projet'!$E$10+1,1))-AVERAGE(OFFSET($H$3,0,0,'Données projet'!$E$10+1,1))</f>
        <v>210.07838338464626</v>
      </c>
      <c r="AO159" s="59">
        <f t="shared" si="144"/>
        <v>241.76003724236273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0.43710496034892632</v>
      </c>
      <c r="AV159" s="21">
        <f>EXP(-LN(2)/25)*AV158+(1-EXP(-LN(2)/25))/(LN(2)/25)*Calculateur!AQ159*Calculateur!AS159*VLOOKUP('Données projet'!$B$10,Paramètres!$A$1:$I$89,3,0)*0.475*44/12</f>
        <v>0.4121597050222105</v>
      </c>
      <c r="AW159" s="21">
        <f>EXP(-LN(2)/2)*AW158+(1-EXP(-LN(2)/2))/(LN(2)/2)*AQ159*AT159*VLOOKUP('Données projet'!$B$10,Paramètres!$A$1:$I$89,3,0)*0.475*44/12</f>
        <v>1.7316253108983063E-18</v>
      </c>
      <c r="AX159" s="21">
        <f t="shared" si="166"/>
        <v>0.84926466537113687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2.2737367544323206E-13</v>
      </c>
      <c r="BE159" s="13">
        <f>BD159*VLOOKUP('Données projet'!$B$11,Paramètres!$A$1:$I$89,3,0)*VLOOKUP('Données projet'!$B$11,Paramètres!$A$1:$I$89,5,0)</f>
        <v>1.2414602679200471E-13</v>
      </c>
      <c r="BF159" s="13">
        <f t="shared" si="167"/>
        <v>1.8186582995804361E-12</v>
      </c>
      <c r="BG159" s="20">
        <f t="shared" si="168"/>
        <v>3.3837175350986671E-12</v>
      </c>
      <c r="BH159" s="59">
        <f t="shared" si="116"/>
        <v>293.33333333333672</v>
      </c>
      <c r="BI159" s="59">
        <f ca="1">AVERAGE(OFFSET($BH$3,0,0,'Données projet'!$E$11+1,1))-AVERAGE(OFFSET($H$3,0,0,'Données projet'!$E$11+1,1))</f>
        <v>168.72306536277267</v>
      </c>
      <c r="BJ159" s="59">
        <f t="shared" si="146"/>
        <v>203.35476578922339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0.25087784190893025</v>
      </c>
      <c r="BQ159" s="21">
        <f>EXP(-LN(2)/25)*BQ158+(1-EXP(-LN(2)/25))/(LN(2)/25)*Calculateur!BL159*Calculateur!BN159*VLOOKUP('Données projet'!$B$11,Paramètres!$A$1:$I$89,3,0)*0.475*44/12</f>
        <v>0.69864046635850885</v>
      </c>
      <c r="BR159" s="21">
        <f>EXP(-LN(2)/2)*BR158+(1-EXP(-LN(2)/2))/(LN(2)/2)*BL159*BO159*VLOOKUP('Données projet'!$B$11,Paramètres!$A$1:$I$89,3,0)*0.475*44/12</f>
        <v>2.1709898009185712E-18</v>
      </c>
      <c r="BS159" s="22">
        <f t="shared" si="169"/>
        <v>0.9495183082674391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3.4106051316484809E-13</v>
      </c>
      <c r="BZ159" s="13">
        <f>BY159*VLOOKUP('Données projet'!$B$12,Paramètres!$A$1:$I$89,3,0)*VLOOKUP('Données projet'!$B$12,Paramètres!$A$1:$I$89,5,0)</f>
        <v>1.5961632016114892E-13</v>
      </c>
      <c r="CA159" s="13">
        <f t="shared" si="170"/>
        <v>2.2708641912150958E-12</v>
      </c>
      <c r="CB159" s="20">
        <f t="shared" si="171"/>
        <v>4.2330868906469593E-12</v>
      </c>
      <c r="CC159" s="59">
        <f t="shared" si="119"/>
        <v>293.33333333333752</v>
      </c>
      <c r="CD159" s="59">
        <f ca="1">AVERAGE(OFFSET($CC$3,0,0,'Données projet'!$E$12+1,1))-AVERAGE(OFFSET($H$3,0,0,'Données projet'!$E$12+1,1))</f>
        <v>158.58786357608489</v>
      </c>
      <c r="CE159" s="59">
        <f t="shared" si="148"/>
        <v>163.20074068819849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4.1677594708744434E-14</v>
      </c>
      <c r="CV159" s="13">
        <f t="shared" si="173"/>
        <v>6.9326303456159188E-13</v>
      </c>
      <c r="CW159" s="20">
        <f t="shared" si="174"/>
        <v>1.2800215959791691E-12</v>
      </c>
      <c r="CX159" s="59">
        <f t="shared" si="122"/>
        <v>293.33333333333462</v>
      </c>
      <c r="CY159" s="59">
        <f ca="1">AVERAGE(OFFSET($CX$3,0,0,'Données projet'!$E$13+1,1))-AVERAGE(OFFSET($H$3,0,0,'Données projet'!$E$13+1,1))</f>
        <v>178.12968684094687</v>
      </c>
      <c r="CZ159" s="59">
        <f t="shared" si="150"/>
        <v>219.36004077210373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0.23369419881698689</v>
      </c>
      <c r="DH159" s="21">
        <f>EXP(-LN(2)/2)*DH158+(1-EXP(-LN(2)/2))/(LN(2)/2)*DB159*DE159*VLOOKUP('Données projet'!$B$13,Paramètres!$A$1:$I$89,3,0)*0.475*44/12</f>
        <v>1.0752590872454342E-18</v>
      </c>
      <c r="DI159" s="22">
        <f t="shared" si="175"/>
        <v>0.23369419881698689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-8.5265128291212022E-14</v>
      </c>
      <c r="DP159" s="17">
        <f>DO159*VLOOKUP('Données projet'!$B$14,Paramètres!$A$1:$I$89,3,0)*VLOOKUP('Données projet'!$B$14,Paramètres!$A$1:$I$89,5,0)</f>
        <v>-7.7147888077888636E-14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225.28075317732998</v>
      </c>
      <c r="DU159" s="59">
        <f t="shared" si="152"/>
        <v>358.43407531256207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0.18502173614624595</v>
      </c>
      <c r="EB159" s="21">
        <f>EXP(-LN(2)/25)*EB158+(1-EXP(-LN(2)/25))/(LN(2)/25)*Calculateur!DW159*Calculateur!DY159*VLOOKUP('Données projet'!$B$14,Paramètres!$A$1:$I$89,3,0)*0.475*44/12</f>
        <v>0.2514330267230126</v>
      </c>
      <c r="EC159" s="21">
        <f>EXP(-LN(2)/2)*EC158+(1-EXP(-LN(2)/2))/(LN(2)/2)*DW159*DZ159*VLOOKUP('Données projet'!$B$14,Paramètres!$A$1:$I$89,3,0)*0.475*44/12</f>
        <v>4.7856912822468461E-19</v>
      </c>
      <c r="ED159" s="22">
        <f t="shared" si="178"/>
        <v>0.43645476286925855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>
        <f>VLOOKUP(A159,'Données projet'!$A$191:$I$211,2,0)</f>
        <v>195.81410256410257</v>
      </c>
      <c r="EH159" s="12">
        <f>VLOOKUP(A159,'Données projet'!$A$191:$I$211,9,0)</f>
        <v>2.724358974358978</v>
      </c>
      <c r="EI159" s="12">
        <f t="array" ref="EI159">INDEX(EH:EH,MIN(IF(ISNUMBER(EH159:EH355),ROW(EH159:EH355),"")))</f>
        <v>2.724358974358978</v>
      </c>
      <c r="EJ159" s="12">
        <f>IF('Données projet'!$A$192&gt;35,EJ158+EI159-ER158,IF(A159&lt;'Données projet'!$A$192,$EG$205^A159,IF(A159='Données projet'!$A$192,'Données projet'!$B$192,EJ158+EI159-ER158)))</f>
        <v>195.81410256410186</v>
      </c>
      <c r="EK159" s="17">
        <f>EJ159*VLOOKUP('Données projet'!$B$15,Paramètres!$A$1:$I$89,3,0)*VLOOKUP('Données projet'!$B$15,Paramètres!$A$1:$I$89,5,0)</f>
        <v>198.55549999999931</v>
      </c>
      <c r="EL159" s="13">
        <f t="shared" si="179"/>
        <v>49.426576542962245</v>
      </c>
      <c r="EM159" s="20">
        <f t="shared" si="180"/>
        <v>431.902116645658</v>
      </c>
      <c r="EN159" s="59">
        <f t="shared" si="128"/>
        <v>725.23544997899126</v>
      </c>
      <c r="EO159" s="59">
        <f ca="1">AVERAGE(OFFSET($EN$3,0,0,'Données projet'!$E$15+1,1))-AVERAGE(OFFSET($H$3,0,0,'Données projet'!$E$15+1,1))</f>
        <v>363.98308691765931</v>
      </c>
      <c r="EP159" s="59">
        <f t="shared" si="154"/>
        <v>181.47089407988187</v>
      </c>
      <c r="EQ159" s="15">
        <f>IF(ISNA(VLOOKUP(A159,'Données projet'!$A$191:$I$211,3,0)),0,VLOOKUP(A159,'Données projet'!$A$191:$I$211,3,0))</f>
        <v>16</v>
      </c>
      <c r="ER159" s="15">
        <f>IF(ISNA(VLOOKUP(A159,'Données projet'!$A$191:$I$211,4,0)),0,VLOOKUP(A159,'Données projet'!$A$191:$I$211,4,0))</f>
        <v>65.070512820512818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>
        <f>VLOOKUP(A159,'Données projet'!$A$217:$I$237,2,0)</f>
        <v>195.81410256410257</v>
      </c>
      <c r="FC159" s="12">
        <f>VLOOKUP(A159,'Données projet'!$A$217:$I$237,9,0)</f>
        <v>2.724358974358978</v>
      </c>
      <c r="FD159" s="12">
        <f t="array" ref="FD159">INDEX(FC:FC,MIN(IF(ISNUMBER(FC159:FC355),ROW(FC159:FC355),"")))</f>
        <v>2.724358974358978</v>
      </c>
      <c r="FE159" s="12">
        <f>IF('Données projet'!$A$218&gt;35,FE158+FD159-FM158,IF(A159&lt;'Données projet'!$A$218,$FB$205^A159,IF(A159='Données projet'!$A$218,'Données projet'!$B$218,FE158+FD159-FM158)))</f>
        <v>195.81410256410186</v>
      </c>
      <c r="FF159" s="17">
        <f>FE159*VLOOKUP('Données projet'!$B$16,Paramètres!$A$1:$I$89,3,0)*VLOOKUP('Données projet'!$B$16,Paramètres!$A$1:$I$89,5,0)</f>
        <v>210.77429999999922</v>
      </c>
      <c r="FG159" s="13">
        <f t="shared" si="182"/>
        <v>52.10475346934583</v>
      </c>
      <c r="FH159" s="20">
        <f t="shared" si="183"/>
        <v>457.84768479244258</v>
      </c>
      <c r="FI159" s="59">
        <f t="shared" si="131"/>
        <v>751.18101812577584</v>
      </c>
      <c r="FJ159" s="59">
        <f ca="1">AVERAGE(OFFSET($FI$3,0,0,'Données projet'!$E$16+1,1))-AVERAGE(OFFSET($H$3,0,0,'Données projet'!$E$16+1,1))</f>
        <v>395.30533160963489</v>
      </c>
      <c r="FK159" s="59">
        <f t="shared" si="156"/>
        <v>196.02102977695085</v>
      </c>
      <c r="FL159" s="15">
        <f>IF(ISNA(VLOOKUP(A159,'Données projet'!$A$217:$I$237,3,0)),0,VLOOKUP(A159,'Données projet'!$A$217:$I$237,3,0))</f>
        <v>16</v>
      </c>
      <c r="FM159" s="15">
        <f>IF(ISNA(VLOOKUP(A159,'Données projet'!$A$217:$I$237,4,0)),0,VLOOKUP(A159,'Données projet'!$A$217:$I$237,4,0))</f>
        <v>65.070512820512818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227.99999999999986</v>
      </c>
      <c r="GA159" s="17">
        <f>FZ159*VLOOKUP('Données projet'!$B$17,Paramètres!$A$1:$I$89,3,0)*VLOOKUP('Données projet'!$B$17,Paramètres!$A$1:$I$89,5,0)</f>
        <v>238.30559999999986</v>
      </c>
      <c r="GB159" s="13">
        <f t="shared" si="185"/>
        <v>58.074821878967043</v>
      </c>
      <c r="GC159" s="20">
        <f t="shared" si="186"/>
        <v>516.19590143920061</v>
      </c>
      <c r="GD159" s="59">
        <f t="shared" si="134"/>
        <v>809.52923477253398</v>
      </c>
      <c r="GE159" s="59">
        <f ca="1">AVERAGE(OFFSET($GD$3,0,0,'Données projet'!$E$17+1,1))-AVERAGE(OFFSET($H$3,0,0,'Données projet'!$E$17+1,1))</f>
        <v>269.41185214595805</v>
      </c>
      <c r="GF159" s="59">
        <f t="shared" si="158"/>
        <v>299.70148160580993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0.52296486327460801</v>
      </c>
      <c r="GM159" s="21">
        <f>EXP(-LN(2)/25)*GM158+(1-EXP(-LN(2)/25))/(LN(2)/25)*Calculateur!GH159*Calculateur!GJ159*VLOOKUP('Données projet'!$B$17,Paramètres!$A$1:$I$89,3,0)*0.475*44/12</f>
        <v>0.49311964708014477</v>
      </c>
      <c r="GN159" s="21">
        <f>EXP(-LN(2)/2)*GN158+(1-EXP(-LN(2)/2))/(LN(2)/2)*GH159*GK159*VLOOKUP('Données projet'!$B$17,Paramètres!$A$1:$I$89,3,0)*0.475*44/12</f>
        <v>2.0717659969675976E-18</v>
      </c>
      <c r="GO159" s="21">
        <f t="shared" si="187"/>
        <v>1.0160845103547529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5.6843418860808015E-14</v>
      </c>
      <c r="GV159" s="17">
        <f>GU159*VLOOKUP('Données projet'!$B$18,Paramètres!$A$1:$I$89,3,0)*VLOOKUP('Données projet'!$B$18,Paramètres!$A$1:$I$89,5,0)</f>
        <v>4.9658410716801891E-14</v>
      </c>
      <c r="GW159" s="13">
        <f t="shared" si="188"/>
        <v>8.0934058173791862E-13</v>
      </c>
      <c r="GX159" s="20">
        <f t="shared" si="189"/>
        <v>1.4960899118586383E-12</v>
      </c>
      <c r="GY159" s="59">
        <f t="shared" si="137"/>
        <v>293.33333333333479</v>
      </c>
      <c r="GZ159" s="59">
        <f ca="1">AVERAGE(OFFSET($GY$3,0,0,'Données projet'!$E$18+1,1))-AVERAGE(OFFSET($H$3,0,0,'Données projet'!$E$18+1,1))</f>
        <v>226.35975611953359</v>
      </c>
      <c r="HA159" s="59">
        <f t="shared" si="160"/>
        <v>271.65876694892461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0.34319860568471916</v>
      </c>
      <c r="HI159" s="21">
        <f>EXP(-LN(2)/2)*HI158+(1-EXP(-LN(2)/2))/(LN(2)/2)*HC159*HF159*VLOOKUP('Données projet'!$B$18,Paramètres!$A$1:$I$89,3,0)*0.475*44/12</f>
        <v>1.2811597635264745E-18</v>
      </c>
      <c r="HJ159" s="22">
        <f t="shared" si="190"/>
        <v>0.34319860568471916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1.6025641025640975</v>
      </c>
      <c r="N160" s="13">
        <f>IF('Données projet'!$A$36&gt;35,N159+M160-V159,IF(A160&lt;'Données projet'!$A$36,$K$205^A160,IF(A160='Données projet'!$A$36,'Données projet'!$B$36,N159+M160-V159)))</f>
        <v>132.34615384615313</v>
      </c>
      <c r="O160" s="13">
        <f>N160*VLOOKUP('Données projet'!$B$9,Paramètres!$A$1:$I$89,3,0)*VLOOKUP('Données projet'!$B$9,Paramètres!$A$1:$I$89,5,0)</f>
        <v>119.74679999999935</v>
      </c>
      <c r="P160" s="13">
        <f t="shared" si="141"/>
        <v>31.615937294397835</v>
      </c>
      <c r="Q160" s="20">
        <f t="shared" si="162"/>
        <v>263.62343412107509</v>
      </c>
      <c r="R160" s="59">
        <f t="shared" si="109"/>
        <v>556.95676745440846</v>
      </c>
      <c r="S160" s="59">
        <f ca="1">AVERAGE(OFFSET($R$3,0,0,'Données projet'!$E$9+1,1))-AVERAGE(OFFSET($H$3,0,0,'Données projet'!$E$9+1,1))</f>
        <v>309.07357540707869</v>
      </c>
      <c r="T160" s="59">
        <f t="shared" si="142"/>
        <v>155.9593924683299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227.99999999999986</v>
      </c>
      <c r="AJ160" s="13">
        <f>AI160*VLOOKUP('Données projet'!$B$10,Paramètres!$A$1:$I$89,3,0)*VLOOKUP('Données projet'!$B$10,Paramètres!$A$1:$I$89,5,0)</f>
        <v>199.18079999999992</v>
      </c>
      <c r="AK160" s="13">
        <f t="shared" si="164"/>
        <v>49.564089376413683</v>
      </c>
      <c r="AL160" s="20">
        <f t="shared" si="165"/>
        <v>433.23068233058694</v>
      </c>
      <c r="AM160" s="59">
        <f t="shared" si="113"/>
        <v>726.56401566392026</v>
      </c>
      <c r="AN160" s="59">
        <f ca="1">AVERAGE(OFFSET($AM$3,0,0,'Données projet'!$E$10+1,1))-AVERAGE(OFFSET($H$3,0,0,'Données projet'!$E$10+1,1))</f>
        <v>210.07838338464626</v>
      </c>
      <c r="AO160" s="59">
        <f t="shared" si="144"/>
        <v>241.76003724236273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0.42853359868418434</v>
      </c>
      <c r="AV160" s="21">
        <f>EXP(-LN(2)/25)*AV159+(1-EXP(-LN(2)/25))/(LN(2)/25)*Calculateur!AQ160*Calculateur!AS160*VLOOKUP('Données projet'!$B$10,Paramètres!$A$1:$I$89,3,0)*0.475*44/12</f>
        <v>0.40088917621384129</v>
      </c>
      <c r="AW160" s="21">
        <f>EXP(-LN(2)/2)*AW159+(1-EXP(-LN(2)/2))/(LN(2)/2)*AQ160*AT160*VLOOKUP('Données projet'!$B$10,Paramètres!$A$1:$I$89,3,0)*0.475*44/12</f>
        <v>1.224443999810456E-18</v>
      </c>
      <c r="AX160" s="21">
        <f t="shared" si="166"/>
        <v>0.82942277489802563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2.2737367544323206E-13</v>
      </c>
      <c r="BE160" s="13">
        <f>BD160*VLOOKUP('Données projet'!$B$11,Paramètres!$A$1:$I$89,3,0)*VLOOKUP('Données projet'!$B$11,Paramètres!$A$1:$I$89,5,0)</f>
        <v>1.2414602679200471E-13</v>
      </c>
      <c r="BF160" s="13">
        <f t="shared" si="167"/>
        <v>1.8186582995804361E-12</v>
      </c>
      <c r="BG160" s="20">
        <f t="shared" si="168"/>
        <v>3.3837175350986671E-12</v>
      </c>
      <c r="BH160" s="59">
        <f t="shared" si="116"/>
        <v>293.33333333333672</v>
      </c>
      <c r="BI160" s="59">
        <f ca="1">AVERAGE(OFFSET($BH$3,0,0,'Données projet'!$E$11+1,1))-AVERAGE(OFFSET($H$3,0,0,'Données projet'!$E$11+1,1))</f>
        <v>168.72306536277267</v>
      </c>
      <c r="BJ160" s="59">
        <f t="shared" si="146"/>
        <v>203.35476578922339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0.24595828044947018</v>
      </c>
      <c r="BQ160" s="21">
        <f>EXP(-LN(2)/25)*BQ159+(1-EXP(-LN(2)/25))/(LN(2)/25)*Calculateur!BL160*Calculateur!BN160*VLOOKUP('Données projet'!$B$11,Paramètres!$A$1:$I$89,3,0)*0.475*44/12</f>
        <v>0.6795361060660301</v>
      </c>
      <c r="BR160" s="21">
        <f>EXP(-LN(2)/2)*BR159+(1-EXP(-LN(2)/2))/(LN(2)/2)*BL160*BO160*VLOOKUP('Données projet'!$B$11,Paramètres!$A$1:$I$89,3,0)*0.475*44/12</f>
        <v>1.5351216101163545E-18</v>
      </c>
      <c r="BS160" s="22">
        <f t="shared" si="169"/>
        <v>0.92549438651550031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3.4106051316484809E-13</v>
      </c>
      <c r="BZ160" s="13">
        <f>BY160*VLOOKUP('Données projet'!$B$12,Paramètres!$A$1:$I$89,3,0)*VLOOKUP('Données projet'!$B$12,Paramètres!$A$1:$I$89,5,0)</f>
        <v>1.5961632016114892E-13</v>
      </c>
      <c r="CA160" s="13">
        <f t="shared" si="170"/>
        <v>2.2708641912150958E-12</v>
      </c>
      <c r="CB160" s="20">
        <f t="shared" si="171"/>
        <v>4.2330868906469593E-12</v>
      </c>
      <c r="CC160" s="59">
        <f t="shared" si="119"/>
        <v>293.33333333333752</v>
      </c>
      <c r="CD160" s="59">
        <f ca="1">AVERAGE(OFFSET($CC$3,0,0,'Données projet'!$E$12+1,1))-AVERAGE(OFFSET($H$3,0,0,'Données projet'!$E$12+1,1))</f>
        <v>158.58786357608489</v>
      </c>
      <c r="CE160" s="59">
        <f t="shared" si="148"/>
        <v>163.20074068819849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4.1677594708744434E-14</v>
      </c>
      <c r="CV160" s="13">
        <f t="shared" si="173"/>
        <v>6.9326303456159188E-13</v>
      </c>
      <c r="CW160" s="20">
        <f t="shared" si="174"/>
        <v>1.2800215959791691E-12</v>
      </c>
      <c r="CX160" s="59">
        <f t="shared" si="122"/>
        <v>293.33333333333462</v>
      </c>
      <c r="CY160" s="59">
        <f ca="1">AVERAGE(OFFSET($CX$3,0,0,'Données projet'!$E$13+1,1))-AVERAGE(OFFSET($H$3,0,0,'Données projet'!$E$13+1,1))</f>
        <v>178.12968684094687</v>
      </c>
      <c r="CZ160" s="59">
        <f t="shared" si="150"/>
        <v>219.36004077210373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0.22730381866089258</v>
      </c>
      <c r="DH160" s="21">
        <f>EXP(-LN(2)/2)*DH159+(1-EXP(-LN(2)/2))/(LN(2)/2)*DB160*DE160*VLOOKUP('Données projet'!$B$13,Paramètres!$A$1:$I$89,3,0)*0.475*44/12</f>
        <v>7.6032299212370404E-19</v>
      </c>
      <c r="DI160" s="22">
        <f t="shared" si="175"/>
        <v>0.22730381866089258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-8.5265128291212022E-14</v>
      </c>
      <c r="DP160" s="17">
        <f>DO160*VLOOKUP('Données projet'!$B$14,Paramètres!$A$1:$I$89,3,0)*VLOOKUP('Données projet'!$B$14,Paramètres!$A$1:$I$89,5,0)</f>
        <v>-7.7147888077888636E-14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225.28075317732998</v>
      </c>
      <c r="DU160" s="59">
        <f t="shared" si="152"/>
        <v>358.43407531256207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0.1813935727525339</v>
      </c>
      <c r="EB160" s="21">
        <f>EXP(-LN(2)/25)*EB159+(1-EXP(-LN(2)/25))/(LN(2)/25)*Calculateur!DW160*Calculateur!DY160*VLOOKUP('Données projet'!$B$14,Paramètres!$A$1:$I$89,3,0)*0.475*44/12</f>
        <v>0.2445575773849836</v>
      </c>
      <c r="EC160" s="21">
        <f>EXP(-LN(2)/2)*EC159+(1-EXP(-LN(2)/2))/(LN(2)/2)*DW160*DZ160*VLOOKUP('Données projet'!$B$14,Paramètres!$A$1:$I$89,3,0)*0.475*44/12</f>
        <v>3.3839947583420886E-19</v>
      </c>
      <c r="ED160" s="22">
        <f t="shared" si="178"/>
        <v>0.4259511501375175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1.6025641025640975</v>
      </c>
      <c r="EJ160" s="12">
        <f>IF('Données projet'!$A$192&gt;35,EJ159+EI160-ER159,IF(A160&lt;'Données projet'!$A$192,$EG$205^A160,IF(A160='Données projet'!$A$192,'Données projet'!$B$192,EJ159+EI160-ER159)))</f>
        <v>132.34615384615313</v>
      </c>
      <c r="EK160" s="17">
        <f>EJ160*VLOOKUP('Données projet'!$B$15,Paramètres!$A$1:$I$89,3,0)*VLOOKUP('Données projet'!$B$15,Paramètres!$A$1:$I$89,5,0)</f>
        <v>134.19899999999927</v>
      </c>
      <c r="EL160" s="13">
        <f t="shared" si="179"/>
        <v>34.964822539731223</v>
      </c>
      <c r="EM160" s="20">
        <f t="shared" si="180"/>
        <v>294.62699092336396</v>
      </c>
      <c r="EN160" s="59">
        <f t="shared" si="128"/>
        <v>587.96032425669728</v>
      </c>
      <c r="EO160" s="59">
        <f ca="1">AVERAGE(OFFSET($EN$3,0,0,'Données projet'!$E$15+1,1))-AVERAGE(OFFSET($H$3,0,0,'Données projet'!$E$15+1,1))</f>
        <v>363.98308691765931</v>
      </c>
      <c r="EP160" s="59">
        <f t="shared" si="154"/>
        <v>181.47089407988187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1.6025641025640975</v>
      </c>
      <c r="FE160" s="12">
        <f>IF('Données projet'!$A$218&gt;35,FE159+FD160-FM159,IF(A160&lt;'Données projet'!$A$218,$FB$205^A160,IF(A160='Données projet'!$A$218,'Données projet'!$B$218,FE159+FD160-FM159)))</f>
        <v>132.34615384615313</v>
      </c>
      <c r="FF160" s="17">
        <f>FE160*VLOOKUP('Données projet'!$B$16,Paramètres!$A$1:$I$89,3,0)*VLOOKUP('Données projet'!$B$16,Paramètres!$A$1:$I$89,5,0)</f>
        <v>142.45739999999924</v>
      </c>
      <c r="FG160" s="13">
        <f t="shared" si="182"/>
        <v>36.859389946794309</v>
      </c>
      <c r="FH160" s="20">
        <f t="shared" si="183"/>
        <v>312.31007582399877</v>
      </c>
      <c r="FI160" s="59">
        <f t="shared" si="131"/>
        <v>605.64340915733214</v>
      </c>
      <c r="FJ160" s="59">
        <f ca="1">AVERAGE(OFFSET($FI$3,0,0,'Données projet'!$E$16+1,1))-AVERAGE(OFFSET($H$3,0,0,'Données projet'!$E$16+1,1))</f>
        <v>395.30533160963489</v>
      </c>
      <c r="FK160" s="59">
        <f t="shared" si="156"/>
        <v>196.02102977695085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227.99999999999986</v>
      </c>
      <c r="GA160" s="17">
        <f>FZ160*VLOOKUP('Données projet'!$B$17,Paramètres!$A$1:$I$89,3,0)*VLOOKUP('Données projet'!$B$17,Paramètres!$A$1:$I$89,5,0)</f>
        <v>238.30559999999986</v>
      </c>
      <c r="GB160" s="13">
        <f t="shared" si="185"/>
        <v>58.074821878967043</v>
      </c>
      <c r="GC160" s="20">
        <f t="shared" si="186"/>
        <v>516.19590143920061</v>
      </c>
      <c r="GD160" s="59">
        <f t="shared" si="134"/>
        <v>809.52923477253398</v>
      </c>
      <c r="GE160" s="59">
        <f ca="1">AVERAGE(OFFSET($GD$3,0,0,'Données projet'!$E$17+1,1))-AVERAGE(OFFSET($H$3,0,0,'Données projet'!$E$17+1,1))</f>
        <v>269.41185214595805</v>
      </c>
      <c r="GF160" s="59">
        <f t="shared" si="158"/>
        <v>299.70148160580993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0.51270984128286312</v>
      </c>
      <c r="GM160" s="21">
        <f>EXP(-LN(2)/25)*GM159+(1-EXP(-LN(2)/25))/(LN(2)/25)*Calculateur!GH160*Calculateur!GJ160*VLOOKUP('Données projet'!$B$17,Paramètres!$A$1:$I$89,3,0)*0.475*44/12</f>
        <v>0.47963526439870302</v>
      </c>
      <c r="GN160" s="21">
        <f>EXP(-LN(2)/2)*GN159+(1-EXP(-LN(2)/2))/(LN(2)/2)*GH160*GK160*VLOOKUP('Données projet'!$B$17,Paramètres!$A$1:$I$89,3,0)*0.475*44/12</f>
        <v>1.4649597854874965E-18</v>
      </c>
      <c r="GO160" s="21">
        <f t="shared" si="187"/>
        <v>0.9923451056815662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5.6843418860808015E-14</v>
      </c>
      <c r="GV160" s="17">
        <f>GU160*VLOOKUP('Données projet'!$B$18,Paramètres!$A$1:$I$89,3,0)*VLOOKUP('Données projet'!$B$18,Paramètres!$A$1:$I$89,5,0)</f>
        <v>4.9658410716801891E-14</v>
      </c>
      <c r="GW160" s="13">
        <f t="shared" si="188"/>
        <v>8.0934058173791862E-13</v>
      </c>
      <c r="GX160" s="20">
        <f t="shared" si="189"/>
        <v>1.4960899118586383E-12</v>
      </c>
      <c r="GY160" s="59">
        <f t="shared" si="137"/>
        <v>293.33333333333479</v>
      </c>
      <c r="GZ160" s="59">
        <f ca="1">AVERAGE(OFFSET($GY$3,0,0,'Données projet'!$E$18+1,1))-AVERAGE(OFFSET($H$3,0,0,'Données projet'!$E$18+1,1))</f>
        <v>226.35975611953359</v>
      </c>
      <c r="HA160" s="59">
        <f t="shared" si="160"/>
        <v>271.65876694892461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0.33381382176424024</v>
      </c>
      <c r="HI160" s="21">
        <f>EXP(-LN(2)/2)*HI159+(1-EXP(-LN(2)/2))/(LN(2)/2)*HC160*HF160*VLOOKUP('Données projet'!$B$18,Paramètres!$A$1:$I$89,3,0)*0.475*44/12</f>
        <v>9.0591675657292372E-19</v>
      </c>
      <c r="HJ160" s="22">
        <f t="shared" si="190"/>
        <v>0.33381382176424024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1.6025641025640975</v>
      </c>
      <c r="N161" s="13">
        <f>IF('Données projet'!$A$36&gt;35,N160+M161-V160,IF(A161&lt;'Données projet'!$A$36,$K$205^A161,IF(A161='Données projet'!$A$36,'Données projet'!$B$36,N160+M161-V160)))</f>
        <v>133.94871794871722</v>
      </c>
      <c r="O161" s="13">
        <f>N161*VLOOKUP('Données projet'!$B$9,Paramètres!$A$1:$I$89,3,0)*VLOOKUP('Données projet'!$B$9,Paramètres!$A$1:$I$89,5,0)</f>
        <v>121.19679999999934</v>
      </c>
      <c r="P161" s="13">
        <f t="shared" si="141"/>
        <v>31.953971815874091</v>
      </c>
      <c r="Q161" s="20">
        <f t="shared" si="162"/>
        <v>266.73759424597955</v>
      </c>
      <c r="R161" s="59">
        <f t="shared" si="109"/>
        <v>560.07092757931287</v>
      </c>
      <c r="S161" s="59">
        <f ca="1">AVERAGE(OFFSET($R$3,0,0,'Données projet'!$E$9+1,1))-AVERAGE(OFFSET($H$3,0,0,'Données projet'!$E$9+1,1))</f>
        <v>309.07357540707869</v>
      </c>
      <c r="T161" s="59">
        <f t="shared" si="142"/>
        <v>155.9593924683299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227.99999999999986</v>
      </c>
      <c r="AJ161" s="13">
        <f>AI161*VLOOKUP('Données projet'!$B$10,Paramètres!$A$1:$I$89,3,0)*VLOOKUP('Données projet'!$B$10,Paramètres!$A$1:$I$89,5,0)</f>
        <v>199.18079999999992</v>
      </c>
      <c r="AK161" s="13">
        <f t="shared" si="164"/>
        <v>49.564089376413683</v>
      </c>
      <c r="AL161" s="20">
        <f t="shared" si="165"/>
        <v>433.23068233058694</v>
      </c>
      <c r="AM161" s="59">
        <f t="shared" si="113"/>
        <v>726.56401566392026</v>
      </c>
      <c r="AN161" s="59">
        <f ca="1">AVERAGE(OFFSET($AM$3,0,0,'Données projet'!$E$10+1,1))-AVERAGE(OFFSET($H$3,0,0,'Données projet'!$E$10+1,1))</f>
        <v>210.07838338464626</v>
      </c>
      <c r="AO161" s="59">
        <f t="shared" si="144"/>
        <v>241.76003724236273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0.42013031619367358</v>
      </c>
      <c r="AV161" s="21">
        <f>EXP(-LN(2)/25)*AV160+(1-EXP(-LN(2)/25))/(LN(2)/25)*Calculateur!AQ161*Calculateur!AS161*VLOOKUP('Données projet'!$B$10,Paramètres!$A$1:$I$89,3,0)*0.475*44/12</f>
        <v>0.38992684060842825</v>
      </c>
      <c r="AW161" s="21">
        <f>EXP(-LN(2)/2)*AW160+(1-EXP(-LN(2)/2))/(LN(2)/2)*AQ161*AT161*VLOOKUP('Données projet'!$B$10,Paramètres!$A$1:$I$89,3,0)*0.475*44/12</f>
        <v>8.6581265544915324E-19</v>
      </c>
      <c r="AX161" s="21">
        <f t="shared" si="166"/>
        <v>0.81005715680210177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2.2737367544323206E-13</v>
      </c>
      <c r="BE161" s="13">
        <f>BD161*VLOOKUP('Données projet'!$B$11,Paramètres!$A$1:$I$89,3,0)*VLOOKUP('Données projet'!$B$11,Paramètres!$A$1:$I$89,5,0)</f>
        <v>1.2414602679200471E-13</v>
      </c>
      <c r="BF161" s="13">
        <f t="shared" si="167"/>
        <v>1.8186582995804361E-12</v>
      </c>
      <c r="BG161" s="20">
        <f t="shared" si="168"/>
        <v>3.3837175350986671E-12</v>
      </c>
      <c r="BH161" s="59">
        <f t="shared" si="116"/>
        <v>293.33333333333672</v>
      </c>
      <c r="BI161" s="59">
        <f ca="1">AVERAGE(OFFSET($BH$3,0,0,'Données projet'!$E$11+1,1))-AVERAGE(OFFSET($H$3,0,0,'Données projet'!$E$11+1,1))</f>
        <v>168.72306536277267</v>
      </c>
      <c r="BJ161" s="59">
        <f t="shared" si="146"/>
        <v>203.35476578922339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0.24113518858959393</v>
      </c>
      <c r="BQ161" s="21">
        <f>EXP(-LN(2)/25)*BQ160+(1-EXP(-LN(2)/25))/(LN(2)/25)*Calculateur!BL161*Calculateur!BN161*VLOOKUP('Données projet'!$B$11,Paramètres!$A$1:$I$89,3,0)*0.475*44/12</f>
        <v>0.66095415551040382</v>
      </c>
      <c r="BR161" s="21">
        <f>EXP(-LN(2)/2)*BR160+(1-EXP(-LN(2)/2))/(LN(2)/2)*BL161*BO161*VLOOKUP('Données projet'!$B$11,Paramètres!$A$1:$I$89,3,0)*0.475*44/12</f>
        <v>1.0854949004592856E-18</v>
      </c>
      <c r="BS161" s="22">
        <f t="shared" si="169"/>
        <v>0.90208934409999775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3.4106051316484809E-13</v>
      </c>
      <c r="BZ161" s="13">
        <f>BY161*VLOOKUP('Données projet'!$B$12,Paramètres!$A$1:$I$89,3,0)*VLOOKUP('Données projet'!$B$12,Paramètres!$A$1:$I$89,5,0)</f>
        <v>1.5961632016114892E-13</v>
      </c>
      <c r="CA161" s="13">
        <f t="shared" si="170"/>
        <v>2.2708641912150958E-12</v>
      </c>
      <c r="CB161" s="20">
        <f t="shared" si="171"/>
        <v>4.2330868906469593E-12</v>
      </c>
      <c r="CC161" s="59">
        <f t="shared" si="119"/>
        <v>293.33333333333752</v>
      </c>
      <c r="CD161" s="59">
        <f ca="1">AVERAGE(OFFSET($CC$3,0,0,'Données projet'!$E$12+1,1))-AVERAGE(OFFSET($H$3,0,0,'Données projet'!$E$12+1,1))</f>
        <v>158.58786357608489</v>
      </c>
      <c r="CE161" s="59">
        <f t="shared" si="148"/>
        <v>163.20074068819849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4.1677594708744434E-14</v>
      </c>
      <c r="CV161" s="13">
        <f t="shared" si="173"/>
        <v>6.9326303456159188E-13</v>
      </c>
      <c r="CW161" s="20">
        <f t="shared" si="174"/>
        <v>1.2800215959791691E-12</v>
      </c>
      <c r="CX161" s="59">
        <f t="shared" si="122"/>
        <v>293.33333333333462</v>
      </c>
      <c r="CY161" s="59">
        <f ca="1">AVERAGE(OFFSET($CX$3,0,0,'Données projet'!$E$13+1,1))-AVERAGE(OFFSET($H$3,0,0,'Données projet'!$E$13+1,1))</f>
        <v>178.12968684094687</v>
      </c>
      <c r="CZ161" s="59">
        <f t="shared" si="150"/>
        <v>219.36004077210373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0.22108818378622216</v>
      </c>
      <c r="DH161" s="21">
        <f>EXP(-LN(2)/2)*DH160+(1-EXP(-LN(2)/2))/(LN(2)/2)*DB161*DE161*VLOOKUP('Données projet'!$B$13,Paramètres!$A$1:$I$89,3,0)*0.475*44/12</f>
        <v>5.3762954362271709E-19</v>
      </c>
      <c r="DI161" s="22">
        <f t="shared" si="175"/>
        <v>0.22108818378622216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-8.5265128291212022E-14</v>
      </c>
      <c r="DP161" s="17">
        <f>DO161*VLOOKUP('Données projet'!$B$14,Paramètres!$A$1:$I$89,3,0)*VLOOKUP('Données projet'!$B$14,Paramètres!$A$1:$I$89,5,0)</f>
        <v>-7.7147888077888636E-14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225.28075317732998</v>
      </c>
      <c r="DU161" s="59">
        <f t="shared" si="152"/>
        <v>358.43407531256207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0.17783655543001137</v>
      </c>
      <c r="EB161" s="21">
        <f>EXP(-LN(2)/25)*EB160+(1-EXP(-LN(2)/25))/(LN(2)/25)*Calculateur!DW161*Calculateur!DY161*VLOOKUP('Données projet'!$B$14,Paramètres!$A$1:$I$89,3,0)*0.475*44/12</f>
        <v>0.23787013757066716</v>
      </c>
      <c r="EC161" s="21">
        <f>EXP(-LN(2)/2)*EC160+(1-EXP(-LN(2)/2))/(LN(2)/2)*DW161*DZ161*VLOOKUP('Données projet'!$B$14,Paramètres!$A$1:$I$89,3,0)*0.475*44/12</f>
        <v>2.392845641123423E-19</v>
      </c>
      <c r="ED161" s="22">
        <f t="shared" si="178"/>
        <v>0.41570669300067853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1.6025641025640975</v>
      </c>
      <c r="EJ161" s="12">
        <f>IF('Données projet'!$A$192&gt;35,EJ160+EI161-ER160,IF(A161&lt;'Données projet'!$A$192,$EG$205^A161,IF(A161='Données projet'!$A$192,'Données projet'!$B$192,EJ160+EI161-ER160)))</f>
        <v>133.94871794871722</v>
      </c>
      <c r="EK161" s="17">
        <f>EJ161*VLOOKUP('Données projet'!$B$15,Paramètres!$A$1:$I$89,3,0)*VLOOKUP('Données projet'!$B$15,Paramètres!$A$1:$I$89,5,0)</f>
        <v>135.82399999999927</v>
      </c>
      <c r="EL161" s="13">
        <f t="shared" si="179"/>
        <v>35.338663015996801</v>
      </c>
      <c r="EM161" s="20">
        <f t="shared" si="180"/>
        <v>298.10830475285985</v>
      </c>
      <c r="EN161" s="59">
        <f t="shared" si="128"/>
        <v>591.44163808619317</v>
      </c>
      <c r="EO161" s="59">
        <f ca="1">AVERAGE(OFFSET($EN$3,0,0,'Données projet'!$E$15+1,1))-AVERAGE(OFFSET($H$3,0,0,'Données projet'!$E$15+1,1))</f>
        <v>363.98308691765931</v>
      </c>
      <c r="EP161" s="59">
        <f t="shared" si="154"/>
        <v>181.47089407988187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1.6025641025640975</v>
      </c>
      <c r="FE161" s="12">
        <f>IF('Données projet'!$A$218&gt;35,FE160+FD161-FM160,IF(A161&lt;'Données projet'!$A$218,$FB$205^A161,IF(A161='Données projet'!$A$218,'Données projet'!$B$218,FE160+FD161-FM160)))</f>
        <v>133.94871794871722</v>
      </c>
      <c r="FF161" s="17">
        <f>FE161*VLOOKUP('Données projet'!$B$16,Paramètres!$A$1:$I$89,3,0)*VLOOKUP('Données projet'!$B$16,Paramètres!$A$1:$I$89,5,0)</f>
        <v>144.18239999999921</v>
      </c>
      <c r="FG161" s="13">
        <f t="shared" si="182"/>
        <v>37.253486953204401</v>
      </c>
      <c r="FH161" s="20">
        <f t="shared" si="183"/>
        <v>316.00083644349627</v>
      </c>
      <c r="FI161" s="59">
        <f t="shared" si="131"/>
        <v>609.33416977682964</v>
      </c>
      <c r="FJ161" s="59">
        <f ca="1">AVERAGE(OFFSET($FI$3,0,0,'Données projet'!$E$16+1,1))-AVERAGE(OFFSET($H$3,0,0,'Données projet'!$E$16+1,1))</f>
        <v>395.30533160963489</v>
      </c>
      <c r="FK161" s="59">
        <f t="shared" si="156"/>
        <v>196.02102977695085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227.99999999999986</v>
      </c>
      <c r="GA161" s="17">
        <f>FZ161*VLOOKUP('Données projet'!$B$17,Paramètres!$A$1:$I$89,3,0)*VLOOKUP('Données projet'!$B$17,Paramètres!$A$1:$I$89,5,0)</f>
        <v>238.30559999999986</v>
      </c>
      <c r="GB161" s="13">
        <f t="shared" si="185"/>
        <v>58.074821878967043</v>
      </c>
      <c r="GC161" s="20">
        <f t="shared" si="186"/>
        <v>516.19590143920061</v>
      </c>
      <c r="GD161" s="59">
        <f t="shared" si="134"/>
        <v>809.52923477253398</v>
      </c>
      <c r="GE161" s="59">
        <f ca="1">AVERAGE(OFFSET($GD$3,0,0,'Données projet'!$E$17+1,1))-AVERAGE(OFFSET($H$3,0,0,'Données projet'!$E$17+1,1))</f>
        <v>269.41185214595805</v>
      </c>
      <c r="GF161" s="59">
        <f t="shared" si="158"/>
        <v>299.70148160580993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0.50265591401743059</v>
      </c>
      <c r="GM161" s="21">
        <f>EXP(-LN(2)/25)*GM160+(1-EXP(-LN(2)/25))/(LN(2)/25)*Calculateur!GH161*Calculateur!GJ161*VLOOKUP('Données projet'!$B$17,Paramètres!$A$1:$I$89,3,0)*0.475*44/12</f>
        <v>0.46651961287079813</v>
      </c>
      <c r="GN161" s="21">
        <f>EXP(-LN(2)/2)*GN160+(1-EXP(-LN(2)/2))/(LN(2)/2)*GH161*GK161*VLOOKUP('Données projet'!$B$17,Paramètres!$A$1:$I$89,3,0)*0.475*44/12</f>
        <v>1.0358829984837988E-18</v>
      </c>
      <c r="GO161" s="21">
        <f t="shared" si="187"/>
        <v>0.96917552688822872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5.6843418860808015E-14</v>
      </c>
      <c r="GV161" s="17">
        <f>GU161*VLOOKUP('Données projet'!$B$18,Paramètres!$A$1:$I$89,3,0)*VLOOKUP('Données projet'!$B$18,Paramètres!$A$1:$I$89,5,0)</f>
        <v>4.9658410716801891E-14</v>
      </c>
      <c r="GW161" s="13">
        <f t="shared" si="188"/>
        <v>8.0934058173791862E-13</v>
      </c>
      <c r="GX161" s="20">
        <f t="shared" si="189"/>
        <v>1.4960899118586383E-12</v>
      </c>
      <c r="GY161" s="59">
        <f t="shared" si="137"/>
        <v>293.33333333333479</v>
      </c>
      <c r="GZ161" s="59">
        <f ca="1">AVERAGE(OFFSET($GY$3,0,0,'Données projet'!$E$18+1,1))-AVERAGE(OFFSET($H$3,0,0,'Données projet'!$E$18+1,1))</f>
        <v>226.35975611953359</v>
      </c>
      <c r="HA161" s="59">
        <f t="shared" si="160"/>
        <v>271.65876694892461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0.32468566525359116</v>
      </c>
      <c r="HI161" s="21">
        <f>EXP(-LN(2)/2)*HI160+(1-EXP(-LN(2)/2))/(LN(2)/2)*HC161*HF161*VLOOKUP('Données projet'!$B$18,Paramètres!$A$1:$I$89,3,0)*0.475*44/12</f>
        <v>6.4057988176323723E-19</v>
      </c>
      <c r="HJ161" s="22">
        <f t="shared" si="190"/>
        <v>0.32468566525359116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135.55128205128204</v>
      </c>
      <c r="L162" s="12">
        <f>VLOOKUP(A162,'Données projet'!$A$35:$I$55,9,0)</f>
        <v>1.6025641025640975</v>
      </c>
      <c r="M162" s="12">
        <f t="array" ref="M162">INDEX(L:L,MIN(IF(ISNUMBER(L162:L358),ROW(L162:L358),"")))</f>
        <v>1.6025641025640975</v>
      </c>
      <c r="N162" s="13">
        <f>IF('Données projet'!$A$36&gt;35,N161+M162-V161,IF(A162&lt;'Données projet'!$A$36,$K$205^A162,IF(A162='Données projet'!$A$36,'Données projet'!$B$36,N161+M162-V161)))</f>
        <v>135.55128205128131</v>
      </c>
      <c r="O162" s="13">
        <f>N162*VLOOKUP('Données projet'!$B$9,Paramètres!$A$1:$I$89,3,0)*VLOOKUP('Données projet'!$B$9,Paramètres!$A$1:$I$89,5,0)</f>
        <v>122.64679999999932</v>
      </c>
      <c r="P162" s="13">
        <f t="shared" si="141"/>
        <v>32.291535902514525</v>
      </c>
      <c r="Q162" s="20">
        <f t="shared" si="162"/>
        <v>269.85093503021159</v>
      </c>
      <c r="R162" s="59">
        <f t="shared" si="109"/>
        <v>563.1842683635449</v>
      </c>
      <c r="S162" s="59">
        <f ca="1">AVERAGE(OFFSET($R$3,0,0,'Données projet'!$E$9+1,1))-AVERAGE(OFFSET($H$3,0,0,'Données projet'!$E$9+1,1))</f>
        <v>309.07357540707869</v>
      </c>
      <c r="T162" s="59">
        <f t="shared" si="142"/>
        <v>155.9593924683299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135.55128205128204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227.99999999999986</v>
      </c>
      <c r="AJ162" s="13">
        <f>AI162*VLOOKUP('Données projet'!$B$10,Paramètres!$A$1:$I$89,3,0)*VLOOKUP('Données projet'!$B$10,Paramètres!$A$1:$I$89,5,0)</f>
        <v>199.18079999999992</v>
      </c>
      <c r="AK162" s="13">
        <f t="shared" si="164"/>
        <v>49.564089376413683</v>
      </c>
      <c r="AL162" s="20">
        <f t="shared" si="165"/>
        <v>433.23068233058694</v>
      </c>
      <c r="AM162" s="59">
        <f t="shared" si="113"/>
        <v>726.56401566392026</v>
      </c>
      <c r="AN162" s="59">
        <f ca="1">AVERAGE(OFFSET($AM$3,0,0,'Données projet'!$E$10+1,1))-AVERAGE(OFFSET($H$3,0,0,'Données projet'!$E$10+1,1))</f>
        <v>210.07838338464626</v>
      </c>
      <c r="AO162" s="59">
        <f t="shared" si="144"/>
        <v>241.76003724236273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0.41189181694730553</v>
      </c>
      <c r="AV162" s="21">
        <f>EXP(-LN(2)/25)*AV161+(1-EXP(-LN(2)/25))/(LN(2)/25)*Calculateur!AQ162*Calculateur!AS162*VLOOKUP('Données projet'!$B$10,Paramètres!$A$1:$I$89,3,0)*0.475*44/12</f>
        <v>0.37926427064662943</v>
      </c>
      <c r="AW162" s="21">
        <f>EXP(-LN(2)/2)*AW161+(1-EXP(-LN(2)/2))/(LN(2)/2)*AQ162*AT162*VLOOKUP('Données projet'!$B$10,Paramètres!$A$1:$I$89,3,0)*0.475*44/12</f>
        <v>6.1222199990522812E-19</v>
      </c>
      <c r="AX162" s="21">
        <f t="shared" si="166"/>
        <v>0.79115608759393496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2.2737367544323206E-13</v>
      </c>
      <c r="BE162" s="13">
        <f>BD162*VLOOKUP('Données projet'!$B$11,Paramètres!$A$1:$I$89,3,0)*VLOOKUP('Données projet'!$B$11,Paramètres!$A$1:$I$89,5,0)</f>
        <v>1.2414602679200471E-13</v>
      </c>
      <c r="BF162" s="13">
        <f t="shared" si="167"/>
        <v>1.8186582995804361E-12</v>
      </c>
      <c r="BG162" s="20">
        <f t="shared" si="168"/>
        <v>3.3837175350986671E-12</v>
      </c>
      <c r="BH162" s="59">
        <f t="shared" si="116"/>
        <v>293.33333333333672</v>
      </c>
      <c r="BI162" s="59">
        <f ca="1">AVERAGE(OFFSET($BH$3,0,0,'Données projet'!$E$11+1,1))-AVERAGE(OFFSET($H$3,0,0,'Données projet'!$E$11+1,1))</f>
        <v>168.72306536277267</v>
      </c>
      <c r="BJ162" s="59">
        <f t="shared" si="146"/>
        <v>203.35476578922339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0.23640667461929429</v>
      </c>
      <c r="BQ162" s="21">
        <f>EXP(-LN(2)/25)*BQ161+(1-EXP(-LN(2)/25))/(LN(2)/25)*Calculateur!BL162*Calculateur!BN162*VLOOKUP('Données projet'!$B$11,Paramètres!$A$1:$I$89,3,0)*0.475*44/12</f>
        <v>0.64288032936990347</v>
      </c>
      <c r="BR162" s="21">
        <f>EXP(-LN(2)/2)*BR161+(1-EXP(-LN(2)/2))/(LN(2)/2)*BL162*BO162*VLOOKUP('Données projet'!$B$11,Paramètres!$A$1:$I$89,3,0)*0.475*44/12</f>
        <v>7.6756080505817726E-19</v>
      </c>
      <c r="BS162" s="22">
        <f t="shared" si="169"/>
        <v>0.87928700398919779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3.4106051316484809E-13</v>
      </c>
      <c r="BZ162" s="13">
        <f>BY162*VLOOKUP('Données projet'!$B$12,Paramètres!$A$1:$I$89,3,0)*VLOOKUP('Données projet'!$B$12,Paramètres!$A$1:$I$89,5,0)</f>
        <v>1.5961632016114892E-13</v>
      </c>
      <c r="CA162" s="13">
        <f t="shared" si="170"/>
        <v>2.2708641912150958E-12</v>
      </c>
      <c r="CB162" s="20">
        <f t="shared" si="171"/>
        <v>4.2330868906469593E-12</v>
      </c>
      <c r="CC162" s="59">
        <f t="shared" si="119"/>
        <v>293.33333333333752</v>
      </c>
      <c r="CD162" s="59">
        <f ca="1">AVERAGE(OFFSET($CC$3,0,0,'Données projet'!$E$12+1,1))-AVERAGE(OFFSET($H$3,0,0,'Données projet'!$E$12+1,1))</f>
        <v>158.58786357608489</v>
      </c>
      <c r="CE162" s="59">
        <f t="shared" si="148"/>
        <v>163.20074068819849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4.1677594708744434E-14</v>
      </c>
      <c r="CV162" s="13">
        <f t="shared" si="173"/>
        <v>6.9326303456159188E-13</v>
      </c>
      <c r="CW162" s="20">
        <f t="shared" si="174"/>
        <v>1.2800215959791691E-12</v>
      </c>
      <c r="CX162" s="59">
        <f t="shared" si="122"/>
        <v>293.33333333333462</v>
      </c>
      <c r="CY162" s="59">
        <f ca="1">AVERAGE(OFFSET($CX$3,0,0,'Données projet'!$E$13+1,1))-AVERAGE(OFFSET($H$3,0,0,'Données projet'!$E$13+1,1))</f>
        <v>178.12968684094687</v>
      </c>
      <c r="CZ162" s="59">
        <f t="shared" si="150"/>
        <v>219.36004077210373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0.21504251577406563</v>
      </c>
      <c r="DH162" s="21">
        <f>EXP(-LN(2)/2)*DH161+(1-EXP(-LN(2)/2))/(LN(2)/2)*DB162*DE162*VLOOKUP('Données projet'!$B$13,Paramètres!$A$1:$I$89,3,0)*0.475*44/12</f>
        <v>3.8016149606185202E-19</v>
      </c>
      <c r="DI162" s="22">
        <f t="shared" si="175"/>
        <v>0.21504251577406563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-8.5265128291212022E-14</v>
      </c>
      <c r="DP162" s="17">
        <f>DO162*VLOOKUP('Données projet'!$B$14,Paramètres!$A$1:$I$89,3,0)*VLOOKUP('Données projet'!$B$14,Paramètres!$A$1:$I$89,5,0)</f>
        <v>-7.7147888077888636E-14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225.28075317732998</v>
      </c>
      <c r="DU162" s="59">
        <f t="shared" si="152"/>
        <v>358.43407531256207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0.17434928904761718</v>
      </c>
      <c r="EB162" s="21">
        <f>EXP(-LN(2)/25)*EB161+(1-EXP(-LN(2)/25))/(LN(2)/25)*Calculateur!DW162*Calculateur!DY162*VLOOKUP('Données projet'!$B$14,Paramètres!$A$1:$I$89,3,0)*0.475*44/12</f>
        <v>0.2313655661497504</v>
      </c>
      <c r="EC162" s="21">
        <f>EXP(-LN(2)/2)*EC161+(1-EXP(-LN(2)/2))/(LN(2)/2)*DW162*DZ162*VLOOKUP('Données projet'!$B$14,Paramètres!$A$1:$I$89,3,0)*0.475*44/12</f>
        <v>1.6919973791710443E-19</v>
      </c>
      <c r="ED162" s="22">
        <f t="shared" si="178"/>
        <v>0.40571485519736761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>
        <f>VLOOKUP(A162,'Données projet'!$A$191:$I$211,2,0)</f>
        <v>135.55128205128204</v>
      </c>
      <c r="EH162" s="12">
        <f>VLOOKUP(A162,'Données projet'!$A$191:$I$211,9,0)</f>
        <v>1.6025641025640975</v>
      </c>
      <c r="EI162" s="12">
        <f t="array" ref="EI162">INDEX(EH:EH,MIN(IF(ISNUMBER(EH162:EH358),ROW(EH162:EH358),"")))</f>
        <v>1.6025641025640975</v>
      </c>
      <c r="EJ162" s="12">
        <f>IF('Données projet'!$A$192&gt;35,EJ161+EI162-ER161,IF(A162&lt;'Données projet'!$A$192,$EG$205^A162,IF(A162='Données projet'!$A$192,'Données projet'!$B$192,EJ161+EI162-ER161)))</f>
        <v>135.55128205128131</v>
      </c>
      <c r="EK162" s="17">
        <f>EJ162*VLOOKUP('Données projet'!$B$15,Paramètres!$A$1:$I$89,3,0)*VLOOKUP('Données projet'!$B$15,Paramètres!$A$1:$I$89,5,0)</f>
        <v>137.44899999999924</v>
      </c>
      <c r="EL162" s="13">
        <f t="shared" si="179"/>
        <v>35.711983227106302</v>
      </c>
      <c r="EM162" s="20">
        <f t="shared" si="180"/>
        <v>301.58871245387547</v>
      </c>
      <c r="EN162" s="59">
        <f t="shared" si="128"/>
        <v>594.92204578720884</v>
      </c>
      <c r="EO162" s="59">
        <f ca="1">AVERAGE(OFFSET($EN$3,0,0,'Données projet'!$E$15+1,1))-AVERAGE(OFFSET($H$3,0,0,'Données projet'!$E$15+1,1))</f>
        <v>363.98308691765931</v>
      </c>
      <c r="EP162" s="59">
        <f t="shared" si="154"/>
        <v>181.47089407988187</v>
      </c>
      <c r="EQ162" s="15">
        <f>IF(ISNA(VLOOKUP(A162,'Données projet'!$A$191:$I$211,3,0)),0,VLOOKUP(A162,'Données projet'!$A$191:$I$211,3,0))</f>
        <v>17</v>
      </c>
      <c r="ER162" s="15">
        <f>IF(ISNA(VLOOKUP(A162,'Données projet'!$A$191:$I$211,4,0)),0,VLOOKUP(A162,'Données projet'!$A$191:$I$211,4,0))</f>
        <v>135.55128205128204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>
        <f>VLOOKUP(A162,'Données projet'!$A$217:$I$237,2,0)</f>
        <v>135.55128205128204</v>
      </c>
      <c r="FC162" s="12">
        <f>VLOOKUP(A162,'Données projet'!$A$217:$I$237,9,0)</f>
        <v>1.6025641025640975</v>
      </c>
      <c r="FD162" s="12">
        <f t="array" ref="FD162">INDEX(FC:FC,MIN(IF(ISNUMBER(FC162:FC358),ROW(FC162:FC358),"")))</f>
        <v>1.6025641025640975</v>
      </c>
      <c r="FE162" s="12">
        <f>IF('Données projet'!$A$218&gt;35,FE161+FD162-FM161,IF(A162&lt;'Données projet'!$A$218,$FB$205^A162,IF(A162='Données projet'!$A$218,'Données projet'!$B$218,FE161+FD162-FM161)))</f>
        <v>135.55128205128131</v>
      </c>
      <c r="FF162" s="17">
        <f>FE162*VLOOKUP('Données projet'!$B$16,Paramètres!$A$1:$I$89,3,0)*VLOOKUP('Données projet'!$B$16,Paramètres!$A$1:$I$89,5,0)</f>
        <v>145.9073999999992</v>
      </c>
      <c r="FG162" s="13">
        <f t="shared" si="182"/>
        <v>37.647035503913315</v>
      </c>
      <c r="FH162" s="20">
        <f t="shared" si="183"/>
        <v>319.69064183598095</v>
      </c>
      <c r="FI162" s="59">
        <f t="shared" si="131"/>
        <v>613.02397516931433</v>
      </c>
      <c r="FJ162" s="59">
        <f ca="1">AVERAGE(OFFSET($FI$3,0,0,'Données projet'!$E$16+1,1))-AVERAGE(OFFSET($H$3,0,0,'Données projet'!$E$16+1,1))</f>
        <v>395.30533160963489</v>
      </c>
      <c r="FK162" s="59">
        <f t="shared" si="156"/>
        <v>196.02102977695085</v>
      </c>
      <c r="FL162" s="15">
        <f>IF(ISNA(VLOOKUP(A162,'Données projet'!$A$217:$I$237,3,0)),0,VLOOKUP(A162,'Données projet'!$A$217:$I$237,3,0))</f>
        <v>17</v>
      </c>
      <c r="FM162" s="15">
        <f>IF(ISNA(VLOOKUP(A162,'Données projet'!$A$217:$I$237,4,0)),0,VLOOKUP(A162,'Données projet'!$A$217:$I$237,4,0))</f>
        <v>135.55128205128204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227.99999999999986</v>
      </c>
      <c r="GA162" s="17">
        <f>FZ162*VLOOKUP('Données projet'!$B$17,Paramètres!$A$1:$I$89,3,0)*VLOOKUP('Données projet'!$B$17,Paramètres!$A$1:$I$89,5,0)</f>
        <v>238.30559999999986</v>
      </c>
      <c r="GB162" s="13">
        <f t="shared" si="185"/>
        <v>58.074821878967043</v>
      </c>
      <c r="GC162" s="20">
        <f t="shared" si="186"/>
        <v>516.19590143920061</v>
      </c>
      <c r="GD162" s="59">
        <f t="shared" si="134"/>
        <v>809.52923477253398</v>
      </c>
      <c r="GE162" s="59">
        <f ca="1">AVERAGE(OFFSET($GD$3,0,0,'Données projet'!$E$17+1,1))-AVERAGE(OFFSET($H$3,0,0,'Données projet'!$E$17+1,1))</f>
        <v>269.41185214595805</v>
      </c>
      <c r="GF162" s="59">
        <f t="shared" si="158"/>
        <v>299.70148160580993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0.49279913813338311</v>
      </c>
      <c r="GM162" s="21">
        <f>EXP(-LN(2)/25)*GM161+(1-EXP(-LN(2)/25))/(LN(2)/25)*Calculateur!GH162*Calculateur!GJ162*VLOOKUP('Données projet'!$B$17,Paramètres!$A$1:$I$89,3,0)*0.475*44/12</f>
        <v>0.45376260952364594</v>
      </c>
      <c r="GN162" s="21">
        <f>EXP(-LN(2)/2)*GN161+(1-EXP(-LN(2)/2))/(LN(2)/2)*GH162*GK162*VLOOKUP('Données projet'!$B$17,Paramètres!$A$1:$I$89,3,0)*0.475*44/12</f>
        <v>7.3247989274374825E-19</v>
      </c>
      <c r="GO162" s="21">
        <f t="shared" si="187"/>
        <v>0.94656174765702905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5.6843418860808015E-14</v>
      </c>
      <c r="GV162" s="17">
        <f>GU162*VLOOKUP('Données projet'!$B$18,Paramètres!$A$1:$I$89,3,0)*VLOOKUP('Données projet'!$B$18,Paramètres!$A$1:$I$89,5,0)</f>
        <v>4.9658410716801891E-14</v>
      </c>
      <c r="GW162" s="13">
        <f t="shared" si="188"/>
        <v>8.0934058173791862E-13</v>
      </c>
      <c r="GX162" s="20">
        <f t="shared" si="189"/>
        <v>1.4960899118586383E-12</v>
      </c>
      <c r="GY162" s="59">
        <f t="shared" si="137"/>
        <v>293.33333333333479</v>
      </c>
      <c r="GZ162" s="59">
        <f ca="1">AVERAGE(OFFSET($GY$3,0,0,'Données projet'!$E$18+1,1))-AVERAGE(OFFSET($H$3,0,0,'Données projet'!$E$18+1,1))</f>
        <v>226.35975611953359</v>
      </c>
      <c r="HA162" s="59">
        <f t="shared" si="160"/>
        <v>271.65876694892461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0.31580711866275463</v>
      </c>
      <c r="HI162" s="21">
        <f>EXP(-LN(2)/2)*HI161+(1-EXP(-LN(2)/2))/(LN(2)/2)*HC162*HF162*VLOOKUP('Données projet'!$B$18,Paramètres!$A$1:$I$89,3,0)*0.475*44/12</f>
        <v>4.5295837828646186E-19</v>
      </c>
      <c r="HJ162" s="22">
        <f t="shared" si="190"/>
        <v>0.31580711866275463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-7.3896444519050419E-13</v>
      </c>
      <c r="O163" s="13">
        <f>N163*VLOOKUP('Données projet'!$B$9,Paramètres!$A$1:$I$89,3,0)*VLOOKUP('Données projet'!$B$9,Paramètres!$A$1:$I$89,5,0)</f>
        <v>-6.6861503000836817E-13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309.07357540707869</v>
      </c>
      <c r="T163" s="59">
        <f t="shared" si="142"/>
        <v>155.9593924683299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227.99999999999986</v>
      </c>
      <c r="AJ163" s="13">
        <f>AI163*VLOOKUP('Données projet'!$B$10,Paramètres!$A$1:$I$89,3,0)*VLOOKUP('Données projet'!$B$10,Paramètres!$A$1:$I$89,5,0)</f>
        <v>199.18079999999992</v>
      </c>
      <c r="AK163" s="13">
        <f t="shared" si="164"/>
        <v>49.564089376413683</v>
      </c>
      <c r="AL163" s="20">
        <f t="shared" si="165"/>
        <v>433.23068233058694</v>
      </c>
      <c r="AM163" s="59">
        <f t="shared" si="113"/>
        <v>726.56401566392026</v>
      </c>
      <c r="AN163" s="59">
        <f ca="1">AVERAGE(OFFSET($AM$3,0,0,'Données projet'!$E$10+1,1))-AVERAGE(OFFSET($H$3,0,0,'Données projet'!$E$10+1,1))</f>
        <v>210.07838338464626</v>
      </c>
      <c r="AO163" s="59">
        <f t="shared" si="144"/>
        <v>241.76003724236273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0.40381486964617036</v>
      </c>
      <c r="AV163" s="21">
        <f>EXP(-LN(2)/25)*AV162+(1-EXP(-LN(2)/25))/(LN(2)/25)*Calculateur!AQ163*Calculateur!AS163*VLOOKUP('Données projet'!$B$10,Paramètres!$A$1:$I$89,3,0)*0.475*44/12</f>
        <v>0.36889326922115617</v>
      </c>
      <c r="AW163" s="21">
        <f>EXP(-LN(2)/2)*AW162+(1-EXP(-LN(2)/2))/(LN(2)/2)*AQ163*AT163*VLOOKUP('Données projet'!$B$10,Paramètres!$A$1:$I$89,3,0)*0.475*44/12</f>
        <v>4.3290632772457667E-19</v>
      </c>
      <c r="AX163" s="21">
        <f t="shared" si="166"/>
        <v>0.77270813886732648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2.2737367544323206E-13</v>
      </c>
      <c r="BE163" s="13">
        <f>BD163*VLOOKUP('Données projet'!$B$11,Paramètres!$A$1:$I$89,3,0)*VLOOKUP('Données projet'!$B$11,Paramètres!$A$1:$I$89,5,0)</f>
        <v>1.2414602679200471E-13</v>
      </c>
      <c r="BF163" s="13">
        <f t="shared" si="167"/>
        <v>1.8186582995804361E-12</v>
      </c>
      <c r="BG163" s="20">
        <f t="shared" si="168"/>
        <v>3.3837175350986671E-12</v>
      </c>
      <c r="BH163" s="59">
        <f t="shared" si="116"/>
        <v>293.33333333333672</v>
      </c>
      <c r="BI163" s="59">
        <f ca="1">AVERAGE(OFFSET($BH$3,0,0,'Données projet'!$E$11+1,1))-AVERAGE(OFFSET($H$3,0,0,'Données projet'!$E$11+1,1))</f>
        <v>168.72306536277267</v>
      </c>
      <c r="BJ163" s="59">
        <f t="shared" si="146"/>
        <v>203.35476578922339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0.23177088392384348</v>
      </c>
      <c r="BQ163" s="21">
        <f>EXP(-LN(2)/25)*BQ162+(1-EXP(-LN(2)/25))/(LN(2)/25)*Calculateur!BL163*Calculateur!BN163*VLOOKUP('Données projet'!$B$11,Paramètres!$A$1:$I$89,3,0)*0.475*44/12</f>
        <v>0.62530073295567623</v>
      </c>
      <c r="BR163" s="21">
        <f>EXP(-LN(2)/2)*BR162+(1-EXP(-LN(2)/2))/(LN(2)/2)*BL163*BO163*VLOOKUP('Données projet'!$B$11,Paramètres!$A$1:$I$89,3,0)*0.475*44/12</f>
        <v>5.427474502296428E-19</v>
      </c>
      <c r="BS163" s="22">
        <f t="shared" si="169"/>
        <v>0.85707161687951972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3.4106051316484809E-13</v>
      </c>
      <c r="BZ163" s="13">
        <f>BY163*VLOOKUP('Données projet'!$B$12,Paramètres!$A$1:$I$89,3,0)*VLOOKUP('Données projet'!$B$12,Paramètres!$A$1:$I$89,5,0)</f>
        <v>1.5961632016114892E-13</v>
      </c>
      <c r="CA163" s="13">
        <f t="shared" si="170"/>
        <v>2.2708641912150958E-12</v>
      </c>
      <c r="CB163" s="20">
        <f t="shared" si="171"/>
        <v>4.2330868906469593E-12</v>
      </c>
      <c r="CC163" s="59">
        <f t="shared" si="119"/>
        <v>293.33333333333752</v>
      </c>
      <c r="CD163" s="59">
        <f ca="1">AVERAGE(OFFSET($CC$3,0,0,'Données projet'!$E$12+1,1))-AVERAGE(OFFSET($H$3,0,0,'Données projet'!$E$12+1,1))</f>
        <v>158.58786357608489</v>
      </c>
      <c r="CE163" s="59">
        <f t="shared" si="148"/>
        <v>163.20074068819849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4.1677594708744434E-14</v>
      </c>
      <c r="CV163" s="13">
        <f t="shared" si="173"/>
        <v>6.9326303456159188E-13</v>
      </c>
      <c r="CW163" s="20">
        <f t="shared" si="174"/>
        <v>1.2800215959791691E-12</v>
      </c>
      <c r="CX163" s="59">
        <f t="shared" si="122"/>
        <v>293.33333333333462</v>
      </c>
      <c r="CY163" s="59">
        <f ca="1">AVERAGE(OFFSET($CX$3,0,0,'Données projet'!$E$13+1,1))-AVERAGE(OFFSET($H$3,0,0,'Données projet'!$E$13+1,1))</f>
        <v>178.12968684094687</v>
      </c>
      <c r="CZ163" s="59">
        <f t="shared" si="150"/>
        <v>219.36004077210373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0.20916216687162939</v>
      </c>
      <c r="DH163" s="21">
        <f>EXP(-LN(2)/2)*DH162+(1-EXP(-LN(2)/2))/(LN(2)/2)*DB163*DE163*VLOOKUP('Données projet'!$B$13,Paramètres!$A$1:$I$89,3,0)*0.475*44/12</f>
        <v>2.6881477181135854E-19</v>
      </c>
      <c r="DI163" s="22">
        <f t="shared" si="175"/>
        <v>0.20916216687162939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-8.5265128291212022E-14</v>
      </c>
      <c r="DP163" s="17">
        <f>DO163*VLOOKUP('Données projet'!$B$14,Paramètres!$A$1:$I$89,3,0)*VLOOKUP('Données projet'!$B$14,Paramètres!$A$1:$I$89,5,0)</f>
        <v>-7.7147888077888636E-14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225.28075317732998</v>
      </c>
      <c r="DU163" s="59">
        <f t="shared" si="152"/>
        <v>358.43407531256207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0.17093040583195926</v>
      </c>
      <c r="EB163" s="21">
        <f>EXP(-LN(2)/25)*EB162+(1-EXP(-LN(2)/25))/(LN(2)/25)*Calculateur!DW163*Calculateur!DY163*VLOOKUP('Données projet'!$B$14,Paramètres!$A$1:$I$89,3,0)*0.475*44/12</f>
        <v>0.22503886257639916</v>
      </c>
      <c r="EC163" s="21">
        <f>EXP(-LN(2)/2)*EC162+(1-EXP(-LN(2)/2))/(LN(2)/2)*DW163*DZ163*VLOOKUP('Données projet'!$B$14,Paramètres!$A$1:$I$89,3,0)*0.475*44/12</f>
        <v>1.1964228205617115E-19</v>
      </c>
      <c r="ED163" s="22">
        <f t="shared" si="178"/>
        <v>0.39596926840835844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-7.3896444519050419E-13</v>
      </c>
      <c r="EK163" s="17">
        <f>EJ163*VLOOKUP('Données projet'!$B$15,Paramètres!$A$1:$I$89,3,0)*VLOOKUP('Données projet'!$B$15,Paramètres!$A$1:$I$89,5,0)</f>
        <v>-7.4930994742317137E-13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363.98308691765931</v>
      </c>
      <c r="EP163" s="59">
        <f t="shared" si="154"/>
        <v>181.47089407988187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-7.3896444519050419E-13</v>
      </c>
      <c r="FF163" s="17">
        <f>FE163*VLOOKUP('Données projet'!$B$16,Paramètres!$A$1:$I$89,3,0)*VLOOKUP('Données projet'!$B$16,Paramètres!$A$1:$I$89,5,0)</f>
        <v>-7.954213288030586E-13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395.30533160963489</v>
      </c>
      <c r="FK163" s="59">
        <f t="shared" si="156"/>
        <v>196.02102977695085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227.99999999999986</v>
      </c>
      <c r="GA163" s="17">
        <f>FZ163*VLOOKUP('Données projet'!$B$17,Paramètres!$A$1:$I$89,3,0)*VLOOKUP('Données projet'!$B$17,Paramètres!$A$1:$I$89,5,0)</f>
        <v>238.30559999999986</v>
      </c>
      <c r="GB163" s="13">
        <f t="shared" si="185"/>
        <v>58.074821878967043</v>
      </c>
      <c r="GC163" s="20">
        <f t="shared" si="186"/>
        <v>516.19590143920061</v>
      </c>
      <c r="GD163" s="59">
        <f t="shared" si="134"/>
        <v>809.52923477253398</v>
      </c>
      <c r="GE163" s="59">
        <f ca="1">AVERAGE(OFFSET($GD$3,0,0,'Données projet'!$E$17+1,1))-AVERAGE(OFFSET($H$3,0,0,'Données projet'!$E$17+1,1))</f>
        <v>269.41185214595805</v>
      </c>
      <c r="GF163" s="59">
        <f t="shared" si="158"/>
        <v>299.70148160580993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0.48313564761238215</v>
      </c>
      <c r="GM163" s="21">
        <f>EXP(-LN(2)/25)*GM162+(1-EXP(-LN(2)/25))/(LN(2)/25)*Calculateur!GH163*Calculateur!GJ163*VLOOKUP('Données projet'!$B$17,Paramètres!$A$1:$I$89,3,0)*0.475*44/12</f>
        <v>0.44135444710388327</v>
      </c>
      <c r="GN163" s="21">
        <f>EXP(-LN(2)/2)*GN162+(1-EXP(-LN(2)/2))/(LN(2)/2)*GH163*GK163*VLOOKUP('Données projet'!$B$17,Paramètres!$A$1:$I$89,3,0)*0.475*44/12</f>
        <v>5.1794149924189939E-19</v>
      </c>
      <c r="GO163" s="21">
        <f t="shared" si="187"/>
        <v>0.92449009471626542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5.6843418860808015E-14</v>
      </c>
      <c r="GV163" s="17">
        <f>GU163*VLOOKUP('Données projet'!$B$18,Paramètres!$A$1:$I$89,3,0)*VLOOKUP('Données projet'!$B$18,Paramètres!$A$1:$I$89,5,0)</f>
        <v>4.9658410716801891E-14</v>
      </c>
      <c r="GW163" s="13">
        <f t="shared" si="188"/>
        <v>8.0934058173791862E-13</v>
      </c>
      <c r="GX163" s="20">
        <f t="shared" si="189"/>
        <v>1.4960899118586383E-12</v>
      </c>
      <c r="GY163" s="59">
        <f t="shared" si="137"/>
        <v>293.33333333333479</v>
      </c>
      <c r="GZ163" s="59">
        <f ca="1">AVERAGE(OFFSET($GY$3,0,0,'Données projet'!$E$18+1,1))-AVERAGE(OFFSET($H$3,0,0,'Données projet'!$E$18+1,1))</f>
        <v>226.35975611953359</v>
      </c>
      <c r="HA163" s="59">
        <f t="shared" si="160"/>
        <v>271.65876694892461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0.30717135639534704</v>
      </c>
      <c r="HI163" s="21">
        <f>EXP(-LN(2)/2)*HI162+(1-EXP(-LN(2)/2))/(LN(2)/2)*HC163*HF163*VLOOKUP('Données projet'!$B$18,Paramètres!$A$1:$I$89,3,0)*0.475*44/12</f>
        <v>3.2028994088161862E-19</v>
      </c>
      <c r="HJ163" s="22">
        <f t="shared" si="190"/>
        <v>0.30717135639534704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-7.3896444519050419E-13</v>
      </c>
      <c r="O164" s="13">
        <f>N164*VLOOKUP('Données projet'!$B$9,Paramètres!$A$1:$I$89,3,0)*VLOOKUP('Données projet'!$B$9,Paramètres!$A$1:$I$89,5,0)</f>
        <v>-6.6861503000836817E-13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309.07357540707869</v>
      </c>
      <c r="T164" s="59">
        <f t="shared" si="142"/>
        <v>155.9593924683299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227.99999999999986</v>
      </c>
      <c r="AJ164" s="13">
        <f>AI164*VLOOKUP('Données projet'!$B$10,Paramètres!$A$1:$I$89,3,0)*VLOOKUP('Données projet'!$B$10,Paramètres!$A$1:$I$89,5,0)</f>
        <v>199.18079999999992</v>
      </c>
      <c r="AK164" s="13">
        <f t="shared" si="164"/>
        <v>49.564089376413683</v>
      </c>
      <c r="AL164" s="20">
        <f t="shared" si="165"/>
        <v>433.23068233058694</v>
      </c>
      <c r="AM164" s="59">
        <f t="shared" si="113"/>
        <v>726.56401566392026</v>
      </c>
      <c r="AN164" s="59">
        <f ca="1">AVERAGE(OFFSET($AM$3,0,0,'Données projet'!$E$10+1,1))-AVERAGE(OFFSET($H$3,0,0,'Données projet'!$E$10+1,1))</f>
        <v>210.07838338464626</v>
      </c>
      <c r="AO164" s="59">
        <f t="shared" si="144"/>
        <v>241.76003724236273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0.39589630635515904</v>
      </c>
      <c r="AV164" s="21">
        <f>EXP(-LN(2)/25)*AV163+(1-EXP(-LN(2)/25))/(LN(2)/25)*Calculateur!AQ164*Calculateur!AS164*VLOOKUP('Données projet'!$B$10,Paramètres!$A$1:$I$89,3,0)*0.475*44/12</f>
        <v>0.35880586337504977</v>
      </c>
      <c r="AW164" s="21">
        <f>EXP(-LN(2)/2)*AW163+(1-EXP(-LN(2)/2))/(LN(2)/2)*AQ164*AT164*VLOOKUP('Données projet'!$B$10,Paramètres!$A$1:$I$89,3,0)*0.475*44/12</f>
        <v>3.0611099995261411E-19</v>
      </c>
      <c r="AX164" s="21">
        <f t="shared" si="166"/>
        <v>0.75470216973020876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2.2737367544323206E-13</v>
      </c>
      <c r="BE164" s="13">
        <f>BD164*VLOOKUP('Données projet'!$B$11,Paramètres!$A$1:$I$89,3,0)*VLOOKUP('Données projet'!$B$11,Paramètres!$A$1:$I$89,5,0)</f>
        <v>1.2414602679200471E-13</v>
      </c>
      <c r="BF164" s="13">
        <f t="shared" si="167"/>
        <v>1.8186582995804361E-12</v>
      </c>
      <c r="BG164" s="20">
        <f t="shared" si="168"/>
        <v>3.3837175350986671E-12</v>
      </c>
      <c r="BH164" s="59">
        <f t="shared" si="116"/>
        <v>293.33333333333672</v>
      </c>
      <c r="BI164" s="59">
        <f ca="1">AVERAGE(OFFSET($BH$3,0,0,'Données projet'!$E$11+1,1))-AVERAGE(OFFSET($H$3,0,0,'Données projet'!$E$11+1,1))</f>
        <v>168.72306536277267</v>
      </c>
      <c r="BJ164" s="59">
        <f t="shared" si="146"/>
        <v>203.35476578922339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0.22722599825637735</v>
      </c>
      <c r="BQ164" s="21">
        <f>EXP(-LN(2)/25)*BQ163+(1-EXP(-LN(2)/25))/(LN(2)/25)*Calculateur!BL164*Calculateur!BN164*VLOOKUP('Données projet'!$B$11,Paramètres!$A$1:$I$89,3,0)*0.475*44/12</f>
        <v>0.60820185152986683</v>
      </c>
      <c r="BR164" s="21">
        <f>EXP(-LN(2)/2)*BR163+(1-EXP(-LN(2)/2))/(LN(2)/2)*BL164*BO164*VLOOKUP('Données projet'!$B$11,Paramètres!$A$1:$I$89,3,0)*0.475*44/12</f>
        <v>3.8378040252908863E-19</v>
      </c>
      <c r="BS164" s="22">
        <f t="shared" si="169"/>
        <v>0.83542784978624418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3.4106051316484809E-13</v>
      </c>
      <c r="BZ164" s="13">
        <f>BY164*VLOOKUP('Données projet'!$B$12,Paramètres!$A$1:$I$89,3,0)*VLOOKUP('Données projet'!$B$12,Paramètres!$A$1:$I$89,5,0)</f>
        <v>1.5961632016114892E-13</v>
      </c>
      <c r="CA164" s="13">
        <f t="shared" si="170"/>
        <v>2.2708641912150958E-12</v>
      </c>
      <c r="CB164" s="20">
        <f t="shared" si="171"/>
        <v>4.2330868906469593E-12</v>
      </c>
      <c r="CC164" s="59">
        <f t="shared" si="119"/>
        <v>293.33333333333752</v>
      </c>
      <c r="CD164" s="59">
        <f ca="1">AVERAGE(OFFSET($CC$3,0,0,'Données projet'!$E$12+1,1))-AVERAGE(OFFSET($H$3,0,0,'Données projet'!$E$12+1,1))</f>
        <v>158.58786357608489</v>
      </c>
      <c r="CE164" s="59">
        <f t="shared" si="148"/>
        <v>163.20074068819849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4.1677594708744434E-14</v>
      </c>
      <c r="CV164" s="13">
        <f t="shared" si="173"/>
        <v>6.9326303456159188E-13</v>
      </c>
      <c r="CW164" s="20">
        <f t="shared" si="174"/>
        <v>1.2800215959791691E-12</v>
      </c>
      <c r="CX164" s="59">
        <f t="shared" si="122"/>
        <v>293.33333333333462</v>
      </c>
      <c r="CY164" s="59">
        <f ca="1">AVERAGE(OFFSET($CX$3,0,0,'Données projet'!$E$13+1,1))-AVERAGE(OFFSET($H$3,0,0,'Données projet'!$E$13+1,1))</f>
        <v>178.12968684094687</v>
      </c>
      <c r="CZ164" s="59">
        <f t="shared" si="150"/>
        <v>219.36004077210373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0.20344261641916436</v>
      </c>
      <c r="DH164" s="21">
        <f>EXP(-LN(2)/2)*DH163+(1-EXP(-LN(2)/2))/(LN(2)/2)*DB164*DE164*VLOOKUP('Données projet'!$B$13,Paramètres!$A$1:$I$89,3,0)*0.475*44/12</f>
        <v>1.9008074803092601E-19</v>
      </c>
      <c r="DI164" s="22">
        <f t="shared" si="175"/>
        <v>0.20344261641916436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-8.5265128291212022E-14</v>
      </c>
      <c r="DP164" s="17">
        <f>DO164*VLOOKUP('Données projet'!$B$14,Paramètres!$A$1:$I$89,3,0)*VLOOKUP('Données projet'!$B$14,Paramètres!$A$1:$I$89,5,0)</f>
        <v>-7.7147888077888636E-14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225.28075317732998</v>
      </c>
      <c r="DU164" s="59">
        <f t="shared" si="152"/>
        <v>358.43407531256207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0.16757856483084754</v>
      </c>
      <c r="EB164" s="21">
        <f>EXP(-LN(2)/25)*EB163+(1-EXP(-LN(2)/25))/(LN(2)/25)*Calculateur!DW164*Calculateur!DY164*VLOOKUP('Données projet'!$B$14,Paramètres!$A$1:$I$89,3,0)*0.475*44/12</f>
        <v>0.21888516304496808</v>
      </c>
      <c r="EC164" s="21">
        <f>EXP(-LN(2)/2)*EC163+(1-EXP(-LN(2)/2))/(LN(2)/2)*DW164*DZ164*VLOOKUP('Données projet'!$B$14,Paramètres!$A$1:$I$89,3,0)*0.475*44/12</f>
        <v>8.4599868958552216E-20</v>
      </c>
      <c r="ED164" s="22">
        <f t="shared" si="178"/>
        <v>0.38646372787581562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-7.3896444519050419E-13</v>
      </c>
      <c r="EK164" s="17">
        <f>EJ164*VLOOKUP('Données projet'!$B$15,Paramètres!$A$1:$I$89,3,0)*VLOOKUP('Données projet'!$B$15,Paramètres!$A$1:$I$89,5,0)</f>
        <v>-7.4930994742317137E-13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363.98308691765931</v>
      </c>
      <c r="EP164" s="59">
        <f t="shared" si="154"/>
        <v>181.47089407988187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-7.3896444519050419E-13</v>
      </c>
      <c r="FF164" s="17">
        <f>FE164*VLOOKUP('Données projet'!$B$16,Paramètres!$A$1:$I$89,3,0)*VLOOKUP('Données projet'!$B$16,Paramètres!$A$1:$I$89,5,0)</f>
        <v>-7.954213288030586E-13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395.30533160963489</v>
      </c>
      <c r="FK164" s="59">
        <f t="shared" si="156"/>
        <v>196.02102977695085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227.99999999999986</v>
      </c>
      <c r="GA164" s="17">
        <f>FZ164*VLOOKUP('Données projet'!$B$17,Paramètres!$A$1:$I$89,3,0)*VLOOKUP('Données projet'!$B$17,Paramètres!$A$1:$I$89,5,0)</f>
        <v>238.30559999999986</v>
      </c>
      <c r="GB164" s="13">
        <f t="shared" si="185"/>
        <v>58.074821878967043</v>
      </c>
      <c r="GC164" s="20">
        <f t="shared" si="186"/>
        <v>516.19590143920061</v>
      </c>
      <c r="GD164" s="59">
        <f t="shared" si="134"/>
        <v>809.52923477253398</v>
      </c>
      <c r="GE164" s="59">
        <f ca="1">AVERAGE(OFFSET($GD$3,0,0,'Données projet'!$E$17+1,1))-AVERAGE(OFFSET($H$3,0,0,'Données projet'!$E$17+1,1))</f>
        <v>269.41185214595805</v>
      </c>
      <c r="GF164" s="59">
        <f t="shared" si="158"/>
        <v>299.70148160580993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0.47366165224635076</v>
      </c>
      <c r="GM164" s="21">
        <f>EXP(-LN(2)/25)*GM163+(1-EXP(-LN(2)/25))/(LN(2)/25)*Calculateur!GH164*Calculateur!GJ164*VLOOKUP('Données projet'!$B$17,Paramètres!$A$1:$I$89,3,0)*0.475*44/12</f>
        <v>0.42928558653800591</v>
      </c>
      <c r="GN164" s="21">
        <f>EXP(-LN(2)/2)*GN163+(1-EXP(-LN(2)/2))/(LN(2)/2)*GH164*GK164*VLOOKUP('Données projet'!$B$17,Paramètres!$A$1:$I$89,3,0)*0.475*44/12</f>
        <v>3.6623994637187412E-19</v>
      </c>
      <c r="GO164" s="21">
        <f t="shared" si="187"/>
        <v>0.90294723878435668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5.6843418860808015E-14</v>
      </c>
      <c r="GV164" s="17">
        <f>GU164*VLOOKUP('Données projet'!$B$18,Paramètres!$A$1:$I$89,3,0)*VLOOKUP('Données projet'!$B$18,Paramètres!$A$1:$I$89,5,0)</f>
        <v>4.9658410716801891E-14</v>
      </c>
      <c r="GW164" s="13">
        <f t="shared" si="188"/>
        <v>8.0934058173791862E-13</v>
      </c>
      <c r="GX164" s="20">
        <f t="shared" si="189"/>
        <v>1.4960899118586383E-12</v>
      </c>
      <c r="GY164" s="59">
        <f t="shared" si="137"/>
        <v>293.33333333333479</v>
      </c>
      <c r="GZ164" s="59">
        <f ca="1">AVERAGE(OFFSET($GY$3,0,0,'Données projet'!$E$18+1,1))-AVERAGE(OFFSET($H$3,0,0,'Données projet'!$E$18+1,1))</f>
        <v>226.35975611953359</v>
      </c>
      <c r="HA164" s="59">
        <f t="shared" si="160"/>
        <v>271.65876694892461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0.29877173950127667</v>
      </c>
      <c r="HI164" s="21">
        <f>EXP(-LN(2)/2)*HI163+(1-EXP(-LN(2)/2))/(LN(2)/2)*HC164*HF164*VLOOKUP('Données projet'!$B$18,Paramètres!$A$1:$I$89,3,0)*0.475*44/12</f>
        <v>2.2647918914323093E-19</v>
      </c>
      <c r="HJ164" s="22">
        <f t="shared" si="190"/>
        <v>0.29877173950127667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-7.3896444519050419E-13</v>
      </c>
      <c r="O165" s="13">
        <f>N165*VLOOKUP('Données projet'!$B$9,Paramètres!$A$1:$I$89,3,0)*VLOOKUP('Données projet'!$B$9,Paramètres!$A$1:$I$89,5,0)</f>
        <v>-6.6861503000836817E-13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309.07357540707869</v>
      </c>
      <c r="T165" s="59">
        <f t="shared" si="142"/>
        <v>155.9593924683299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227.99999999999986</v>
      </c>
      <c r="AJ165" s="13">
        <f>AI165*VLOOKUP('Données projet'!$B$10,Paramètres!$A$1:$I$89,3,0)*VLOOKUP('Données projet'!$B$10,Paramètres!$A$1:$I$89,5,0)</f>
        <v>199.18079999999992</v>
      </c>
      <c r="AK165" s="13">
        <f t="shared" si="164"/>
        <v>49.564089376413683</v>
      </c>
      <c r="AL165" s="20">
        <f t="shared" si="165"/>
        <v>433.23068233058694</v>
      </c>
      <c r="AM165" s="59">
        <f t="shared" si="113"/>
        <v>726.56401566392026</v>
      </c>
      <c r="AN165" s="59">
        <f ca="1">AVERAGE(OFFSET($AM$3,0,0,'Données projet'!$E$10+1,1))-AVERAGE(OFFSET($H$3,0,0,'Données projet'!$E$10+1,1))</f>
        <v>210.07838338464626</v>
      </c>
      <c r="AO165" s="59">
        <f t="shared" si="144"/>
        <v>241.76003724236273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0.3881330212604378</v>
      </c>
      <c r="AV165" s="21">
        <f>EXP(-LN(2)/25)*AV164+(1-EXP(-LN(2)/25))/(LN(2)/25)*Calculateur!AQ165*Calculateur!AS165*VLOOKUP('Données projet'!$B$10,Paramètres!$A$1:$I$89,3,0)*0.475*44/12</f>
        <v>0.34899429817227873</v>
      </c>
      <c r="AW165" s="21">
        <f>EXP(-LN(2)/2)*AW164+(1-EXP(-LN(2)/2))/(LN(2)/2)*AQ165*AT165*VLOOKUP('Données projet'!$B$10,Paramètres!$A$1:$I$89,3,0)*0.475*44/12</f>
        <v>2.1645316386228838E-19</v>
      </c>
      <c r="AX165" s="21">
        <f t="shared" si="166"/>
        <v>0.73712731943271659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2.2737367544323206E-13</v>
      </c>
      <c r="BE165" s="13">
        <f>BD165*VLOOKUP('Données projet'!$B$11,Paramètres!$A$1:$I$89,3,0)*VLOOKUP('Données projet'!$B$11,Paramètres!$A$1:$I$89,5,0)</f>
        <v>1.2414602679200471E-13</v>
      </c>
      <c r="BF165" s="13">
        <f t="shared" si="167"/>
        <v>1.8186582995804361E-12</v>
      </c>
      <c r="BG165" s="20">
        <f t="shared" si="168"/>
        <v>3.3837175350986671E-12</v>
      </c>
      <c r="BH165" s="59">
        <f t="shared" si="116"/>
        <v>293.33333333333672</v>
      </c>
      <c r="BI165" s="59">
        <f ca="1">AVERAGE(OFFSET($BH$3,0,0,'Données projet'!$E$11+1,1))-AVERAGE(OFFSET($H$3,0,0,'Données projet'!$E$11+1,1))</f>
        <v>168.72306536277267</v>
      </c>
      <c r="BJ165" s="59">
        <f t="shared" si="146"/>
        <v>203.35476578922339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0.22277023502474369</v>
      </c>
      <c r="BQ165" s="21">
        <f>EXP(-LN(2)/25)*BQ164+(1-EXP(-LN(2)/25))/(LN(2)/25)*Calculateur!BL165*Calculateur!BN165*VLOOKUP('Données projet'!$B$11,Paramètres!$A$1:$I$89,3,0)*0.475*44/12</f>
        <v>0.5915705399158373</v>
      </c>
      <c r="BR165" s="21">
        <f>EXP(-LN(2)/2)*BR164+(1-EXP(-LN(2)/2))/(LN(2)/2)*BL165*BO165*VLOOKUP('Données projet'!$B$11,Paramètres!$A$1:$I$89,3,0)*0.475*44/12</f>
        <v>2.713737251148214E-19</v>
      </c>
      <c r="BS165" s="22">
        <f t="shared" si="169"/>
        <v>0.81434077494058099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3.4106051316484809E-13</v>
      </c>
      <c r="BZ165" s="13">
        <f>BY165*VLOOKUP('Données projet'!$B$12,Paramètres!$A$1:$I$89,3,0)*VLOOKUP('Données projet'!$B$12,Paramètres!$A$1:$I$89,5,0)</f>
        <v>1.5961632016114892E-13</v>
      </c>
      <c r="CA165" s="13">
        <f t="shared" si="170"/>
        <v>2.2708641912150958E-12</v>
      </c>
      <c r="CB165" s="20">
        <f t="shared" si="171"/>
        <v>4.2330868906469593E-12</v>
      </c>
      <c r="CC165" s="59">
        <f t="shared" si="119"/>
        <v>293.33333333333752</v>
      </c>
      <c r="CD165" s="59">
        <f ca="1">AVERAGE(OFFSET($CC$3,0,0,'Données projet'!$E$12+1,1))-AVERAGE(OFFSET($H$3,0,0,'Données projet'!$E$12+1,1))</f>
        <v>158.58786357608489</v>
      </c>
      <c r="CE165" s="59">
        <f t="shared" si="148"/>
        <v>163.20074068819849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4.1677594708744434E-14</v>
      </c>
      <c r="CV165" s="13">
        <f t="shared" si="173"/>
        <v>6.9326303456159188E-13</v>
      </c>
      <c r="CW165" s="20">
        <f t="shared" si="174"/>
        <v>1.2800215959791691E-12</v>
      </c>
      <c r="CX165" s="59">
        <f t="shared" si="122"/>
        <v>293.33333333333462</v>
      </c>
      <c r="CY165" s="59">
        <f ca="1">AVERAGE(OFFSET($CX$3,0,0,'Données projet'!$E$13+1,1))-AVERAGE(OFFSET($H$3,0,0,'Données projet'!$E$13+1,1))</f>
        <v>178.12968684094687</v>
      </c>
      <c r="CZ165" s="59">
        <f t="shared" si="150"/>
        <v>219.36004077210373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0.19787946737460008</v>
      </c>
      <c r="DH165" s="21">
        <f>EXP(-LN(2)/2)*DH164+(1-EXP(-LN(2)/2))/(LN(2)/2)*DB165*DE165*VLOOKUP('Données projet'!$B$13,Paramètres!$A$1:$I$89,3,0)*0.475*44/12</f>
        <v>1.3440738590567927E-19</v>
      </c>
      <c r="DI165" s="22">
        <f t="shared" si="175"/>
        <v>0.19787946737460008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-8.5265128291212022E-14</v>
      </c>
      <c r="DP165" s="17">
        <f>DO165*VLOOKUP('Données projet'!$B$14,Paramètres!$A$1:$I$89,3,0)*VLOOKUP('Données projet'!$B$14,Paramètres!$A$1:$I$89,5,0)</f>
        <v>-7.7147888077888636E-14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225.28075317732998</v>
      </c>
      <c r="DU165" s="59">
        <f t="shared" si="152"/>
        <v>358.43407531256207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0.16429245138734649</v>
      </c>
      <c r="EB165" s="21">
        <f>EXP(-LN(2)/25)*EB164+(1-EXP(-LN(2)/25))/(LN(2)/25)*Calculateur!DW165*Calculateur!DY165*VLOOKUP('Données projet'!$B$14,Paramètres!$A$1:$I$89,3,0)*0.475*44/12</f>
        <v>0.21289973675083296</v>
      </c>
      <c r="EC165" s="21">
        <f>EXP(-LN(2)/2)*EC164+(1-EXP(-LN(2)/2))/(LN(2)/2)*DW165*DZ165*VLOOKUP('Données projet'!$B$14,Paramètres!$A$1:$I$89,3,0)*0.475*44/12</f>
        <v>5.9821141028085576E-20</v>
      </c>
      <c r="ED165" s="22">
        <f t="shared" si="178"/>
        <v>0.37719218813817945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-7.3896444519050419E-13</v>
      </c>
      <c r="EK165" s="17">
        <f>EJ165*VLOOKUP('Données projet'!$B$15,Paramètres!$A$1:$I$89,3,0)*VLOOKUP('Données projet'!$B$15,Paramètres!$A$1:$I$89,5,0)</f>
        <v>-7.4930994742317137E-13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363.98308691765931</v>
      </c>
      <c r="EP165" s="59">
        <f t="shared" si="154"/>
        <v>181.47089407988187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-7.3896444519050419E-13</v>
      </c>
      <c r="FF165" s="17">
        <f>FE165*VLOOKUP('Données projet'!$B$16,Paramètres!$A$1:$I$89,3,0)*VLOOKUP('Données projet'!$B$16,Paramètres!$A$1:$I$89,5,0)</f>
        <v>-7.954213288030586E-13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395.30533160963489</v>
      </c>
      <c r="FK165" s="59">
        <f t="shared" si="156"/>
        <v>196.02102977695085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227.99999999999986</v>
      </c>
      <c r="GA165" s="17">
        <f>FZ165*VLOOKUP('Données projet'!$B$17,Paramètres!$A$1:$I$89,3,0)*VLOOKUP('Données projet'!$B$17,Paramètres!$A$1:$I$89,5,0)</f>
        <v>238.30559999999986</v>
      </c>
      <c r="GB165" s="13">
        <f t="shared" si="185"/>
        <v>58.074821878967043</v>
      </c>
      <c r="GC165" s="20">
        <f t="shared" si="186"/>
        <v>516.19590143920061</v>
      </c>
      <c r="GD165" s="59">
        <f t="shared" si="134"/>
        <v>809.52923477253398</v>
      </c>
      <c r="GE165" s="59">
        <f ca="1">AVERAGE(OFFSET($GD$3,0,0,'Données projet'!$E$17+1,1))-AVERAGE(OFFSET($H$3,0,0,'Données projet'!$E$17+1,1))</f>
        <v>269.41185214595805</v>
      </c>
      <c r="GF165" s="59">
        <f t="shared" si="158"/>
        <v>299.70148160580993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0.46437343615088067</v>
      </c>
      <c r="GM165" s="21">
        <f>EXP(-LN(2)/25)*GM164+(1-EXP(-LN(2)/25))/(LN(2)/25)*Calculateur!GH165*Calculateur!GJ165*VLOOKUP('Données projet'!$B$17,Paramètres!$A$1:$I$89,3,0)*0.475*44/12</f>
        <v>0.41754674959897631</v>
      </c>
      <c r="GN165" s="21">
        <f>EXP(-LN(2)/2)*GN164+(1-EXP(-LN(2)/2))/(LN(2)/2)*GH165*GK165*VLOOKUP('Données projet'!$B$17,Paramètres!$A$1:$I$89,3,0)*0.475*44/12</f>
        <v>2.5897074962094969E-19</v>
      </c>
      <c r="GO165" s="21">
        <f t="shared" si="187"/>
        <v>0.88192018574985698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5.6843418860808015E-14</v>
      </c>
      <c r="GV165" s="17">
        <f>GU165*VLOOKUP('Données projet'!$B$18,Paramètres!$A$1:$I$89,3,0)*VLOOKUP('Données projet'!$B$18,Paramètres!$A$1:$I$89,5,0)</f>
        <v>4.9658410716801891E-14</v>
      </c>
      <c r="GW165" s="13">
        <f t="shared" si="188"/>
        <v>8.0934058173791862E-13</v>
      </c>
      <c r="GX165" s="20">
        <f t="shared" si="189"/>
        <v>1.4960899118586383E-12</v>
      </c>
      <c r="GY165" s="59">
        <f t="shared" si="137"/>
        <v>293.33333333333479</v>
      </c>
      <c r="GZ165" s="59">
        <f ca="1">AVERAGE(OFFSET($GY$3,0,0,'Données projet'!$E$18+1,1))-AVERAGE(OFFSET($H$3,0,0,'Données projet'!$E$18+1,1))</f>
        <v>226.35975611953359</v>
      </c>
      <c r="HA165" s="59">
        <f t="shared" si="160"/>
        <v>271.65876694892461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0.29060181057289131</v>
      </c>
      <c r="HI165" s="21">
        <f>EXP(-LN(2)/2)*HI164+(1-EXP(-LN(2)/2))/(LN(2)/2)*HC165*HF165*VLOOKUP('Données projet'!$B$18,Paramètres!$A$1:$I$89,3,0)*0.475*44/12</f>
        <v>1.6014497044080931E-19</v>
      </c>
      <c r="HJ165" s="22">
        <f t="shared" si="190"/>
        <v>0.29060181057289131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-7.3896444519050419E-13</v>
      </c>
      <c r="O166" s="13">
        <f>N166*VLOOKUP('Données projet'!$B$9,Paramètres!$A$1:$I$89,3,0)*VLOOKUP('Données projet'!$B$9,Paramètres!$A$1:$I$89,5,0)</f>
        <v>-6.6861503000836817E-13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309.07357540707869</v>
      </c>
      <c r="T166" s="59">
        <f t="shared" si="142"/>
        <v>155.9593924683299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227.99999999999986</v>
      </c>
      <c r="AJ166" s="13">
        <f>AI166*VLOOKUP('Données projet'!$B$10,Paramètres!$A$1:$I$89,3,0)*VLOOKUP('Données projet'!$B$10,Paramètres!$A$1:$I$89,5,0)</f>
        <v>199.18079999999992</v>
      </c>
      <c r="AK166" s="13">
        <f t="shared" si="164"/>
        <v>49.564089376413683</v>
      </c>
      <c r="AL166" s="20">
        <f t="shared" si="165"/>
        <v>433.23068233058694</v>
      </c>
      <c r="AM166" s="59">
        <f t="shared" si="113"/>
        <v>726.56401566392026</v>
      </c>
      <c r="AN166" s="59">
        <f ca="1">AVERAGE(OFFSET($AM$3,0,0,'Données projet'!$E$10+1,1))-AVERAGE(OFFSET($H$3,0,0,'Données projet'!$E$10+1,1))</f>
        <v>210.07838338464626</v>
      </c>
      <c r="AO166" s="59">
        <f t="shared" si="144"/>
        <v>241.76003724236273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0.38052196945128769</v>
      </c>
      <c r="AV166" s="21">
        <f>EXP(-LN(2)/25)*AV165+(1-EXP(-LN(2)/25))/(LN(2)/25)*Calculateur!AQ166*Calculateur!AS166*VLOOKUP('Données projet'!$B$10,Paramètres!$A$1:$I$89,3,0)*0.475*44/12</f>
        <v>0.33945103073594524</v>
      </c>
      <c r="AW166" s="21">
        <f>EXP(-LN(2)/2)*AW165+(1-EXP(-LN(2)/2))/(LN(2)/2)*AQ166*AT166*VLOOKUP('Données projet'!$B$10,Paramètres!$A$1:$I$89,3,0)*0.475*44/12</f>
        <v>1.5305549997630708E-19</v>
      </c>
      <c r="AX166" s="21">
        <f t="shared" si="166"/>
        <v>0.71997300018723287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2.2737367544323206E-13</v>
      </c>
      <c r="BE166" s="13">
        <f>BD166*VLOOKUP('Données projet'!$B$11,Paramètres!$A$1:$I$89,3,0)*VLOOKUP('Données projet'!$B$11,Paramètres!$A$1:$I$89,5,0)</f>
        <v>1.2414602679200471E-13</v>
      </c>
      <c r="BF166" s="13">
        <f t="shared" si="167"/>
        <v>1.8186582995804361E-12</v>
      </c>
      <c r="BG166" s="20">
        <f t="shared" si="168"/>
        <v>3.3837175350986671E-12</v>
      </c>
      <c r="BH166" s="59">
        <f t="shared" si="116"/>
        <v>293.33333333333672</v>
      </c>
      <c r="BI166" s="59">
        <f ca="1">AVERAGE(OFFSET($BH$3,0,0,'Données projet'!$E$11+1,1))-AVERAGE(OFFSET($H$3,0,0,'Données projet'!$E$11+1,1))</f>
        <v>168.72306536277267</v>
      </c>
      <c r="BJ166" s="59">
        <f t="shared" si="146"/>
        <v>203.35476578922339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0.21840184659233514</v>
      </c>
      <c r="BQ166" s="21">
        <f>EXP(-LN(2)/25)*BQ165+(1-EXP(-LN(2)/25))/(LN(2)/25)*Calculateur!BL166*Calculateur!BN166*VLOOKUP('Données projet'!$B$11,Paramètres!$A$1:$I$89,3,0)*0.475*44/12</f>
        <v>0.5753940123924961</v>
      </c>
      <c r="BR166" s="21">
        <f>EXP(-LN(2)/2)*BR165+(1-EXP(-LN(2)/2))/(LN(2)/2)*BL166*BO166*VLOOKUP('Données projet'!$B$11,Paramètres!$A$1:$I$89,3,0)*0.475*44/12</f>
        <v>1.9189020126454431E-19</v>
      </c>
      <c r="BS166" s="22">
        <f t="shared" si="169"/>
        <v>0.79379585898483129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3.4106051316484809E-13</v>
      </c>
      <c r="BZ166" s="13">
        <f>BY166*VLOOKUP('Données projet'!$B$12,Paramètres!$A$1:$I$89,3,0)*VLOOKUP('Données projet'!$B$12,Paramètres!$A$1:$I$89,5,0)</f>
        <v>1.5961632016114892E-13</v>
      </c>
      <c r="CA166" s="13">
        <f t="shared" si="170"/>
        <v>2.2708641912150958E-12</v>
      </c>
      <c r="CB166" s="20">
        <f t="shared" si="171"/>
        <v>4.2330868906469593E-12</v>
      </c>
      <c r="CC166" s="59">
        <f t="shared" si="119"/>
        <v>293.33333333333752</v>
      </c>
      <c r="CD166" s="59">
        <f ca="1">AVERAGE(OFFSET($CC$3,0,0,'Données projet'!$E$12+1,1))-AVERAGE(OFFSET($H$3,0,0,'Données projet'!$E$12+1,1))</f>
        <v>158.58786357608489</v>
      </c>
      <c r="CE166" s="59">
        <f t="shared" si="148"/>
        <v>163.20074068819849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4.1677594708744434E-14</v>
      </c>
      <c r="CV166" s="13">
        <f t="shared" si="173"/>
        <v>6.9326303456159188E-13</v>
      </c>
      <c r="CW166" s="20">
        <f t="shared" si="174"/>
        <v>1.2800215959791691E-12</v>
      </c>
      <c r="CX166" s="59">
        <f t="shared" si="122"/>
        <v>293.33333333333462</v>
      </c>
      <c r="CY166" s="59">
        <f ca="1">AVERAGE(OFFSET($CX$3,0,0,'Données projet'!$E$13+1,1))-AVERAGE(OFFSET($H$3,0,0,'Données projet'!$E$13+1,1))</f>
        <v>178.12968684094687</v>
      </c>
      <c r="CZ166" s="59">
        <f t="shared" si="150"/>
        <v>219.36004077210373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0.19246844293321272</v>
      </c>
      <c r="DH166" s="21">
        <f>EXP(-LN(2)/2)*DH165+(1-EXP(-LN(2)/2))/(LN(2)/2)*DB166*DE166*VLOOKUP('Données projet'!$B$13,Paramètres!$A$1:$I$89,3,0)*0.475*44/12</f>
        <v>9.5040374015463006E-20</v>
      </c>
      <c r="DI166" s="22">
        <f t="shared" si="175"/>
        <v>0.19246844293321272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-8.5265128291212022E-14</v>
      </c>
      <c r="DP166" s="17">
        <f>DO166*VLOOKUP('Données projet'!$B$14,Paramètres!$A$1:$I$89,3,0)*VLOOKUP('Données projet'!$B$14,Paramètres!$A$1:$I$89,5,0)</f>
        <v>-7.7147888077888636E-14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225.28075317732998</v>
      </c>
      <c r="DU166" s="59">
        <f t="shared" si="152"/>
        <v>358.43407531256207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0.16107077662414121</v>
      </c>
      <c r="EB166" s="21">
        <f>EXP(-LN(2)/25)*EB165+(1-EXP(-LN(2)/25))/(LN(2)/25)*Calculateur!DW166*Calculateur!DY166*VLOOKUP('Données projet'!$B$14,Paramètres!$A$1:$I$89,3,0)*0.475*44/12</f>
        <v>0.20707798225347088</v>
      </c>
      <c r="EC166" s="21">
        <f>EXP(-LN(2)/2)*EC165+(1-EXP(-LN(2)/2))/(LN(2)/2)*DW166*DZ166*VLOOKUP('Données projet'!$B$14,Paramètres!$A$1:$I$89,3,0)*0.475*44/12</f>
        <v>4.2299934479276108E-20</v>
      </c>
      <c r="ED166" s="22">
        <f t="shared" si="178"/>
        <v>0.36814875887761211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-7.3896444519050419E-13</v>
      </c>
      <c r="EK166" s="17">
        <f>EJ166*VLOOKUP('Données projet'!$B$15,Paramètres!$A$1:$I$89,3,0)*VLOOKUP('Données projet'!$B$15,Paramètres!$A$1:$I$89,5,0)</f>
        <v>-7.4930994742317137E-13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363.98308691765931</v>
      </c>
      <c r="EP166" s="59">
        <f t="shared" si="154"/>
        <v>181.47089407988187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-7.3896444519050419E-13</v>
      </c>
      <c r="FF166" s="17">
        <f>FE166*VLOOKUP('Données projet'!$B$16,Paramètres!$A$1:$I$89,3,0)*VLOOKUP('Données projet'!$B$16,Paramètres!$A$1:$I$89,5,0)</f>
        <v>-7.954213288030586E-13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395.30533160963489</v>
      </c>
      <c r="FK166" s="59">
        <f t="shared" si="156"/>
        <v>196.02102977695085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227.99999999999986</v>
      </c>
      <c r="GA166" s="17">
        <f>FZ166*VLOOKUP('Données projet'!$B$17,Paramètres!$A$1:$I$89,3,0)*VLOOKUP('Données projet'!$B$17,Paramètres!$A$1:$I$89,5,0)</f>
        <v>238.30559999999986</v>
      </c>
      <c r="GB166" s="13">
        <f t="shared" si="185"/>
        <v>58.074821878967043</v>
      </c>
      <c r="GC166" s="20">
        <f t="shared" si="186"/>
        <v>516.19590143920061</v>
      </c>
      <c r="GD166" s="59">
        <f t="shared" si="134"/>
        <v>809.52923477253398</v>
      </c>
      <c r="GE166" s="59">
        <f ca="1">AVERAGE(OFFSET($GD$3,0,0,'Données projet'!$E$17+1,1))-AVERAGE(OFFSET($H$3,0,0,'Données projet'!$E$17+1,1))</f>
        <v>269.41185214595805</v>
      </c>
      <c r="GF166" s="59">
        <f t="shared" si="158"/>
        <v>299.70148160580993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0.45526735630779036</v>
      </c>
      <c r="GM166" s="21">
        <f>EXP(-LN(2)/25)*GM165+(1-EXP(-LN(2)/25))/(LN(2)/25)*Calculateur!GH166*Calculateur!GJ166*VLOOKUP('Données projet'!$B$17,Paramètres!$A$1:$I$89,3,0)*0.475*44/12</f>
        <v>0.40612891177336308</v>
      </c>
      <c r="GN166" s="21">
        <f>EXP(-LN(2)/2)*GN165+(1-EXP(-LN(2)/2))/(LN(2)/2)*GH166*GK166*VLOOKUP('Données projet'!$B$17,Paramètres!$A$1:$I$89,3,0)*0.475*44/12</f>
        <v>1.8311997318593706E-19</v>
      </c>
      <c r="GO166" s="21">
        <f t="shared" si="187"/>
        <v>0.86139626808115344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5.6843418860808015E-14</v>
      </c>
      <c r="GV166" s="17">
        <f>GU166*VLOOKUP('Données projet'!$B$18,Paramètres!$A$1:$I$89,3,0)*VLOOKUP('Données projet'!$B$18,Paramètres!$A$1:$I$89,5,0)</f>
        <v>4.9658410716801891E-14</v>
      </c>
      <c r="GW166" s="13">
        <f t="shared" si="188"/>
        <v>8.0934058173791862E-13</v>
      </c>
      <c r="GX166" s="20">
        <f t="shared" si="189"/>
        <v>1.4960899118586383E-12</v>
      </c>
      <c r="GY166" s="59">
        <f t="shared" si="137"/>
        <v>293.33333333333479</v>
      </c>
      <c r="GZ166" s="59">
        <f ca="1">AVERAGE(OFFSET($GY$3,0,0,'Données projet'!$E$18+1,1))-AVERAGE(OFFSET($H$3,0,0,'Données projet'!$E$18+1,1))</f>
        <v>226.35975611953359</v>
      </c>
      <c r="HA166" s="59">
        <f t="shared" si="160"/>
        <v>271.65876694892461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0.28265528878069057</v>
      </c>
      <c r="HI166" s="21">
        <f>EXP(-LN(2)/2)*HI165+(1-EXP(-LN(2)/2))/(LN(2)/2)*HC166*HF166*VLOOKUP('Données projet'!$B$18,Paramètres!$A$1:$I$89,3,0)*0.475*44/12</f>
        <v>1.1323959457161547E-19</v>
      </c>
      <c r="HJ166" s="22">
        <f t="shared" si="190"/>
        <v>0.28265528878069057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-7.3896444519050419E-13</v>
      </c>
      <c r="O167" s="13">
        <f>N167*VLOOKUP('Données projet'!$B$9,Paramètres!$A$1:$I$89,3,0)*VLOOKUP('Données projet'!$B$9,Paramètres!$A$1:$I$89,5,0)</f>
        <v>-6.6861503000836817E-13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309.07357540707869</v>
      </c>
      <c r="T167" s="59">
        <f t="shared" si="142"/>
        <v>155.9593924683299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227.99999999999986</v>
      </c>
      <c r="AJ167" s="13">
        <f>AI167*VLOOKUP('Données projet'!$B$10,Paramètres!$A$1:$I$89,3,0)*VLOOKUP('Données projet'!$B$10,Paramètres!$A$1:$I$89,5,0)</f>
        <v>199.18079999999992</v>
      </c>
      <c r="AK167" s="13">
        <f t="shared" si="164"/>
        <v>49.564089376413683</v>
      </c>
      <c r="AL167" s="20">
        <f t="shared" si="165"/>
        <v>433.23068233058694</v>
      </c>
      <c r="AM167" s="59">
        <f t="shared" si="113"/>
        <v>726.56401566392026</v>
      </c>
      <c r="AN167" s="59">
        <f ca="1">AVERAGE(OFFSET($AM$3,0,0,'Données projet'!$E$10+1,1))-AVERAGE(OFFSET($H$3,0,0,'Données projet'!$E$10+1,1))</f>
        <v>210.07838338464626</v>
      </c>
      <c r="AO167" s="59">
        <f t="shared" si="144"/>
        <v>241.76003724236273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0.37306016572583178</v>
      </c>
      <c r="AV167" s="21">
        <f>EXP(-LN(2)/25)*AV166+(1-EXP(-LN(2)/25))/(LN(2)/25)*Calculateur!AQ167*Calculateur!AS167*VLOOKUP('Données projet'!$B$10,Paramètres!$A$1:$I$89,3,0)*0.475*44/12</f>
        <v>0.33016872444951695</v>
      </c>
      <c r="AW167" s="21">
        <f>EXP(-LN(2)/2)*AW166+(1-EXP(-LN(2)/2))/(LN(2)/2)*AQ167*AT167*VLOOKUP('Données projet'!$B$10,Paramètres!$A$1:$I$89,3,0)*0.475*44/12</f>
        <v>1.082265819311442E-19</v>
      </c>
      <c r="AX167" s="21">
        <f t="shared" si="166"/>
        <v>0.70322889017534873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2.2737367544323206E-13</v>
      </c>
      <c r="BE167" s="13">
        <f>BD167*VLOOKUP('Données projet'!$B$11,Paramètres!$A$1:$I$89,3,0)*VLOOKUP('Données projet'!$B$11,Paramètres!$A$1:$I$89,5,0)</f>
        <v>1.2414602679200471E-13</v>
      </c>
      <c r="BF167" s="13">
        <f t="shared" si="167"/>
        <v>1.8186582995804361E-12</v>
      </c>
      <c r="BG167" s="20">
        <f t="shared" si="168"/>
        <v>3.3837175350986671E-12</v>
      </c>
      <c r="BH167" s="59">
        <f t="shared" si="116"/>
        <v>293.33333333333672</v>
      </c>
      <c r="BI167" s="59">
        <f ca="1">AVERAGE(OFFSET($BH$3,0,0,'Données projet'!$E$11+1,1))-AVERAGE(OFFSET($H$3,0,0,'Données projet'!$E$11+1,1))</f>
        <v>168.72306536277267</v>
      </c>
      <c r="BJ167" s="59">
        <f t="shared" si="146"/>
        <v>203.35476578922339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0.21411911959263227</v>
      </c>
      <c r="BQ167" s="21">
        <f>EXP(-LN(2)/25)*BQ166+(1-EXP(-LN(2)/25))/(LN(2)/25)*Calculateur!BL167*Calculateur!BN167*VLOOKUP('Données projet'!$B$11,Paramètres!$A$1:$I$89,3,0)*0.475*44/12</f>
        <v>0.55965983286496723</v>
      </c>
      <c r="BR167" s="21">
        <f>EXP(-LN(2)/2)*BR166+(1-EXP(-LN(2)/2))/(LN(2)/2)*BL167*BO167*VLOOKUP('Données projet'!$B$11,Paramètres!$A$1:$I$89,3,0)*0.475*44/12</f>
        <v>1.356868625574107E-19</v>
      </c>
      <c r="BS167" s="22">
        <f t="shared" si="169"/>
        <v>0.77377895245759953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3.4106051316484809E-13</v>
      </c>
      <c r="BZ167" s="13">
        <f>BY167*VLOOKUP('Données projet'!$B$12,Paramètres!$A$1:$I$89,3,0)*VLOOKUP('Données projet'!$B$12,Paramètres!$A$1:$I$89,5,0)</f>
        <v>1.5961632016114892E-13</v>
      </c>
      <c r="CA167" s="13">
        <f t="shared" si="170"/>
        <v>2.2708641912150958E-12</v>
      </c>
      <c r="CB167" s="20">
        <f t="shared" si="171"/>
        <v>4.2330868906469593E-12</v>
      </c>
      <c r="CC167" s="59">
        <f t="shared" si="119"/>
        <v>293.33333333333752</v>
      </c>
      <c r="CD167" s="59">
        <f ca="1">AVERAGE(OFFSET($CC$3,0,0,'Données projet'!$E$12+1,1))-AVERAGE(OFFSET($H$3,0,0,'Données projet'!$E$12+1,1))</f>
        <v>158.58786357608489</v>
      </c>
      <c r="CE167" s="59">
        <f t="shared" si="148"/>
        <v>163.20074068819849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4.1677594708744434E-14</v>
      </c>
      <c r="CV167" s="13">
        <f t="shared" si="173"/>
        <v>6.9326303456159188E-13</v>
      </c>
      <c r="CW167" s="20">
        <f t="shared" si="174"/>
        <v>1.2800215959791691E-12</v>
      </c>
      <c r="CX167" s="59">
        <f t="shared" si="122"/>
        <v>293.33333333333462</v>
      </c>
      <c r="CY167" s="59">
        <f ca="1">AVERAGE(OFFSET($CX$3,0,0,'Données projet'!$E$13+1,1))-AVERAGE(OFFSET($H$3,0,0,'Données projet'!$E$13+1,1))</f>
        <v>178.12968684094687</v>
      </c>
      <c r="CZ167" s="59">
        <f t="shared" si="150"/>
        <v>219.36004077210373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0.18720538323972849</v>
      </c>
      <c r="DH167" s="21">
        <f>EXP(-LN(2)/2)*DH166+(1-EXP(-LN(2)/2))/(LN(2)/2)*DB167*DE167*VLOOKUP('Données projet'!$B$13,Paramètres!$A$1:$I$89,3,0)*0.475*44/12</f>
        <v>6.7203692952839636E-20</v>
      </c>
      <c r="DI167" s="22">
        <f t="shared" si="175"/>
        <v>0.18720538323972849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-8.5265128291212022E-14</v>
      </c>
      <c r="DP167" s="17">
        <f>DO167*VLOOKUP('Données projet'!$B$14,Paramètres!$A$1:$I$89,3,0)*VLOOKUP('Données projet'!$B$14,Paramètres!$A$1:$I$89,5,0)</f>
        <v>-7.7147888077888636E-14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225.28075317732998</v>
      </c>
      <c r="DU167" s="59">
        <f t="shared" si="152"/>
        <v>358.43407531256207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0.1579122769380148</v>
      </c>
      <c r="EB167" s="21">
        <f>EXP(-LN(2)/25)*EB166+(1-EXP(-LN(2)/25))/(LN(2)/25)*Calculateur!DW167*Calculateur!DY167*VLOOKUP('Données projet'!$B$14,Paramètres!$A$1:$I$89,3,0)*0.475*44/12</f>
        <v>0.20141542393899192</v>
      </c>
      <c r="EC167" s="21">
        <f>EXP(-LN(2)/2)*EC166+(1-EXP(-LN(2)/2))/(LN(2)/2)*DW167*DZ167*VLOOKUP('Données projet'!$B$14,Paramètres!$A$1:$I$89,3,0)*0.475*44/12</f>
        <v>2.9910570514042788E-20</v>
      </c>
      <c r="ED167" s="22">
        <f t="shared" si="178"/>
        <v>0.35932770087700672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-7.3896444519050419E-13</v>
      </c>
      <c r="EK167" s="17">
        <f>EJ167*VLOOKUP('Données projet'!$B$15,Paramètres!$A$1:$I$89,3,0)*VLOOKUP('Données projet'!$B$15,Paramètres!$A$1:$I$89,5,0)</f>
        <v>-7.4930994742317137E-13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363.98308691765931</v>
      </c>
      <c r="EP167" s="59">
        <f t="shared" si="154"/>
        <v>181.47089407988187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-7.3896444519050419E-13</v>
      </c>
      <c r="FF167" s="17">
        <f>FE167*VLOOKUP('Données projet'!$B$16,Paramètres!$A$1:$I$89,3,0)*VLOOKUP('Données projet'!$B$16,Paramètres!$A$1:$I$89,5,0)</f>
        <v>-7.954213288030586E-13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395.30533160963489</v>
      </c>
      <c r="FK167" s="59">
        <f t="shared" si="156"/>
        <v>196.02102977695085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227.99999999999986</v>
      </c>
      <c r="GA167" s="17">
        <f>FZ167*VLOOKUP('Données projet'!$B$17,Paramètres!$A$1:$I$89,3,0)*VLOOKUP('Données projet'!$B$17,Paramètres!$A$1:$I$89,5,0)</f>
        <v>238.30559999999986</v>
      </c>
      <c r="GB167" s="13">
        <f t="shared" si="185"/>
        <v>58.074821878967043</v>
      </c>
      <c r="GC167" s="20">
        <f t="shared" si="186"/>
        <v>516.19590143920061</v>
      </c>
      <c r="GD167" s="59">
        <f t="shared" si="134"/>
        <v>809.52923477253398</v>
      </c>
      <c r="GE167" s="59">
        <f ca="1">AVERAGE(OFFSET($GD$3,0,0,'Données projet'!$E$17+1,1))-AVERAGE(OFFSET($H$3,0,0,'Données projet'!$E$17+1,1))</f>
        <v>269.41185214595805</v>
      </c>
      <c r="GF167" s="59">
        <f t="shared" si="158"/>
        <v>299.70148160580993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0.44633984113626274</v>
      </c>
      <c r="GM167" s="21">
        <f>EXP(-LN(2)/25)*GM166+(1-EXP(-LN(2)/25))/(LN(2)/25)*Calculateur!GH167*Calculateur!GJ167*VLOOKUP('Données projet'!$B$17,Paramètres!$A$1:$I$89,3,0)*0.475*44/12</f>
        <v>0.3950232953235292</v>
      </c>
      <c r="GN167" s="21">
        <f>EXP(-LN(2)/2)*GN166+(1-EXP(-LN(2)/2))/(LN(2)/2)*GH167*GK167*VLOOKUP('Données projet'!$B$17,Paramètres!$A$1:$I$89,3,0)*0.475*44/12</f>
        <v>1.2948537481047485E-19</v>
      </c>
      <c r="GO167" s="21">
        <f t="shared" si="187"/>
        <v>0.84136313645979199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5.6843418860808015E-14</v>
      </c>
      <c r="GV167" s="17">
        <f>GU167*VLOOKUP('Données projet'!$B$18,Paramètres!$A$1:$I$89,3,0)*VLOOKUP('Données projet'!$B$18,Paramètres!$A$1:$I$89,5,0)</f>
        <v>4.9658410716801891E-14</v>
      </c>
      <c r="GW167" s="13">
        <f t="shared" si="188"/>
        <v>8.0934058173791862E-13</v>
      </c>
      <c r="GX167" s="20">
        <f t="shared" si="189"/>
        <v>1.4960899118586383E-12</v>
      </c>
      <c r="GY167" s="59">
        <f t="shared" si="137"/>
        <v>293.33333333333479</v>
      </c>
      <c r="GZ167" s="59">
        <f ca="1">AVERAGE(OFFSET($GY$3,0,0,'Données projet'!$E$18+1,1))-AVERAGE(OFFSET($H$3,0,0,'Données projet'!$E$18+1,1))</f>
        <v>226.35975611953359</v>
      </c>
      <c r="HA167" s="59">
        <f t="shared" si="160"/>
        <v>271.65876694892461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0.27492606504478695</v>
      </c>
      <c r="HI167" s="21">
        <f>EXP(-LN(2)/2)*HI166+(1-EXP(-LN(2)/2))/(LN(2)/2)*HC167*HF167*VLOOKUP('Données projet'!$B$18,Paramètres!$A$1:$I$89,3,0)*0.475*44/12</f>
        <v>8.0072485220404654E-20</v>
      </c>
      <c r="HJ167" s="22">
        <f t="shared" si="190"/>
        <v>0.27492606504478695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-7.3896444519050419E-13</v>
      </c>
      <c r="O168" s="13">
        <f>N168*VLOOKUP('Données projet'!$B$9,Paramètres!$A$1:$I$89,3,0)*VLOOKUP('Données projet'!$B$9,Paramètres!$A$1:$I$89,5,0)</f>
        <v>-6.6861503000836817E-13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309.07357540707869</v>
      </c>
      <c r="T168" s="59">
        <f t="shared" si="142"/>
        <v>155.9593924683299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227.99999999999986</v>
      </c>
      <c r="AJ168" s="13">
        <f>AI168*VLOOKUP('Données projet'!$B$10,Paramètres!$A$1:$I$89,3,0)*VLOOKUP('Données projet'!$B$10,Paramètres!$A$1:$I$89,5,0)</f>
        <v>199.18079999999992</v>
      </c>
      <c r="AK168" s="13">
        <f t="shared" si="164"/>
        <v>49.564089376413683</v>
      </c>
      <c r="AL168" s="20">
        <f t="shared" si="165"/>
        <v>433.23068233058694</v>
      </c>
      <c r="AM168" s="59">
        <f t="shared" si="113"/>
        <v>726.56401566392026</v>
      </c>
      <c r="AN168" s="59">
        <f ca="1">AVERAGE(OFFSET($AM$3,0,0,'Données projet'!$E$10+1,1))-AVERAGE(OFFSET($H$3,0,0,'Données projet'!$E$10+1,1))</f>
        <v>210.07838338464626</v>
      </c>
      <c r="AO168" s="59">
        <f t="shared" si="144"/>
        <v>241.76003724236273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0.36574468342018118</v>
      </c>
      <c r="AV168" s="21">
        <f>EXP(-LN(2)/25)*AV167+(1-EXP(-LN(2)/25))/(LN(2)/25)*Calculateur!AQ168*Calculateur!AS168*VLOOKUP('Données projet'!$B$10,Paramètres!$A$1:$I$89,3,0)*0.475*44/12</f>
        <v>0.32114024331662627</v>
      </c>
      <c r="AW168" s="21">
        <f>EXP(-LN(2)/2)*AW167+(1-EXP(-LN(2)/2))/(LN(2)/2)*AQ168*AT168*VLOOKUP('Données projet'!$B$10,Paramètres!$A$1:$I$89,3,0)*0.475*44/12</f>
        <v>7.6527749988153551E-20</v>
      </c>
      <c r="AX168" s="21">
        <f t="shared" si="166"/>
        <v>0.68688492673680746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2.2737367544323206E-13</v>
      </c>
      <c r="BE168" s="13">
        <f>BD168*VLOOKUP('Données projet'!$B$11,Paramètres!$A$1:$I$89,3,0)*VLOOKUP('Données projet'!$B$11,Paramètres!$A$1:$I$89,5,0)</f>
        <v>1.2414602679200471E-13</v>
      </c>
      <c r="BF168" s="13">
        <f t="shared" si="167"/>
        <v>1.8186582995804361E-12</v>
      </c>
      <c r="BG168" s="20">
        <f t="shared" si="168"/>
        <v>3.3837175350986671E-12</v>
      </c>
      <c r="BH168" s="59">
        <f t="shared" si="116"/>
        <v>293.33333333333672</v>
      </c>
      <c r="BI168" s="59">
        <f ca="1">AVERAGE(OFFSET($BH$3,0,0,'Données projet'!$E$11+1,1))-AVERAGE(OFFSET($H$3,0,0,'Données projet'!$E$11+1,1))</f>
        <v>168.72306536277267</v>
      </c>
      <c r="BJ168" s="59">
        <f t="shared" si="146"/>
        <v>203.35476578922339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0.20992037425718804</v>
      </c>
      <c r="BQ168" s="21">
        <f>EXP(-LN(2)/25)*BQ167+(1-EXP(-LN(2)/25))/(LN(2)/25)*Calculateur!BL168*Calculateur!BN168*VLOOKUP('Données projet'!$B$11,Paramètres!$A$1:$I$89,3,0)*0.475*44/12</f>
        <v>0.54435590530404321</v>
      </c>
      <c r="BR168" s="21">
        <f>EXP(-LN(2)/2)*BR167+(1-EXP(-LN(2)/2))/(LN(2)/2)*BL168*BO168*VLOOKUP('Données projet'!$B$11,Paramètres!$A$1:$I$89,3,0)*0.475*44/12</f>
        <v>9.5945100632272157E-20</v>
      </c>
      <c r="BS168" s="22">
        <f t="shared" si="169"/>
        <v>0.75427627956123122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3.4106051316484809E-13</v>
      </c>
      <c r="BZ168" s="13">
        <f>BY168*VLOOKUP('Données projet'!$B$12,Paramètres!$A$1:$I$89,3,0)*VLOOKUP('Données projet'!$B$12,Paramètres!$A$1:$I$89,5,0)</f>
        <v>1.5961632016114892E-13</v>
      </c>
      <c r="CA168" s="13">
        <f t="shared" si="170"/>
        <v>2.2708641912150958E-12</v>
      </c>
      <c r="CB168" s="20">
        <f t="shared" si="171"/>
        <v>4.2330868906469593E-12</v>
      </c>
      <c r="CC168" s="59">
        <f t="shared" si="119"/>
        <v>293.33333333333752</v>
      </c>
      <c r="CD168" s="59">
        <f ca="1">AVERAGE(OFFSET($CC$3,0,0,'Données projet'!$E$12+1,1))-AVERAGE(OFFSET($H$3,0,0,'Données projet'!$E$12+1,1))</f>
        <v>158.58786357608489</v>
      </c>
      <c r="CE168" s="59">
        <f t="shared" si="148"/>
        <v>163.20074068819849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4.1677594708744434E-14</v>
      </c>
      <c r="CV168" s="13">
        <f t="shared" si="173"/>
        <v>6.9326303456159188E-13</v>
      </c>
      <c r="CW168" s="20">
        <f t="shared" si="174"/>
        <v>1.2800215959791691E-12</v>
      </c>
      <c r="CX168" s="59">
        <f t="shared" si="122"/>
        <v>293.33333333333462</v>
      </c>
      <c r="CY168" s="59">
        <f ca="1">AVERAGE(OFFSET($CX$3,0,0,'Données projet'!$E$13+1,1))-AVERAGE(OFFSET($H$3,0,0,'Données projet'!$E$13+1,1))</f>
        <v>178.12968684094687</v>
      </c>
      <c r="CZ168" s="59">
        <f t="shared" si="150"/>
        <v>219.36004077210373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0.18208624219033487</v>
      </c>
      <c r="DH168" s="21">
        <f>EXP(-LN(2)/2)*DH167+(1-EXP(-LN(2)/2))/(LN(2)/2)*DB168*DE168*VLOOKUP('Données projet'!$B$13,Paramètres!$A$1:$I$89,3,0)*0.475*44/12</f>
        <v>4.7520187007731503E-20</v>
      </c>
      <c r="DI168" s="22">
        <f t="shared" si="175"/>
        <v>0.18208624219033487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-8.5265128291212022E-14</v>
      </c>
      <c r="DP168" s="17">
        <f>DO168*VLOOKUP('Données projet'!$B$14,Paramètres!$A$1:$I$89,3,0)*VLOOKUP('Données projet'!$B$14,Paramètres!$A$1:$I$89,5,0)</f>
        <v>-7.7147888077888636E-14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225.28075317732998</v>
      </c>
      <c r="DU168" s="59">
        <f t="shared" si="152"/>
        <v>358.43407531256207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0.15481571350423876</v>
      </c>
      <c r="EB168" s="21">
        <f>EXP(-LN(2)/25)*EB167+(1-EXP(-LN(2)/25))/(LN(2)/25)*Calculateur!DW168*Calculateur!DY168*VLOOKUP('Données projet'!$B$14,Paramètres!$A$1:$I$89,3,0)*0.475*44/12</f>
        <v>0.19590770857940337</v>
      </c>
      <c r="EC168" s="21">
        <f>EXP(-LN(2)/2)*EC167+(1-EXP(-LN(2)/2))/(LN(2)/2)*DW168*DZ168*VLOOKUP('Données projet'!$B$14,Paramètres!$A$1:$I$89,3,0)*0.475*44/12</f>
        <v>2.1149967239638054E-20</v>
      </c>
      <c r="ED168" s="22">
        <f t="shared" si="178"/>
        <v>0.35072342208364216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-7.3896444519050419E-13</v>
      </c>
      <c r="EK168" s="17">
        <f>EJ168*VLOOKUP('Données projet'!$B$15,Paramètres!$A$1:$I$89,3,0)*VLOOKUP('Données projet'!$B$15,Paramètres!$A$1:$I$89,5,0)</f>
        <v>-7.4930994742317137E-13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363.98308691765931</v>
      </c>
      <c r="EP168" s="59">
        <f t="shared" si="154"/>
        <v>181.47089407988187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-7.3896444519050419E-13</v>
      </c>
      <c r="FF168" s="17">
        <f>FE168*VLOOKUP('Données projet'!$B$16,Paramètres!$A$1:$I$89,3,0)*VLOOKUP('Données projet'!$B$16,Paramètres!$A$1:$I$89,5,0)</f>
        <v>-7.954213288030586E-13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395.30533160963489</v>
      </c>
      <c r="FK168" s="59">
        <f t="shared" si="156"/>
        <v>196.02102977695085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227.99999999999986</v>
      </c>
      <c r="GA168" s="17">
        <f>FZ168*VLOOKUP('Données projet'!$B$17,Paramètres!$A$1:$I$89,3,0)*VLOOKUP('Données projet'!$B$17,Paramètres!$A$1:$I$89,5,0)</f>
        <v>238.30559999999986</v>
      </c>
      <c r="GB168" s="13">
        <f t="shared" si="185"/>
        <v>58.074821878967043</v>
      </c>
      <c r="GC168" s="20">
        <f t="shared" si="186"/>
        <v>516.19590143920061</v>
      </c>
      <c r="GD168" s="59">
        <f t="shared" si="134"/>
        <v>809.52923477253398</v>
      </c>
      <c r="GE168" s="59">
        <f ca="1">AVERAGE(OFFSET($GD$3,0,0,'Données projet'!$E$17+1,1))-AVERAGE(OFFSET($H$3,0,0,'Données projet'!$E$17+1,1))</f>
        <v>269.41185214595805</v>
      </c>
      <c r="GF168" s="59">
        <f t="shared" si="158"/>
        <v>299.70148160580993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0.43758738909200223</v>
      </c>
      <c r="GM168" s="21">
        <f>EXP(-LN(2)/25)*GM167+(1-EXP(-LN(2)/25))/(LN(2)/25)*Calculateur!GH168*Calculateur!GJ168*VLOOKUP('Données projet'!$B$17,Paramètres!$A$1:$I$89,3,0)*0.475*44/12</f>
        <v>0.38422136253953504</v>
      </c>
      <c r="GN168" s="21">
        <f>EXP(-LN(2)/2)*GN167+(1-EXP(-LN(2)/2))/(LN(2)/2)*GH168*GK168*VLOOKUP('Données projet'!$B$17,Paramètres!$A$1:$I$89,3,0)*0.475*44/12</f>
        <v>9.1559986592968531E-20</v>
      </c>
      <c r="GO168" s="21">
        <f t="shared" si="187"/>
        <v>0.82180875163153733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5.6843418860808015E-14</v>
      </c>
      <c r="GV168" s="17">
        <f>GU168*VLOOKUP('Données projet'!$B$18,Paramètres!$A$1:$I$89,3,0)*VLOOKUP('Données projet'!$B$18,Paramètres!$A$1:$I$89,5,0)</f>
        <v>4.9658410716801891E-14</v>
      </c>
      <c r="GW168" s="13">
        <f t="shared" si="188"/>
        <v>8.0934058173791862E-13</v>
      </c>
      <c r="GX168" s="20">
        <f t="shared" si="189"/>
        <v>1.4960899118586383E-12</v>
      </c>
      <c r="GY168" s="59">
        <f t="shared" si="137"/>
        <v>293.33333333333479</v>
      </c>
      <c r="GZ168" s="59">
        <f ca="1">AVERAGE(OFFSET($GY$3,0,0,'Données projet'!$E$18+1,1))-AVERAGE(OFFSET($H$3,0,0,'Données projet'!$E$18+1,1))</f>
        <v>226.35975611953359</v>
      </c>
      <c r="HA168" s="59">
        <f t="shared" si="160"/>
        <v>271.65876694892461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0.26740819733840382</v>
      </c>
      <c r="HI168" s="21">
        <f>EXP(-LN(2)/2)*HI167+(1-EXP(-LN(2)/2))/(LN(2)/2)*HC168*HF168*VLOOKUP('Données projet'!$B$18,Paramètres!$A$1:$I$89,3,0)*0.475*44/12</f>
        <v>5.6619797285807733E-20</v>
      </c>
      <c r="HJ168" s="22">
        <f t="shared" si="190"/>
        <v>0.26740819733840382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-7.3896444519050419E-13</v>
      </c>
      <c r="O169" s="13">
        <f>N169*VLOOKUP('Données projet'!$B$9,Paramètres!$A$1:$I$89,3,0)*VLOOKUP('Données projet'!$B$9,Paramètres!$A$1:$I$89,5,0)</f>
        <v>-6.6861503000836817E-13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309.07357540707869</v>
      </c>
      <c r="T169" s="59">
        <f t="shared" si="142"/>
        <v>155.9593924683299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227.99999999999986</v>
      </c>
      <c r="AJ169" s="13">
        <f>AI169*VLOOKUP('Données projet'!$B$10,Paramètres!$A$1:$I$89,3,0)*VLOOKUP('Données projet'!$B$10,Paramètres!$A$1:$I$89,5,0)</f>
        <v>199.18079999999992</v>
      </c>
      <c r="AK169" s="13">
        <f t="shared" si="164"/>
        <v>49.564089376413683</v>
      </c>
      <c r="AL169" s="20">
        <f t="shared" si="165"/>
        <v>433.23068233058694</v>
      </c>
      <c r="AM169" s="59">
        <f t="shared" si="113"/>
        <v>726.56401566392026</v>
      </c>
      <c r="AN169" s="59">
        <f ca="1">AVERAGE(OFFSET($AM$3,0,0,'Données projet'!$E$10+1,1))-AVERAGE(OFFSET($H$3,0,0,'Données projet'!$E$10+1,1))</f>
        <v>210.07838338464626</v>
      </c>
      <c r="AO169" s="59">
        <f t="shared" si="144"/>
        <v>241.76003724236273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0.35857265326054077</v>
      </c>
      <c r="AV169" s="21">
        <f>EXP(-LN(2)/25)*AV168+(1-EXP(-LN(2)/25))/(LN(2)/25)*Calculateur!AQ169*Calculateur!AS169*VLOOKUP('Données projet'!$B$10,Paramètres!$A$1:$I$89,3,0)*0.475*44/12</f>
        <v>0.3123586464751017</v>
      </c>
      <c r="AW169" s="21">
        <f>EXP(-LN(2)/2)*AW168+(1-EXP(-LN(2)/2))/(LN(2)/2)*AQ169*AT169*VLOOKUP('Données projet'!$B$10,Paramètres!$A$1:$I$89,3,0)*0.475*44/12</f>
        <v>5.4113290965572114E-20</v>
      </c>
      <c r="AX169" s="21">
        <f t="shared" si="166"/>
        <v>0.67093129973564247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2.2737367544323206E-13</v>
      </c>
      <c r="BE169" s="13">
        <f>BD169*VLOOKUP('Données projet'!$B$11,Paramètres!$A$1:$I$89,3,0)*VLOOKUP('Données projet'!$B$11,Paramètres!$A$1:$I$89,5,0)</f>
        <v>1.2414602679200471E-13</v>
      </c>
      <c r="BF169" s="13">
        <f t="shared" si="167"/>
        <v>1.8186582995804361E-12</v>
      </c>
      <c r="BG169" s="20">
        <f t="shared" si="168"/>
        <v>3.3837175350986671E-12</v>
      </c>
      <c r="BH169" s="59">
        <f t="shared" si="116"/>
        <v>293.33333333333672</v>
      </c>
      <c r="BI169" s="59">
        <f ca="1">AVERAGE(OFFSET($BH$3,0,0,'Données projet'!$E$11+1,1))-AVERAGE(OFFSET($H$3,0,0,'Données projet'!$E$11+1,1))</f>
        <v>168.72306536277267</v>
      </c>
      <c r="BJ169" s="59">
        <f t="shared" si="146"/>
        <v>203.35476578922339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0.20580396375679011</v>
      </c>
      <c r="BQ169" s="21">
        <f>EXP(-LN(2)/25)*BQ168+(1-EXP(-LN(2)/25))/(LN(2)/25)*Calculateur!BL169*Calculateur!BN169*VLOOKUP('Données projet'!$B$11,Paramètres!$A$1:$I$89,3,0)*0.475*44/12</f>
        <v>0.52947046444707124</v>
      </c>
      <c r="BR169" s="21">
        <f>EXP(-LN(2)/2)*BR168+(1-EXP(-LN(2)/2))/(LN(2)/2)*BL169*BO169*VLOOKUP('Données projet'!$B$11,Paramètres!$A$1:$I$89,3,0)*0.475*44/12</f>
        <v>6.784343127870535E-20</v>
      </c>
      <c r="BS169" s="22">
        <f t="shared" si="169"/>
        <v>0.73527442820386135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3.4106051316484809E-13</v>
      </c>
      <c r="BZ169" s="13">
        <f>BY169*VLOOKUP('Données projet'!$B$12,Paramètres!$A$1:$I$89,3,0)*VLOOKUP('Données projet'!$B$12,Paramètres!$A$1:$I$89,5,0)</f>
        <v>1.5961632016114892E-13</v>
      </c>
      <c r="CA169" s="13">
        <f t="shared" si="170"/>
        <v>2.2708641912150958E-12</v>
      </c>
      <c r="CB169" s="20">
        <f t="shared" si="171"/>
        <v>4.2330868906469593E-12</v>
      </c>
      <c r="CC169" s="59">
        <f t="shared" si="119"/>
        <v>293.33333333333752</v>
      </c>
      <c r="CD169" s="59">
        <f ca="1">AVERAGE(OFFSET($CC$3,0,0,'Données projet'!$E$12+1,1))-AVERAGE(OFFSET($H$3,0,0,'Données projet'!$E$12+1,1))</f>
        <v>158.58786357608489</v>
      </c>
      <c r="CE169" s="59">
        <f t="shared" si="148"/>
        <v>163.20074068819849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4.1677594708744434E-14</v>
      </c>
      <c r="CV169" s="13">
        <f t="shared" si="173"/>
        <v>6.9326303456159188E-13</v>
      </c>
      <c r="CW169" s="20">
        <f t="shared" si="174"/>
        <v>1.2800215959791691E-12</v>
      </c>
      <c r="CX169" s="59">
        <f t="shared" si="122"/>
        <v>293.33333333333462</v>
      </c>
      <c r="CY169" s="59">
        <f ca="1">AVERAGE(OFFSET($CX$3,0,0,'Données projet'!$E$13+1,1))-AVERAGE(OFFSET($H$3,0,0,'Données projet'!$E$13+1,1))</f>
        <v>178.12968684094687</v>
      </c>
      <c r="CZ169" s="59">
        <f t="shared" si="150"/>
        <v>219.36004077210373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0.17710708432214084</v>
      </c>
      <c r="DH169" s="21">
        <f>EXP(-LN(2)/2)*DH168+(1-EXP(-LN(2)/2))/(LN(2)/2)*DB169*DE169*VLOOKUP('Données projet'!$B$13,Paramètres!$A$1:$I$89,3,0)*0.475*44/12</f>
        <v>3.3601846476419818E-20</v>
      </c>
      <c r="DI169" s="22">
        <f t="shared" si="175"/>
        <v>0.17710708432214084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-8.5265128291212022E-14</v>
      </c>
      <c r="DP169" s="17">
        <f>DO169*VLOOKUP('Données projet'!$B$14,Paramètres!$A$1:$I$89,3,0)*VLOOKUP('Données projet'!$B$14,Paramètres!$A$1:$I$89,5,0)</f>
        <v>-7.7147888077888636E-14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225.28075317732998</v>
      </c>
      <c r="DU169" s="59">
        <f t="shared" si="152"/>
        <v>358.43407531256207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0.15177987179068186</v>
      </c>
      <c r="EB169" s="21">
        <f>EXP(-LN(2)/25)*EB168+(1-EXP(-LN(2)/25))/(LN(2)/25)*Calculateur!DW169*Calculateur!DY169*VLOOKUP('Données projet'!$B$14,Paramètres!$A$1:$I$89,3,0)*0.475*44/12</f>
        <v>0.19055060198596094</v>
      </c>
      <c r="EC169" s="21">
        <f>EXP(-LN(2)/2)*EC168+(1-EXP(-LN(2)/2))/(LN(2)/2)*DW169*DZ169*VLOOKUP('Données projet'!$B$14,Paramètres!$A$1:$I$89,3,0)*0.475*44/12</f>
        <v>1.4955285257021394E-20</v>
      </c>
      <c r="ED169" s="22">
        <f t="shared" si="178"/>
        <v>0.34233047377664283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-7.3896444519050419E-13</v>
      </c>
      <c r="EK169" s="17">
        <f>EJ169*VLOOKUP('Données projet'!$B$15,Paramètres!$A$1:$I$89,3,0)*VLOOKUP('Données projet'!$B$15,Paramètres!$A$1:$I$89,5,0)</f>
        <v>-7.4930994742317137E-13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363.98308691765931</v>
      </c>
      <c r="EP169" s="59">
        <f t="shared" si="154"/>
        <v>181.47089407988187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-7.3896444519050419E-13</v>
      </c>
      <c r="FF169" s="17">
        <f>FE169*VLOOKUP('Données projet'!$B$16,Paramètres!$A$1:$I$89,3,0)*VLOOKUP('Données projet'!$B$16,Paramètres!$A$1:$I$89,5,0)</f>
        <v>-7.954213288030586E-13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395.30533160963489</v>
      </c>
      <c r="FK169" s="59">
        <f t="shared" si="156"/>
        <v>196.02102977695085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227.99999999999986</v>
      </c>
      <c r="GA169" s="17">
        <f>FZ169*VLOOKUP('Données projet'!$B$17,Paramètres!$A$1:$I$89,3,0)*VLOOKUP('Données projet'!$B$17,Paramètres!$A$1:$I$89,5,0)</f>
        <v>238.30559999999986</v>
      </c>
      <c r="GB169" s="13">
        <f t="shared" si="185"/>
        <v>58.074821878967043</v>
      </c>
      <c r="GC169" s="20">
        <f t="shared" si="186"/>
        <v>516.19590143920061</v>
      </c>
      <c r="GD169" s="59">
        <f t="shared" si="134"/>
        <v>809.52923477253398</v>
      </c>
      <c r="GE169" s="59">
        <f ca="1">AVERAGE(OFFSET($GD$3,0,0,'Données projet'!$E$17+1,1))-AVERAGE(OFFSET($H$3,0,0,'Données projet'!$E$17+1,1))</f>
        <v>269.41185214595805</v>
      </c>
      <c r="GF169" s="59">
        <f t="shared" si="158"/>
        <v>299.70148160580993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0.42900656729386105</v>
      </c>
      <c r="GM169" s="21">
        <f>EXP(-LN(2)/25)*GM168+(1-EXP(-LN(2)/25))/(LN(2)/25)*Calculateur!GH169*Calculateur!GJ169*VLOOKUP('Données projet'!$B$17,Paramètres!$A$1:$I$89,3,0)*0.475*44/12</f>
        <v>0.37371480917556815</v>
      </c>
      <c r="GN169" s="21">
        <f>EXP(-LN(2)/2)*GN168+(1-EXP(-LN(2)/2))/(LN(2)/2)*GH169*GK169*VLOOKUP('Données projet'!$B$17,Paramètres!$A$1:$I$89,3,0)*0.475*44/12</f>
        <v>6.4742687405237424E-20</v>
      </c>
      <c r="GO169" s="21">
        <f t="shared" si="187"/>
        <v>0.8027213764694292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5.6843418860808015E-14</v>
      </c>
      <c r="GV169" s="17">
        <f>GU169*VLOOKUP('Données projet'!$B$18,Paramètres!$A$1:$I$89,3,0)*VLOOKUP('Données projet'!$B$18,Paramètres!$A$1:$I$89,5,0)</f>
        <v>4.9658410716801891E-14</v>
      </c>
      <c r="GW169" s="13">
        <f t="shared" si="188"/>
        <v>8.0934058173791862E-13</v>
      </c>
      <c r="GX169" s="20">
        <f t="shared" si="189"/>
        <v>1.4960899118586383E-12</v>
      </c>
      <c r="GY169" s="59">
        <f t="shared" si="137"/>
        <v>293.33333333333479</v>
      </c>
      <c r="GZ169" s="59">
        <f ca="1">AVERAGE(OFFSET($GY$3,0,0,'Données projet'!$E$18+1,1))-AVERAGE(OFFSET($H$3,0,0,'Données projet'!$E$18+1,1))</f>
        <v>226.35975611953359</v>
      </c>
      <c r="HA169" s="59">
        <f t="shared" si="160"/>
        <v>271.65876694892461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0.26009590611979921</v>
      </c>
      <c r="HI169" s="21">
        <f>EXP(-LN(2)/2)*HI168+(1-EXP(-LN(2)/2))/(LN(2)/2)*HC169*HF169*VLOOKUP('Données projet'!$B$18,Paramètres!$A$1:$I$89,3,0)*0.475*44/12</f>
        <v>4.0036242610202327E-20</v>
      </c>
      <c r="HJ169" s="22">
        <f t="shared" si="190"/>
        <v>0.26009590611979921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-7.3896444519050419E-13</v>
      </c>
      <c r="O170" s="13">
        <f>N170*VLOOKUP('Données projet'!$B$9,Paramètres!$A$1:$I$89,3,0)*VLOOKUP('Données projet'!$B$9,Paramètres!$A$1:$I$89,5,0)</f>
        <v>-6.6861503000836817E-13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309.07357540707869</v>
      </c>
      <c r="T170" s="59">
        <f t="shared" si="142"/>
        <v>155.9593924683299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227.99999999999986</v>
      </c>
      <c r="AJ170" s="13">
        <f>AI170*VLOOKUP('Données projet'!$B$10,Paramètres!$A$1:$I$89,3,0)*VLOOKUP('Données projet'!$B$10,Paramètres!$A$1:$I$89,5,0)</f>
        <v>199.18079999999992</v>
      </c>
      <c r="AK170" s="13">
        <f t="shared" si="164"/>
        <v>49.564089376413683</v>
      </c>
      <c r="AL170" s="20">
        <f t="shared" si="165"/>
        <v>433.23068233058694</v>
      </c>
      <c r="AM170" s="59">
        <f t="shared" si="113"/>
        <v>726.56401566392026</v>
      </c>
      <c r="AN170" s="59">
        <f ca="1">AVERAGE(OFFSET($AM$3,0,0,'Données projet'!$E$10+1,1))-AVERAGE(OFFSET($H$3,0,0,'Données projet'!$E$10+1,1))</f>
        <v>210.07838338464626</v>
      </c>
      <c r="AO170" s="59">
        <f t="shared" si="144"/>
        <v>241.76003724236273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0.35154126223782445</v>
      </c>
      <c r="AV170" s="21">
        <f>EXP(-LN(2)/25)*AV169+(1-EXP(-LN(2)/25))/(LN(2)/25)*Calculateur!AQ170*Calculateur!AS170*VLOOKUP('Données projet'!$B$10,Paramètres!$A$1:$I$89,3,0)*0.475*44/12</f>
        <v>0.30381718286101272</v>
      </c>
      <c r="AW170" s="21">
        <f>EXP(-LN(2)/2)*AW169+(1-EXP(-LN(2)/2))/(LN(2)/2)*AQ170*AT170*VLOOKUP('Données projet'!$B$10,Paramètres!$A$1:$I$89,3,0)*0.475*44/12</f>
        <v>3.8263874994076782E-20</v>
      </c>
      <c r="AX170" s="21">
        <f t="shared" si="166"/>
        <v>0.65535844509883723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2.2737367544323206E-13</v>
      </c>
      <c r="BE170" s="13">
        <f>BD170*VLOOKUP('Données projet'!$B$11,Paramètres!$A$1:$I$89,3,0)*VLOOKUP('Données projet'!$B$11,Paramètres!$A$1:$I$89,5,0)</f>
        <v>1.2414602679200471E-13</v>
      </c>
      <c r="BF170" s="13">
        <f t="shared" si="167"/>
        <v>1.8186582995804361E-12</v>
      </c>
      <c r="BG170" s="20">
        <f t="shared" si="168"/>
        <v>3.3837175350986671E-12</v>
      </c>
      <c r="BH170" s="59">
        <f t="shared" si="116"/>
        <v>293.33333333333672</v>
      </c>
      <c r="BI170" s="59">
        <f ca="1">AVERAGE(OFFSET($BH$3,0,0,'Données projet'!$E$11+1,1))-AVERAGE(OFFSET($H$3,0,0,'Données projet'!$E$11+1,1))</f>
        <v>168.72306536277267</v>
      </c>
      <c r="BJ170" s="59">
        <f t="shared" si="146"/>
        <v>203.35476578922339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0.20176827355554247</v>
      </c>
      <c r="BQ170" s="21">
        <f>EXP(-LN(2)/25)*BQ169+(1-EXP(-LN(2)/25))/(LN(2)/25)*Calculateur!BL170*Calculateur!BN170*VLOOKUP('Données projet'!$B$11,Paramètres!$A$1:$I$89,3,0)*0.475*44/12</f>
        <v>0.51499206675312448</v>
      </c>
      <c r="BR170" s="21">
        <f>EXP(-LN(2)/2)*BR169+(1-EXP(-LN(2)/2))/(LN(2)/2)*BL170*BO170*VLOOKUP('Données projet'!$B$11,Paramètres!$A$1:$I$89,3,0)*0.475*44/12</f>
        <v>4.7972550316136079E-20</v>
      </c>
      <c r="BS170" s="22">
        <f t="shared" si="169"/>
        <v>0.71676034030866698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3.4106051316484809E-13</v>
      </c>
      <c r="BZ170" s="13">
        <f>BY170*VLOOKUP('Données projet'!$B$12,Paramètres!$A$1:$I$89,3,0)*VLOOKUP('Données projet'!$B$12,Paramètres!$A$1:$I$89,5,0)</f>
        <v>1.5961632016114892E-13</v>
      </c>
      <c r="CA170" s="13">
        <f t="shared" si="170"/>
        <v>2.2708641912150958E-12</v>
      </c>
      <c r="CB170" s="20">
        <f t="shared" si="171"/>
        <v>4.2330868906469593E-12</v>
      </c>
      <c r="CC170" s="59">
        <f t="shared" si="119"/>
        <v>293.33333333333752</v>
      </c>
      <c r="CD170" s="59">
        <f ca="1">AVERAGE(OFFSET($CC$3,0,0,'Données projet'!$E$12+1,1))-AVERAGE(OFFSET($H$3,0,0,'Données projet'!$E$12+1,1))</f>
        <v>158.58786357608489</v>
      </c>
      <c r="CE170" s="59">
        <f t="shared" si="148"/>
        <v>163.20074068819849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4.1677594708744434E-14</v>
      </c>
      <c r="CV170" s="13">
        <f t="shared" si="173"/>
        <v>6.9326303456159188E-13</v>
      </c>
      <c r="CW170" s="20">
        <f t="shared" si="174"/>
        <v>1.2800215959791691E-12</v>
      </c>
      <c r="CX170" s="59">
        <f t="shared" si="122"/>
        <v>293.33333333333462</v>
      </c>
      <c r="CY170" s="59">
        <f ca="1">AVERAGE(OFFSET($CX$3,0,0,'Données projet'!$E$13+1,1))-AVERAGE(OFFSET($H$3,0,0,'Données projet'!$E$13+1,1))</f>
        <v>178.12968684094687</v>
      </c>
      <c r="CZ170" s="59">
        <f t="shared" si="150"/>
        <v>219.36004077210373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0.17226408178769512</v>
      </c>
      <c r="DH170" s="21">
        <f>EXP(-LN(2)/2)*DH169+(1-EXP(-LN(2)/2))/(LN(2)/2)*DB170*DE170*VLOOKUP('Données projet'!$B$13,Paramètres!$A$1:$I$89,3,0)*0.475*44/12</f>
        <v>2.3760093503865751E-20</v>
      </c>
      <c r="DI170" s="22">
        <f t="shared" si="175"/>
        <v>0.17226408178769512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-8.5265128291212022E-14</v>
      </c>
      <c r="DP170" s="17">
        <f>DO170*VLOOKUP('Données projet'!$B$14,Paramètres!$A$1:$I$89,3,0)*VLOOKUP('Données projet'!$B$14,Paramètres!$A$1:$I$89,5,0)</f>
        <v>-7.7147888077888636E-14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225.28075317732998</v>
      </c>
      <c r="DU170" s="59">
        <f t="shared" si="152"/>
        <v>358.43407531256207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0.14880356108144721</v>
      </c>
      <c r="EB170" s="21">
        <f>EXP(-LN(2)/25)*EB169+(1-EXP(-LN(2)/25))/(LN(2)/25)*Calculateur!DW170*Calculateur!DY170*VLOOKUP('Données projet'!$B$14,Paramètres!$A$1:$I$89,3,0)*0.475*44/12</f>
        <v>0.18533998575403418</v>
      </c>
      <c r="EC170" s="21">
        <f>EXP(-LN(2)/2)*EC169+(1-EXP(-LN(2)/2))/(LN(2)/2)*DW170*DZ170*VLOOKUP('Données projet'!$B$14,Paramètres!$A$1:$I$89,3,0)*0.475*44/12</f>
        <v>1.0574983619819027E-20</v>
      </c>
      <c r="ED170" s="22">
        <f t="shared" si="178"/>
        <v>0.33414354683548142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-7.3896444519050419E-13</v>
      </c>
      <c r="EK170" s="17">
        <f>EJ170*VLOOKUP('Données projet'!$B$15,Paramètres!$A$1:$I$89,3,0)*VLOOKUP('Données projet'!$B$15,Paramètres!$A$1:$I$89,5,0)</f>
        <v>-7.4930994742317137E-13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363.98308691765931</v>
      </c>
      <c r="EP170" s="59">
        <f t="shared" si="154"/>
        <v>181.47089407988187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-7.3896444519050419E-13</v>
      </c>
      <c r="FF170" s="17">
        <f>FE170*VLOOKUP('Données projet'!$B$16,Paramètres!$A$1:$I$89,3,0)*VLOOKUP('Données projet'!$B$16,Paramètres!$A$1:$I$89,5,0)</f>
        <v>-7.954213288030586E-13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395.30533160963489</v>
      </c>
      <c r="FK170" s="59">
        <f t="shared" si="156"/>
        <v>196.02102977695085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227.99999999999986</v>
      </c>
      <c r="GA170" s="17">
        <f>FZ170*VLOOKUP('Données projet'!$B$17,Paramètres!$A$1:$I$89,3,0)*VLOOKUP('Données projet'!$B$17,Paramètres!$A$1:$I$89,5,0)</f>
        <v>238.30559999999986</v>
      </c>
      <c r="GB170" s="13">
        <f t="shared" si="185"/>
        <v>58.074821878967043</v>
      </c>
      <c r="GC170" s="20">
        <f t="shared" si="186"/>
        <v>516.19590143920061</v>
      </c>
      <c r="GD170" s="59">
        <f t="shared" si="134"/>
        <v>809.52923477253398</v>
      </c>
      <c r="GE170" s="59">
        <f ca="1">AVERAGE(OFFSET($GD$3,0,0,'Données projet'!$E$17+1,1))-AVERAGE(OFFSET($H$3,0,0,'Données projet'!$E$17+1,1))</f>
        <v>269.41185214595805</v>
      </c>
      <c r="GF170" s="59">
        <f t="shared" si="158"/>
        <v>299.70148160580993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0.42059401017739689</v>
      </c>
      <c r="GM170" s="21">
        <f>EXP(-LN(2)/25)*GM169+(1-EXP(-LN(2)/25))/(LN(2)/25)*Calculateur!GH170*Calculateur!GJ170*VLOOKUP('Données projet'!$B$17,Paramètres!$A$1:$I$89,3,0)*0.475*44/12</f>
        <v>0.36349555806585454</v>
      </c>
      <c r="GN170" s="21">
        <f>EXP(-LN(2)/2)*GN169+(1-EXP(-LN(2)/2))/(LN(2)/2)*GH170*GK170*VLOOKUP('Données projet'!$B$17,Paramètres!$A$1:$I$89,3,0)*0.475*44/12</f>
        <v>4.5779993296484265E-20</v>
      </c>
      <c r="GO170" s="21">
        <f t="shared" si="187"/>
        <v>0.78408956824325138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5.6843418860808015E-14</v>
      </c>
      <c r="GV170" s="17">
        <f>GU170*VLOOKUP('Données projet'!$B$18,Paramètres!$A$1:$I$89,3,0)*VLOOKUP('Données projet'!$B$18,Paramètres!$A$1:$I$89,5,0)</f>
        <v>4.9658410716801891E-14</v>
      </c>
      <c r="GW170" s="13">
        <f t="shared" si="188"/>
        <v>8.0934058173791862E-13</v>
      </c>
      <c r="GX170" s="20">
        <f t="shared" si="189"/>
        <v>1.4960899118586383E-12</v>
      </c>
      <c r="GY170" s="59">
        <f t="shared" si="137"/>
        <v>293.33333333333479</v>
      </c>
      <c r="GZ170" s="59">
        <f ca="1">AVERAGE(OFFSET($GY$3,0,0,'Données projet'!$E$18+1,1))-AVERAGE(OFFSET($H$3,0,0,'Données projet'!$E$18+1,1))</f>
        <v>226.35975611953359</v>
      </c>
      <c r="HA170" s="59">
        <f t="shared" si="160"/>
        <v>271.65876694892461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0.25298356988910403</v>
      </c>
      <c r="HI170" s="21">
        <f>EXP(-LN(2)/2)*HI169+(1-EXP(-LN(2)/2))/(LN(2)/2)*HC170*HF170*VLOOKUP('Données projet'!$B$18,Paramètres!$A$1:$I$89,3,0)*0.475*44/12</f>
        <v>2.8309898642903866E-20</v>
      </c>
      <c r="HJ170" s="22">
        <f t="shared" si="190"/>
        <v>0.25298356988910403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-7.3896444519050419E-13</v>
      </c>
      <c r="O171" s="13">
        <f>N171*VLOOKUP('Données projet'!$B$9,Paramètres!$A$1:$I$89,3,0)*VLOOKUP('Données projet'!$B$9,Paramètres!$A$1:$I$89,5,0)</f>
        <v>-6.6861503000836817E-13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309.07357540707869</v>
      </c>
      <c r="T171" s="59">
        <f t="shared" si="142"/>
        <v>155.9593924683299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227.99999999999986</v>
      </c>
      <c r="AJ171" s="13">
        <f>AI171*VLOOKUP('Données projet'!$B$10,Paramètres!$A$1:$I$89,3,0)*VLOOKUP('Données projet'!$B$10,Paramètres!$A$1:$I$89,5,0)</f>
        <v>199.18079999999992</v>
      </c>
      <c r="AK171" s="13">
        <f t="shared" si="164"/>
        <v>49.564089376413683</v>
      </c>
      <c r="AL171" s="20">
        <f t="shared" si="165"/>
        <v>433.23068233058694</v>
      </c>
      <c r="AM171" s="59">
        <f t="shared" si="113"/>
        <v>726.56401566392026</v>
      </c>
      <c r="AN171" s="59">
        <f ca="1">AVERAGE(OFFSET($AM$3,0,0,'Données projet'!$E$10+1,1))-AVERAGE(OFFSET($H$3,0,0,'Données projet'!$E$10+1,1))</f>
        <v>210.07838338464626</v>
      </c>
      <c r="AO171" s="59">
        <f t="shared" si="144"/>
        <v>241.76003724236273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0.34464775250433854</v>
      </c>
      <c r="AV171" s="21">
        <f>EXP(-LN(2)/25)*AV170+(1-EXP(-LN(2)/25))/(LN(2)/25)*Calculateur!AQ171*Calculateur!AS171*VLOOKUP('Données projet'!$B$10,Paramètres!$A$1:$I$89,3,0)*0.475*44/12</f>
        <v>0.29550928601862708</v>
      </c>
      <c r="AW171" s="21">
        <f>EXP(-LN(2)/2)*AW170+(1-EXP(-LN(2)/2))/(LN(2)/2)*AQ171*AT171*VLOOKUP('Données projet'!$B$10,Paramètres!$A$1:$I$89,3,0)*0.475*44/12</f>
        <v>2.705664548278606E-20</v>
      </c>
      <c r="AX171" s="21">
        <f t="shared" si="166"/>
        <v>0.64015703852296557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2.2737367544323206E-13</v>
      </c>
      <c r="BE171" s="13">
        <f>BD171*VLOOKUP('Données projet'!$B$11,Paramètres!$A$1:$I$89,3,0)*VLOOKUP('Données projet'!$B$11,Paramètres!$A$1:$I$89,5,0)</f>
        <v>1.2414602679200471E-13</v>
      </c>
      <c r="BF171" s="13">
        <f t="shared" si="167"/>
        <v>1.8186582995804361E-12</v>
      </c>
      <c r="BG171" s="20">
        <f t="shared" si="168"/>
        <v>3.3837175350986671E-12</v>
      </c>
      <c r="BH171" s="59">
        <f t="shared" si="116"/>
        <v>293.33333333333672</v>
      </c>
      <c r="BI171" s="59">
        <f ca="1">AVERAGE(OFFSET($BH$3,0,0,'Données projet'!$E$11+1,1))-AVERAGE(OFFSET($H$3,0,0,'Données projet'!$E$11+1,1))</f>
        <v>168.72306536277267</v>
      </c>
      <c r="BJ171" s="59">
        <f t="shared" si="146"/>
        <v>203.35476578922339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0.19781172077761333</v>
      </c>
      <c r="BQ171" s="21">
        <f>EXP(-LN(2)/25)*BQ170+(1-EXP(-LN(2)/25))/(LN(2)/25)*Calculateur!BL171*Calculateur!BN171*VLOOKUP('Données projet'!$B$11,Paramètres!$A$1:$I$89,3,0)*0.475*44/12</f>
        <v>0.50090958160550458</v>
      </c>
      <c r="BR171" s="21">
        <f>EXP(-LN(2)/2)*BR170+(1-EXP(-LN(2)/2))/(LN(2)/2)*BL171*BO171*VLOOKUP('Données projet'!$B$11,Paramètres!$A$1:$I$89,3,0)*0.475*44/12</f>
        <v>3.3921715639352675E-20</v>
      </c>
      <c r="BS171" s="22">
        <f t="shared" si="169"/>
        <v>0.69872130238311791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3.4106051316484809E-13</v>
      </c>
      <c r="BZ171" s="13">
        <f>BY171*VLOOKUP('Données projet'!$B$12,Paramètres!$A$1:$I$89,3,0)*VLOOKUP('Données projet'!$B$12,Paramètres!$A$1:$I$89,5,0)</f>
        <v>1.5961632016114892E-13</v>
      </c>
      <c r="CA171" s="13">
        <f t="shared" si="170"/>
        <v>2.2708641912150958E-12</v>
      </c>
      <c r="CB171" s="20">
        <f t="shared" si="171"/>
        <v>4.2330868906469593E-12</v>
      </c>
      <c r="CC171" s="59">
        <f t="shared" si="119"/>
        <v>293.33333333333752</v>
      </c>
      <c r="CD171" s="59">
        <f ca="1">AVERAGE(OFFSET($CC$3,0,0,'Données projet'!$E$12+1,1))-AVERAGE(OFFSET($H$3,0,0,'Données projet'!$E$12+1,1))</f>
        <v>158.58786357608489</v>
      </c>
      <c r="CE171" s="59">
        <f t="shared" si="148"/>
        <v>163.20074068819849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4.1677594708744434E-14</v>
      </c>
      <c r="CV171" s="13">
        <f t="shared" si="173"/>
        <v>6.9326303456159188E-13</v>
      </c>
      <c r="CW171" s="20">
        <f t="shared" si="174"/>
        <v>1.2800215959791691E-12</v>
      </c>
      <c r="CX171" s="59">
        <f t="shared" si="122"/>
        <v>293.33333333333462</v>
      </c>
      <c r="CY171" s="59">
        <f ca="1">AVERAGE(OFFSET($CX$3,0,0,'Données projet'!$E$13+1,1))-AVERAGE(OFFSET($H$3,0,0,'Données projet'!$E$13+1,1))</f>
        <v>178.12968684094687</v>
      </c>
      <c r="CZ171" s="59">
        <f t="shared" si="150"/>
        <v>219.36004077210373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0.16755351141223626</v>
      </c>
      <c r="DH171" s="21">
        <f>EXP(-LN(2)/2)*DH170+(1-EXP(-LN(2)/2))/(LN(2)/2)*DB171*DE171*VLOOKUP('Données projet'!$B$13,Paramètres!$A$1:$I$89,3,0)*0.475*44/12</f>
        <v>1.6800923238209909E-20</v>
      </c>
      <c r="DI171" s="22">
        <f t="shared" si="175"/>
        <v>0.16755351141223626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-8.5265128291212022E-14</v>
      </c>
      <c r="DP171" s="17">
        <f>DO171*VLOOKUP('Données projet'!$B$14,Paramètres!$A$1:$I$89,3,0)*VLOOKUP('Données projet'!$B$14,Paramètres!$A$1:$I$89,5,0)</f>
        <v>-7.7147888077888636E-14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225.28075317732998</v>
      </c>
      <c r="DU171" s="59">
        <f t="shared" si="152"/>
        <v>358.43407531256207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0.14588561400985037</v>
      </c>
      <c r="EB171" s="21">
        <f>EXP(-LN(2)/25)*EB170+(1-EXP(-LN(2)/25))/(LN(2)/25)*Calculateur!DW171*Calculateur!DY171*VLOOKUP('Données projet'!$B$14,Paramètres!$A$1:$I$89,3,0)*0.475*44/12</f>
        <v>0.18027185409698387</v>
      </c>
      <c r="EC171" s="21">
        <f>EXP(-LN(2)/2)*EC170+(1-EXP(-LN(2)/2))/(LN(2)/2)*DW171*DZ171*VLOOKUP('Données projet'!$B$14,Paramètres!$A$1:$I$89,3,0)*0.475*44/12</f>
        <v>7.477642628510697E-21</v>
      </c>
      <c r="ED171" s="22">
        <f t="shared" si="178"/>
        <v>0.32615746810683421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-7.3896444519050419E-13</v>
      </c>
      <c r="EK171" s="17">
        <f>EJ171*VLOOKUP('Données projet'!$B$15,Paramètres!$A$1:$I$89,3,0)*VLOOKUP('Données projet'!$B$15,Paramètres!$A$1:$I$89,5,0)</f>
        <v>-7.4930994742317137E-13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363.98308691765931</v>
      </c>
      <c r="EP171" s="59">
        <f t="shared" si="154"/>
        <v>181.47089407988187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-7.3896444519050419E-13</v>
      </c>
      <c r="FF171" s="17">
        <f>FE171*VLOOKUP('Données projet'!$B$16,Paramètres!$A$1:$I$89,3,0)*VLOOKUP('Données projet'!$B$16,Paramètres!$A$1:$I$89,5,0)</f>
        <v>-7.954213288030586E-13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395.30533160963489</v>
      </c>
      <c r="FK171" s="59">
        <f t="shared" si="156"/>
        <v>196.02102977695085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227.99999999999986</v>
      </c>
      <c r="GA171" s="17">
        <f>FZ171*VLOOKUP('Données projet'!$B$17,Paramètres!$A$1:$I$89,3,0)*VLOOKUP('Données projet'!$B$17,Paramètres!$A$1:$I$89,5,0)</f>
        <v>238.30559999999986</v>
      </c>
      <c r="GB171" s="13">
        <f t="shared" si="185"/>
        <v>58.074821878967043</v>
      </c>
      <c r="GC171" s="20">
        <f t="shared" si="186"/>
        <v>516.19590143920061</v>
      </c>
      <c r="GD171" s="59">
        <f t="shared" si="134"/>
        <v>809.52923477253398</v>
      </c>
      <c r="GE171" s="59">
        <f ca="1">AVERAGE(OFFSET($GD$3,0,0,'Données projet'!$E$17+1,1))-AVERAGE(OFFSET($H$3,0,0,'Données projet'!$E$17+1,1))</f>
        <v>269.41185214595805</v>
      </c>
      <c r="GF171" s="59">
        <f t="shared" si="158"/>
        <v>299.70148160580993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0.41234641817483342</v>
      </c>
      <c r="GM171" s="21">
        <f>EXP(-LN(2)/25)*GM170+(1-EXP(-LN(2)/25))/(LN(2)/25)*Calculateur!GH171*Calculateur!GJ171*VLOOKUP('Données projet'!$B$17,Paramètres!$A$1:$I$89,3,0)*0.475*44/12</f>
        <v>0.35355575291514313</v>
      </c>
      <c r="GN171" s="21">
        <f>EXP(-LN(2)/2)*GN170+(1-EXP(-LN(2)/2))/(LN(2)/2)*GH171*GK171*VLOOKUP('Données projet'!$B$17,Paramètres!$A$1:$I$89,3,0)*0.475*44/12</f>
        <v>3.2371343702618712E-20</v>
      </c>
      <c r="GO171" s="21">
        <f t="shared" si="187"/>
        <v>0.76590217108997649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5.6843418860808015E-14</v>
      </c>
      <c r="GV171" s="17">
        <f>GU171*VLOOKUP('Données projet'!$B$18,Paramètres!$A$1:$I$89,3,0)*VLOOKUP('Données projet'!$B$18,Paramètres!$A$1:$I$89,5,0)</f>
        <v>4.9658410716801891E-14</v>
      </c>
      <c r="GW171" s="13">
        <f t="shared" si="188"/>
        <v>8.0934058173791862E-13</v>
      </c>
      <c r="GX171" s="20">
        <f t="shared" si="189"/>
        <v>1.4960899118586383E-12</v>
      </c>
      <c r="GY171" s="59">
        <f t="shared" si="137"/>
        <v>293.33333333333479</v>
      </c>
      <c r="GZ171" s="59">
        <f ca="1">AVERAGE(OFFSET($GY$3,0,0,'Données projet'!$E$18+1,1))-AVERAGE(OFFSET($H$3,0,0,'Données projet'!$E$18+1,1))</f>
        <v>226.35975611953359</v>
      </c>
      <c r="HA171" s="59">
        <f t="shared" si="160"/>
        <v>271.65876694892461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0.24606572086665873</v>
      </c>
      <c r="HI171" s="21">
        <f>EXP(-LN(2)/2)*HI170+(1-EXP(-LN(2)/2))/(LN(2)/2)*HC171*HF171*VLOOKUP('Données projet'!$B$18,Paramètres!$A$1:$I$89,3,0)*0.475*44/12</f>
        <v>2.0018121305101164E-20</v>
      </c>
      <c r="HJ171" s="22">
        <f t="shared" si="190"/>
        <v>0.24606572086665873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-7.3896444519050419E-13</v>
      </c>
      <c r="O172" s="13">
        <f>N172*VLOOKUP('Données projet'!$B$9,Paramètres!$A$1:$I$89,3,0)*VLOOKUP('Données projet'!$B$9,Paramètres!$A$1:$I$89,5,0)</f>
        <v>-6.6861503000836817E-13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309.07357540707869</v>
      </c>
      <c r="T172" s="59">
        <f t="shared" si="142"/>
        <v>155.9593924683299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227.99999999999986</v>
      </c>
      <c r="AJ172" s="13">
        <f>AI172*VLOOKUP('Données projet'!$B$10,Paramètres!$A$1:$I$89,3,0)*VLOOKUP('Données projet'!$B$10,Paramètres!$A$1:$I$89,5,0)</f>
        <v>199.18079999999992</v>
      </c>
      <c r="AK172" s="13">
        <f t="shared" si="164"/>
        <v>49.564089376413683</v>
      </c>
      <c r="AL172" s="20">
        <f t="shared" si="165"/>
        <v>433.23068233058694</v>
      </c>
      <c r="AM172" s="59">
        <f t="shared" si="113"/>
        <v>726.56401566392026</v>
      </c>
      <c r="AN172" s="59">
        <f ca="1">AVERAGE(OFFSET($AM$3,0,0,'Données projet'!$E$10+1,1))-AVERAGE(OFFSET($H$3,0,0,'Données projet'!$E$10+1,1))</f>
        <v>210.07838338464626</v>
      </c>
      <c r="AO172" s="59">
        <f t="shared" si="144"/>
        <v>241.76003724236273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0.33788942029210056</v>
      </c>
      <c r="AV172" s="21">
        <f>EXP(-LN(2)/25)*AV171+(1-EXP(-LN(2)/25))/(LN(2)/25)*Calculateur!AQ172*Calculateur!AS172*VLOOKUP('Données projet'!$B$10,Paramètres!$A$1:$I$89,3,0)*0.475*44/12</f>
        <v>0.28742856905228975</v>
      </c>
      <c r="AW172" s="21">
        <f>EXP(-LN(2)/2)*AW171+(1-EXP(-LN(2)/2))/(LN(2)/2)*AQ172*AT172*VLOOKUP('Données projet'!$B$10,Paramètres!$A$1:$I$89,3,0)*0.475*44/12</f>
        <v>1.9131937497038394E-20</v>
      </c>
      <c r="AX172" s="21">
        <f t="shared" si="166"/>
        <v>0.62531798934439031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2.2737367544323206E-13</v>
      </c>
      <c r="BE172" s="13">
        <f>BD172*VLOOKUP('Données projet'!$B$11,Paramètres!$A$1:$I$89,3,0)*VLOOKUP('Données projet'!$B$11,Paramètres!$A$1:$I$89,5,0)</f>
        <v>1.2414602679200471E-13</v>
      </c>
      <c r="BF172" s="13">
        <f t="shared" si="167"/>
        <v>1.8186582995804361E-12</v>
      </c>
      <c r="BG172" s="20">
        <f t="shared" si="168"/>
        <v>3.3837175350986671E-12</v>
      </c>
      <c r="BH172" s="59">
        <f t="shared" si="116"/>
        <v>293.33333333333672</v>
      </c>
      <c r="BI172" s="59">
        <f ca="1">AVERAGE(OFFSET($BH$3,0,0,'Données projet'!$E$11+1,1))-AVERAGE(OFFSET($H$3,0,0,'Données projet'!$E$11+1,1))</f>
        <v>168.72306536277267</v>
      </c>
      <c r="BJ172" s="59">
        <f t="shared" si="146"/>
        <v>203.35476578922339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0.1939327535864005</v>
      </c>
      <c r="BQ172" s="21">
        <f>EXP(-LN(2)/25)*BQ171+(1-EXP(-LN(2)/25))/(LN(2)/25)*Calculateur!BL172*Calculateur!BN172*VLOOKUP('Données projet'!$B$11,Paramètres!$A$1:$I$89,3,0)*0.475*44/12</f>
        <v>0.48721218275481198</v>
      </c>
      <c r="BR172" s="21">
        <f>EXP(-LN(2)/2)*BR171+(1-EXP(-LN(2)/2))/(LN(2)/2)*BL172*BO172*VLOOKUP('Données projet'!$B$11,Paramètres!$A$1:$I$89,3,0)*0.475*44/12</f>
        <v>2.3986275158068039E-20</v>
      </c>
      <c r="BS172" s="22">
        <f t="shared" si="169"/>
        <v>0.68114493634121254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3.4106051316484809E-13</v>
      </c>
      <c r="BZ172" s="13">
        <f>BY172*VLOOKUP('Données projet'!$B$12,Paramètres!$A$1:$I$89,3,0)*VLOOKUP('Données projet'!$B$12,Paramètres!$A$1:$I$89,5,0)</f>
        <v>1.5961632016114892E-13</v>
      </c>
      <c r="CA172" s="13">
        <f t="shared" si="170"/>
        <v>2.2708641912150958E-12</v>
      </c>
      <c r="CB172" s="20">
        <f t="shared" si="171"/>
        <v>4.2330868906469593E-12</v>
      </c>
      <c r="CC172" s="59">
        <f t="shared" si="119"/>
        <v>293.33333333333752</v>
      </c>
      <c r="CD172" s="59">
        <f ca="1">AVERAGE(OFFSET($CC$3,0,0,'Données projet'!$E$12+1,1))-AVERAGE(OFFSET($H$3,0,0,'Données projet'!$E$12+1,1))</f>
        <v>158.58786357608489</v>
      </c>
      <c r="CE172" s="59">
        <f t="shared" si="148"/>
        <v>163.20074068819849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4.1677594708744434E-14</v>
      </c>
      <c r="CV172" s="13">
        <f t="shared" si="173"/>
        <v>6.9326303456159188E-13</v>
      </c>
      <c r="CW172" s="20">
        <f t="shared" si="174"/>
        <v>1.2800215959791691E-12</v>
      </c>
      <c r="CX172" s="59">
        <f t="shared" si="122"/>
        <v>293.33333333333462</v>
      </c>
      <c r="CY172" s="59">
        <f ca="1">AVERAGE(OFFSET($CX$3,0,0,'Données projet'!$E$13+1,1))-AVERAGE(OFFSET($H$3,0,0,'Données projet'!$E$13+1,1))</f>
        <v>178.12968684094687</v>
      </c>
      <c r="CZ172" s="59">
        <f t="shared" si="150"/>
        <v>219.36004077210373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0.16297175183141244</v>
      </c>
      <c r="DH172" s="21">
        <f>EXP(-LN(2)/2)*DH171+(1-EXP(-LN(2)/2))/(LN(2)/2)*DB172*DE172*VLOOKUP('Données projet'!$B$13,Paramètres!$A$1:$I$89,3,0)*0.475*44/12</f>
        <v>1.1880046751932876E-20</v>
      </c>
      <c r="DI172" s="22">
        <f t="shared" si="175"/>
        <v>0.16297175183141244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-8.5265128291212022E-14</v>
      </c>
      <c r="DP172" s="17">
        <f>DO172*VLOOKUP('Données projet'!$B$14,Paramètres!$A$1:$I$89,3,0)*VLOOKUP('Données projet'!$B$14,Paramètres!$A$1:$I$89,5,0)</f>
        <v>-7.7147888077888636E-14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225.28075317732998</v>
      </c>
      <c r="DU172" s="59">
        <f t="shared" si="152"/>
        <v>358.43407531256207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0.14302488610055555</v>
      </c>
      <c r="EB172" s="21">
        <f>EXP(-LN(2)/25)*EB171+(1-EXP(-LN(2)/25))/(LN(2)/25)*Calculateur!DW172*Calculateur!DY172*VLOOKUP('Données projet'!$B$14,Paramètres!$A$1:$I$89,3,0)*0.475*44/12</f>
        <v>0.17534231076661705</v>
      </c>
      <c r="EC172" s="21">
        <f>EXP(-LN(2)/2)*EC171+(1-EXP(-LN(2)/2))/(LN(2)/2)*DW172*DZ172*VLOOKUP('Données projet'!$B$14,Paramètres!$A$1:$I$89,3,0)*0.475*44/12</f>
        <v>5.2874918099095135E-21</v>
      </c>
      <c r="ED172" s="22">
        <f t="shared" si="178"/>
        <v>0.31836719686717263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-7.3896444519050419E-13</v>
      </c>
      <c r="EK172" s="17">
        <f>EJ172*VLOOKUP('Données projet'!$B$15,Paramètres!$A$1:$I$89,3,0)*VLOOKUP('Données projet'!$B$15,Paramètres!$A$1:$I$89,5,0)</f>
        <v>-7.4930994742317137E-13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363.98308691765931</v>
      </c>
      <c r="EP172" s="59">
        <f t="shared" si="154"/>
        <v>181.47089407988187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-7.3896444519050419E-13</v>
      </c>
      <c r="FF172" s="17">
        <f>FE172*VLOOKUP('Données projet'!$B$16,Paramètres!$A$1:$I$89,3,0)*VLOOKUP('Données projet'!$B$16,Paramètres!$A$1:$I$89,5,0)</f>
        <v>-7.954213288030586E-13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395.30533160963489</v>
      </c>
      <c r="FK172" s="59">
        <f t="shared" si="156"/>
        <v>196.02102977695085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227.99999999999986</v>
      </c>
      <c r="GA172" s="17">
        <f>FZ172*VLOOKUP('Données projet'!$B$17,Paramètres!$A$1:$I$89,3,0)*VLOOKUP('Données projet'!$B$17,Paramètres!$A$1:$I$89,5,0)</f>
        <v>238.30559999999986</v>
      </c>
      <c r="GB172" s="13">
        <f t="shared" si="185"/>
        <v>58.074821878967043</v>
      </c>
      <c r="GC172" s="20">
        <f t="shared" si="186"/>
        <v>516.19590143920061</v>
      </c>
      <c r="GD172" s="59">
        <f t="shared" si="134"/>
        <v>809.52923477253398</v>
      </c>
      <c r="GE172" s="59">
        <f ca="1">AVERAGE(OFFSET($GD$3,0,0,'Données projet'!$E$17+1,1))-AVERAGE(OFFSET($H$3,0,0,'Données projet'!$E$17+1,1))</f>
        <v>269.41185214595805</v>
      </c>
      <c r="GF172" s="59">
        <f t="shared" si="158"/>
        <v>299.70148160580993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0.4042605564209058</v>
      </c>
      <c r="GM172" s="21">
        <f>EXP(-LN(2)/25)*GM171+(1-EXP(-LN(2)/25))/(LN(2)/25)*Calculateur!GH172*Calculateur!GJ172*VLOOKUP('Données projet'!$B$17,Paramètres!$A$1:$I$89,3,0)*0.475*44/12</f>
        <v>0.34388775225898954</v>
      </c>
      <c r="GN172" s="21">
        <f>EXP(-LN(2)/2)*GN171+(1-EXP(-LN(2)/2))/(LN(2)/2)*GH172*GK172*VLOOKUP('Données projet'!$B$17,Paramètres!$A$1:$I$89,3,0)*0.475*44/12</f>
        <v>2.2889996648242133E-20</v>
      </c>
      <c r="GO172" s="21">
        <f t="shared" si="187"/>
        <v>0.74814830867989535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5.6843418860808015E-14</v>
      </c>
      <c r="GV172" s="17">
        <f>GU172*VLOOKUP('Données projet'!$B$18,Paramètres!$A$1:$I$89,3,0)*VLOOKUP('Données projet'!$B$18,Paramètres!$A$1:$I$89,5,0)</f>
        <v>4.9658410716801891E-14</v>
      </c>
      <c r="GW172" s="13">
        <f t="shared" si="188"/>
        <v>8.0934058173791862E-13</v>
      </c>
      <c r="GX172" s="20">
        <f t="shared" si="189"/>
        <v>1.4960899118586383E-12</v>
      </c>
      <c r="GY172" s="59">
        <f t="shared" si="137"/>
        <v>293.33333333333479</v>
      </c>
      <c r="GZ172" s="59">
        <f ca="1">AVERAGE(OFFSET($GY$3,0,0,'Données projet'!$E$18+1,1))-AVERAGE(OFFSET($H$3,0,0,'Données projet'!$E$18+1,1))</f>
        <v>226.35975611953359</v>
      </c>
      <c r="HA172" s="59">
        <f t="shared" si="160"/>
        <v>271.65876694892461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0.23933704078952608</v>
      </c>
      <c r="HI172" s="21">
        <f>EXP(-LN(2)/2)*HI171+(1-EXP(-LN(2)/2))/(LN(2)/2)*HC172*HF172*VLOOKUP('Données projet'!$B$18,Paramètres!$A$1:$I$89,3,0)*0.475*44/12</f>
        <v>1.4154949321451933E-20</v>
      </c>
      <c r="HJ172" s="22">
        <f t="shared" si="190"/>
        <v>0.23933704078952608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-7.3896444519050419E-13</v>
      </c>
      <c r="O173" s="13">
        <f>N173*VLOOKUP('Données projet'!$B$9,Paramètres!$A$1:$I$89,3,0)*VLOOKUP('Données projet'!$B$9,Paramètres!$A$1:$I$89,5,0)</f>
        <v>-6.6861503000836817E-13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309.07357540707869</v>
      </c>
      <c r="T173" s="59">
        <f t="shared" si="142"/>
        <v>155.9593924683299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227.99999999999986</v>
      </c>
      <c r="AJ173" s="13">
        <f>AI173*VLOOKUP('Données projet'!$B$10,Paramètres!$A$1:$I$89,3,0)*VLOOKUP('Données projet'!$B$10,Paramètres!$A$1:$I$89,5,0)</f>
        <v>199.18079999999992</v>
      </c>
      <c r="AK173" s="13">
        <f t="shared" si="164"/>
        <v>49.564089376413683</v>
      </c>
      <c r="AL173" s="20">
        <f t="shared" si="165"/>
        <v>433.23068233058694</v>
      </c>
      <c r="AM173" s="59">
        <f t="shared" si="113"/>
        <v>726.56401566392026</v>
      </c>
      <c r="AN173" s="59">
        <f ca="1">AVERAGE(OFFSET($AM$3,0,0,'Données projet'!$E$10+1,1))-AVERAGE(OFFSET($H$3,0,0,'Données projet'!$E$10+1,1))</f>
        <v>210.07838338464626</v>
      </c>
      <c r="AO173" s="59">
        <f t="shared" si="144"/>
        <v>241.76003724236273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0.33126361485236894</v>
      </c>
      <c r="AV173" s="21">
        <f>EXP(-LN(2)/25)*AV172+(1-EXP(-LN(2)/25))/(LN(2)/25)*Calculateur!AQ173*Calculateur!AS173*VLOOKUP('Données projet'!$B$10,Paramètres!$A$1:$I$89,3,0)*0.475*44/12</f>
        <v>0.27956881971634334</v>
      </c>
      <c r="AW173" s="21">
        <f>EXP(-LN(2)/2)*AW172+(1-EXP(-LN(2)/2))/(LN(2)/2)*AQ173*AT173*VLOOKUP('Données projet'!$B$10,Paramètres!$A$1:$I$89,3,0)*0.475*44/12</f>
        <v>1.3528322741393031E-20</v>
      </c>
      <c r="AX173" s="21">
        <f t="shared" si="166"/>
        <v>0.61083243456871228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2.2737367544323206E-13</v>
      </c>
      <c r="BE173" s="13">
        <f>BD173*VLOOKUP('Données projet'!$B$11,Paramètres!$A$1:$I$89,3,0)*VLOOKUP('Données projet'!$B$11,Paramètres!$A$1:$I$89,5,0)</f>
        <v>1.2414602679200471E-13</v>
      </c>
      <c r="BF173" s="13">
        <f t="shared" si="167"/>
        <v>1.8186582995804361E-12</v>
      </c>
      <c r="BG173" s="20">
        <f t="shared" si="168"/>
        <v>3.3837175350986671E-12</v>
      </c>
      <c r="BH173" s="59">
        <f t="shared" si="116"/>
        <v>293.33333333333672</v>
      </c>
      <c r="BI173" s="59">
        <f ca="1">AVERAGE(OFFSET($BH$3,0,0,'Données projet'!$E$11+1,1))-AVERAGE(OFFSET($H$3,0,0,'Données projet'!$E$11+1,1))</f>
        <v>168.72306536277267</v>
      </c>
      <c r="BJ173" s="59">
        <f t="shared" si="146"/>
        <v>203.35476578922339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0.19012985057587098</v>
      </c>
      <c r="BQ173" s="21">
        <f>EXP(-LN(2)/25)*BQ172+(1-EXP(-LN(2)/25))/(LN(2)/25)*Calculateur!BL173*Calculateur!BN173*VLOOKUP('Données projet'!$B$11,Paramètres!$A$1:$I$89,3,0)*0.475*44/12</f>
        <v>0.47388933999600652</v>
      </c>
      <c r="BR173" s="21">
        <f>EXP(-LN(2)/2)*BR172+(1-EXP(-LN(2)/2))/(LN(2)/2)*BL173*BO173*VLOOKUP('Données projet'!$B$11,Paramètres!$A$1:$I$89,3,0)*0.475*44/12</f>
        <v>1.6960857819676337E-20</v>
      </c>
      <c r="BS173" s="22">
        <f t="shared" si="169"/>
        <v>0.66401919057187753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3.4106051316484809E-13</v>
      </c>
      <c r="BZ173" s="13">
        <f>BY173*VLOOKUP('Données projet'!$B$12,Paramètres!$A$1:$I$89,3,0)*VLOOKUP('Données projet'!$B$12,Paramètres!$A$1:$I$89,5,0)</f>
        <v>1.5961632016114892E-13</v>
      </c>
      <c r="CA173" s="13">
        <f t="shared" si="170"/>
        <v>2.2708641912150958E-12</v>
      </c>
      <c r="CB173" s="20">
        <f t="shared" si="171"/>
        <v>4.2330868906469593E-12</v>
      </c>
      <c r="CC173" s="59">
        <f t="shared" si="119"/>
        <v>293.33333333333752</v>
      </c>
      <c r="CD173" s="59">
        <f ca="1">AVERAGE(OFFSET($CC$3,0,0,'Données projet'!$E$12+1,1))-AVERAGE(OFFSET($H$3,0,0,'Données projet'!$E$12+1,1))</f>
        <v>158.58786357608489</v>
      </c>
      <c r="CE173" s="59">
        <f t="shared" si="148"/>
        <v>163.20074068819849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4.1677594708744434E-14</v>
      </c>
      <c r="CV173" s="13">
        <f t="shared" si="173"/>
        <v>6.9326303456159188E-13</v>
      </c>
      <c r="CW173" s="20">
        <f t="shared" si="174"/>
        <v>1.2800215959791691E-12</v>
      </c>
      <c r="CX173" s="59">
        <f t="shared" si="122"/>
        <v>293.33333333333462</v>
      </c>
      <c r="CY173" s="59">
        <f ca="1">AVERAGE(OFFSET($CX$3,0,0,'Données projet'!$E$13+1,1))-AVERAGE(OFFSET($H$3,0,0,'Données projet'!$E$13+1,1))</f>
        <v>178.12968684094687</v>
      </c>
      <c r="CZ173" s="59">
        <f t="shared" si="150"/>
        <v>219.36004077210373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0.1585152807072705</v>
      </c>
      <c r="DH173" s="21">
        <f>EXP(-LN(2)/2)*DH172+(1-EXP(-LN(2)/2))/(LN(2)/2)*DB173*DE173*VLOOKUP('Données projet'!$B$13,Paramètres!$A$1:$I$89,3,0)*0.475*44/12</f>
        <v>8.4004616191049545E-21</v>
      </c>
      <c r="DI173" s="22">
        <f t="shared" si="175"/>
        <v>0.1585152807072705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-8.5265128291212022E-14</v>
      </c>
      <c r="DP173" s="17">
        <f>DO173*VLOOKUP('Données projet'!$B$14,Paramètres!$A$1:$I$89,3,0)*VLOOKUP('Données projet'!$B$14,Paramètres!$A$1:$I$89,5,0)</f>
        <v>-7.7147888077888636E-14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225.28075317732998</v>
      </c>
      <c r="DU173" s="59">
        <f t="shared" si="152"/>
        <v>358.43407531256207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0.1402202553206903</v>
      </c>
      <c r="EB173" s="21">
        <f>EXP(-LN(2)/25)*EB172+(1-EXP(-LN(2)/25))/(LN(2)/25)*Calculateur!DW173*Calculateur!DY173*VLOOKUP('Données projet'!$B$14,Paramètres!$A$1:$I$89,3,0)*0.475*44/12</f>
        <v>0.17054756605785254</v>
      </c>
      <c r="EC173" s="21">
        <f>EXP(-LN(2)/2)*EC172+(1-EXP(-LN(2)/2))/(LN(2)/2)*DW173*DZ173*VLOOKUP('Données projet'!$B$14,Paramètres!$A$1:$I$89,3,0)*0.475*44/12</f>
        <v>3.7388213142553485E-21</v>
      </c>
      <c r="ED173" s="22">
        <f t="shared" si="178"/>
        <v>0.31076782137854286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-7.3896444519050419E-13</v>
      </c>
      <c r="EK173" s="17">
        <f>EJ173*VLOOKUP('Données projet'!$B$15,Paramètres!$A$1:$I$89,3,0)*VLOOKUP('Données projet'!$B$15,Paramètres!$A$1:$I$89,5,0)</f>
        <v>-7.4930994742317137E-13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363.98308691765931</v>
      </c>
      <c r="EP173" s="59">
        <f t="shared" si="154"/>
        <v>181.47089407988187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-7.3896444519050419E-13</v>
      </c>
      <c r="FF173" s="17">
        <f>FE173*VLOOKUP('Données projet'!$B$16,Paramètres!$A$1:$I$89,3,0)*VLOOKUP('Données projet'!$B$16,Paramètres!$A$1:$I$89,5,0)</f>
        <v>-7.954213288030586E-13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395.30533160963489</v>
      </c>
      <c r="FK173" s="59">
        <f t="shared" si="156"/>
        <v>196.02102977695085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227.99999999999986</v>
      </c>
      <c r="GA173" s="17">
        <f>FZ173*VLOOKUP('Données projet'!$B$17,Paramètres!$A$1:$I$89,3,0)*VLOOKUP('Données projet'!$B$17,Paramètres!$A$1:$I$89,5,0)</f>
        <v>238.30559999999986</v>
      </c>
      <c r="GB173" s="13">
        <f t="shared" si="185"/>
        <v>58.074821878967043</v>
      </c>
      <c r="GC173" s="20">
        <f t="shared" si="186"/>
        <v>516.19590143920061</v>
      </c>
      <c r="GD173" s="59">
        <f t="shared" si="134"/>
        <v>809.52923477253398</v>
      </c>
      <c r="GE173" s="59">
        <f ca="1">AVERAGE(OFFSET($GD$3,0,0,'Données projet'!$E$17+1,1))-AVERAGE(OFFSET($H$3,0,0,'Données projet'!$E$17+1,1))</f>
        <v>269.41185214595805</v>
      </c>
      <c r="GF173" s="59">
        <f t="shared" si="158"/>
        <v>299.70148160580993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0.39633325348408405</v>
      </c>
      <c r="GM173" s="21">
        <f>EXP(-LN(2)/25)*GM172+(1-EXP(-LN(2)/25))/(LN(2)/25)*Calculateur!GH173*Calculateur!GJ173*VLOOKUP('Données projet'!$B$17,Paramètres!$A$1:$I$89,3,0)*0.475*44/12</f>
        <v>0.33448412358919655</v>
      </c>
      <c r="GN173" s="21">
        <f>EXP(-LN(2)/2)*GN172+(1-EXP(-LN(2)/2))/(LN(2)/2)*GH173*GK173*VLOOKUP('Données projet'!$B$17,Paramètres!$A$1:$I$89,3,0)*0.475*44/12</f>
        <v>1.6185671851309356E-20</v>
      </c>
      <c r="GO173" s="21">
        <f t="shared" si="187"/>
        <v>0.73081737707328065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5.6843418860808015E-14</v>
      </c>
      <c r="GV173" s="17">
        <f>GU173*VLOOKUP('Données projet'!$B$18,Paramètres!$A$1:$I$89,3,0)*VLOOKUP('Données projet'!$B$18,Paramètres!$A$1:$I$89,5,0)</f>
        <v>4.9658410716801891E-14</v>
      </c>
      <c r="GW173" s="13">
        <f t="shared" si="188"/>
        <v>8.0934058173791862E-13</v>
      </c>
      <c r="GX173" s="20">
        <f t="shared" si="189"/>
        <v>1.4960899118586383E-12</v>
      </c>
      <c r="GY173" s="59">
        <f t="shared" si="137"/>
        <v>293.33333333333479</v>
      </c>
      <c r="GZ173" s="59">
        <f ca="1">AVERAGE(OFFSET($GY$3,0,0,'Données projet'!$E$18+1,1))-AVERAGE(OFFSET($H$3,0,0,'Données projet'!$E$18+1,1))</f>
        <v>226.35975611953359</v>
      </c>
      <c r="HA173" s="59">
        <f t="shared" si="160"/>
        <v>271.65876694892461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0.23279235682294852</v>
      </c>
      <c r="HI173" s="21">
        <f>EXP(-LN(2)/2)*HI172+(1-EXP(-LN(2)/2))/(LN(2)/2)*HC173*HF173*VLOOKUP('Données projet'!$B$18,Paramètres!$A$1:$I$89,3,0)*0.475*44/12</f>
        <v>1.0009060652550582E-20</v>
      </c>
      <c r="HJ173" s="22">
        <f t="shared" si="190"/>
        <v>0.23279235682294852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-7.3896444519050419E-13</v>
      </c>
      <c r="O174" s="13">
        <f>N174*VLOOKUP('Données projet'!$B$9,Paramètres!$A$1:$I$89,3,0)*VLOOKUP('Données projet'!$B$9,Paramètres!$A$1:$I$89,5,0)</f>
        <v>-6.6861503000836817E-13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309.07357540707869</v>
      </c>
      <c r="T174" s="59">
        <f t="shared" si="142"/>
        <v>155.9593924683299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227.99999999999986</v>
      </c>
      <c r="AJ174" s="13">
        <f>AI174*VLOOKUP('Données projet'!$B$10,Paramètres!$A$1:$I$89,3,0)*VLOOKUP('Données projet'!$B$10,Paramètres!$A$1:$I$89,5,0)</f>
        <v>199.18079999999992</v>
      </c>
      <c r="AK174" s="13">
        <f t="shared" si="164"/>
        <v>49.564089376413683</v>
      </c>
      <c r="AL174" s="20">
        <f t="shared" si="165"/>
        <v>433.23068233058694</v>
      </c>
      <c r="AM174" s="59">
        <f t="shared" si="113"/>
        <v>726.56401566392026</v>
      </c>
      <c r="AN174" s="59">
        <f ca="1">AVERAGE(OFFSET($AM$3,0,0,'Données projet'!$E$10+1,1))-AVERAGE(OFFSET($H$3,0,0,'Données projet'!$E$10+1,1))</f>
        <v>210.07838338464626</v>
      </c>
      <c r="AO174" s="59">
        <f t="shared" si="144"/>
        <v>241.76003724236273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0.32476773741596821</v>
      </c>
      <c r="AV174" s="21">
        <f>EXP(-LN(2)/25)*AV173+(1-EXP(-LN(2)/25))/(LN(2)/25)*Calculateur!AQ174*Calculateur!AS174*VLOOKUP('Données projet'!$B$10,Paramètres!$A$1:$I$89,3,0)*0.475*44/12</f>
        <v>0.27192399563931469</v>
      </c>
      <c r="AW174" s="21">
        <f>EXP(-LN(2)/2)*AW173+(1-EXP(-LN(2)/2))/(LN(2)/2)*AQ174*AT174*VLOOKUP('Données projet'!$B$10,Paramètres!$A$1:$I$89,3,0)*0.475*44/12</f>
        <v>9.5659687485191984E-21</v>
      </c>
      <c r="AX174" s="21">
        <f t="shared" si="166"/>
        <v>0.59669173305528289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2.2737367544323206E-13</v>
      </c>
      <c r="BE174" s="13">
        <f>BD174*VLOOKUP('Données projet'!$B$11,Paramètres!$A$1:$I$89,3,0)*VLOOKUP('Données projet'!$B$11,Paramètres!$A$1:$I$89,5,0)</f>
        <v>1.2414602679200471E-13</v>
      </c>
      <c r="BF174" s="13">
        <f t="shared" si="167"/>
        <v>1.8186582995804361E-12</v>
      </c>
      <c r="BG174" s="20">
        <f t="shared" si="168"/>
        <v>3.3837175350986671E-12</v>
      </c>
      <c r="BH174" s="59">
        <f t="shared" si="116"/>
        <v>293.33333333333672</v>
      </c>
      <c r="BI174" s="59">
        <f ca="1">AVERAGE(OFFSET($BH$3,0,0,'Données projet'!$E$11+1,1))-AVERAGE(OFFSET($H$3,0,0,'Données projet'!$E$11+1,1))</f>
        <v>168.72306536277267</v>
      </c>
      <c r="BJ174" s="59">
        <f t="shared" si="146"/>
        <v>203.35476578922339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0.18640152017383613</v>
      </c>
      <c r="BQ174" s="21">
        <f>EXP(-LN(2)/25)*BQ173+(1-EXP(-LN(2)/25))/(LN(2)/25)*Calculateur!BL174*Calculateur!BN174*VLOOKUP('Données projet'!$B$11,Paramètres!$A$1:$I$89,3,0)*0.475*44/12</f>
        <v>0.46093081107305844</v>
      </c>
      <c r="BR174" s="21">
        <f>EXP(-LN(2)/2)*BR173+(1-EXP(-LN(2)/2))/(LN(2)/2)*BL174*BO174*VLOOKUP('Données projet'!$B$11,Paramètres!$A$1:$I$89,3,0)*0.475*44/12</f>
        <v>1.199313757903402E-20</v>
      </c>
      <c r="BS174" s="22">
        <f t="shared" si="169"/>
        <v>0.6473323312468946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3.4106051316484809E-13</v>
      </c>
      <c r="BZ174" s="13">
        <f>BY174*VLOOKUP('Données projet'!$B$12,Paramètres!$A$1:$I$89,3,0)*VLOOKUP('Données projet'!$B$12,Paramètres!$A$1:$I$89,5,0)</f>
        <v>1.5961632016114892E-13</v>
      </c>
      <c r="CA174" s="13">
        <f t="shared" si="170"/>
        <v>2.2708641912150958E-12</v>
      </c>
      <c r="CB174" s="20">
        <f t="shared" si="171"/>
        <v>4.2330868906469593E-12</v>
      </c>
      <c r="CC174" s="59">
        <f t="shared" si="119"/>
        <v>293.33333333333752</v>
      </c>
      <c r="CD174" s="59">
        <f ca="1">AVERAGE(OFFSET($CC$3,0,0,'Données projet'!$E$12+1,1))-AVERAGE(OFFSET($H$3,0,0,'Données projet'!$E$12+1,1))</f>
        <v>158.58786357608489</v>
      </c>
      <c r="CE174" s="59">
        <f t="shared" si="148"/>
        <v>163.20074068819849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4.1677594708744434E-14</v>
      </c>
      <c r="CV174" s="13">
        <f t="shared" si="173"/>
        <v>6.9326303456159188E-13</v>
      </c>
      <c r="CW174" s="20">
        <f t="shared" si="174"/>
        <v>1.2800215959791691E-12</v>
      </c>
      <c r="CX174" s="59">
        <f t="shared" si="122"/>
        <v>293.33333333333462</v>
      </c>
      <c r="CY174" s="59">
        <f ca="1">AVERAGE(OFFSET($CX$3,0,0,'Données projet'!$E$13+1,1))-AVERAGE(OFFSET($H$3,0,0,'Données projet'!$E$13+1,1))</f>
        <v>178.12968684094687</v>
      </c>
      <c r="CZ174" s="59">
        <f t="shared" si="150"/>
        <v>219.36004077210373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0.15418067202037386</v>
      </c>
      <c r="DH174" s="21">
        <f>EXP(-LN(2)/2)*DH173+(1-EXP(-LN(2)/2))/(LN(2)/2)*DB174*DE174*VLOOKUP('Données projet'!$B$13,Paramètres!$A$1:$I$89,3,0)*0.475*44/12</f>
        <v>5.9400233759664378E-21</v>
      </c>
      <c r="DI174" s="22">
        <f t="shared" si="175"/>
        <v>0.15418067202037386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-8.5265128291212022E-14</v>
      </c>
      <c r="DP174" s="17">
        <f>DO174*VLOOKUP('Données projet'!$B$14,Paramètres!$A$1:$I$89,3,0)*VLOOKUP('Données projet'!$B$14,Paramètres!$A$1:$I$89,5,0)</f>
        <v>-7.7147888077888636E-14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225.28075317732998</v>
      </c>
      <c r="DU174" s="59">
        <f t="shared" si="152"/>
        <v>358.43407531256207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0.13747062163976231</v>
      </c>
      <c r="EB174" s="21">
        <f>EXP(-LN(2)/25)*EB173+(1-EXP(-LN(2)/25))/(LN(2)/25)*Calculateur!DW174*Calculateur!DY174*VLOOKUP('Données projet'!$B$14,Paramètres!$A$1:$I$89,3,0)*0.475*44/12</f>
        <v>0.16588393389529385</v>
      </c>
      <c r="EC174" s="21">
        <f>EXP(-LN(2)/2)*EC173+(1-EXP(-LN(2)/2))/(LN(2)/2)*DW174*DZ174*VLOOKUP('Données projet'!$B$14,Paramètres!$A$1:$I$89,3,0)*0.475*44/12</f>
        <v>2.6437459049547567E-21</v>
      </c>
      <c r="ED174" s="22">
        <f t="shared" si="178"/>
        <v>0.30335455553505619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-7.3896444519050419E-13</v>
      </c>
      <c r="EK174" s="17">
        <f>EJ174*VLOOKUP('Données projet'!$B$15,Paramètres!$A$1:$I$89,3,0)*VLOOKUP('Données projet'!$B$15,Paramètres!$A$1:$I$89,5,0)</f>
        <v>-7.4930994742317137E-13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363.98308691765931</v>
      </c>
      <c r="EP174" s="59">
        <f t="shared" si="154"/>
        <v>181.47089407988187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-7.3896444519050419E-13</v>
      </c>
      <c r="FF174" s="17">
        <f>FE174*VLOOKUP('Données projet'!$B$16,Paramètres!$A$1:$I$89,3,0)*VLOOKUP('Données projet'!$B$16,Paramètres!$A$1:$I$89,5,0)</f>
        <v>-7.954213288030586E-13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395.30533160963489</v>
      </c>
      <c r="FK174" s="59">
        <f t="shared" si="156"/>
        <v>196.02102977695085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227.99999999999986</v>
      </c>
      <c r="GA174" s="17">
        <f>FZ174*VLOOKUP('Données projet'!$B$17,Paramètres!$A$1:$I$89,3,0)*VLOOKUP('Données projet'!$B$17,Paramètres!$A$1:$I$89,5,0)</f>
        <v>238.30559999999986</v>
      </c>
      <c r="GB174" s="13">
        <f t="shared" si="185"/>
        <v>58.074821878967043</v>
      </c>
      <c r="GC174" s="20">
        <f t="shared" si="186"/>
        <v>516.19590143920061</v>
      </c>
      <c r="GD174" s="59">
        <f t="shared" si="134"/>
        <v>809.52923477253398</v>
      </c>
      <c r="GE174" s="59">
        <f ca="1">AVERAGE(OFFSET($GD$3,0,0,'Données projet'!$E$17+1,1))-AVERAGE(OFFSET($H$3,0,0,'Données projet'!$E$17+1,1))</f>
        <v>269.41185214595805</v>
      </c>
      <c r="GF174" s="59">
        <f t="shared" si="158"/>
        <v>299.70148160580993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0.38856140012267598</v>
      </c>
      <c r="GM174" s="21">
        <f>EXP(-LN(2)/25)*GM173+(1-EXP(-LN(2)/25))/(LN(2)/25)*Calculateur!GH174*Calculateur!GJ174*VLOOKUP('Données projet'!$B$17,Paramètres!$A$1:$I$89,3,0)*0.475*44/12</f>
        <v>0.32533763763989437</v>
      </c>
      <c r="GN174" s="21">
        <f>EXP(-LN(2)/2)*GN173+(1-EXP(-LN(2)/2))/(LN(2)/2)*GH174*GK174*VLOOKUP('Données projet'!$B$17,Paramètres!$A$1:$I$89,3,0)*0.475*44/12</f>
        <v>1.1444998324121066E-20</v>
      </c>
      <c r="GO174" s="21">
        <f t="shared" si="187"/>
        <v>0.71389903776257035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5.6843418860808015E-14</v>
      </c>
      <c r="GV174" s="17">
        <f>GU174*VLOOKUP('Données projet'!$B$18,Paramètres!$A$1:$I$89,3,0)*VLOOKUP('Données projet'!$B$18,Paramètres!$A$1:$I$89,5,0)</f>
        <v>4.9658410716801891E-14</v>
      </c>
      <c r="GW174" s="13">
        <f t="shared" si="188"/>
        <v>8.0934058173791862E-13</v>
      </c>
      <c r="GX174" s="20">
        <f t="shared" si="189"/>
        <v>1.4960899118586383E-12</v>
      </c>
      <c r="GY174" s="59">
        <f t="shared" si="137"/>
        <v>293.33333333333479</v>
      </c>
      <c r="GZ174" s="59">
        <f ca="1">AVERAGE(OFFSET($GY$3,0,0,'Données projet'!$E$18+1,1))-AVERAGE(OFFSET($H$3,0,0,'Données projet'!$E$18+1,1))</f>
        <v>226.35975611953359</v>
      </c>
      <c r="HA174" s="59">
        <f t="shared" si="160"/>
        <v>271.65876694892461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0.22642663758360701</v>
      </c>
      <c r="HI174" s="21">
        <f>EXP(-LN(2)/2)*HI173+(1-EXP(-LN(2)/2))/(LN(2)/2)*HC174*HF174*VLOOKUP('Données projet'!$B$18,Paramètres!$A$1:$I$89,3,0)*0.475*44/12</f>
        <v>7.0774746607259666E-21</v>
      </c>
      <c r="HJ174" s="22">
        <f t="shared" si="190"/>
        <v>0.22642663758360701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-7.3896444519050419E-13</v>
      </c>
      <c r="O175" s="13">
        <f>N175*VLOOKUP('Données projet'!$B$9,Paramètres!$A$1:$I$89,3,0)*VLOOKUP('Données projet'!$B$9,Paramètres!$A$1:$I$89,5,0)</f>
        <v>-6.6861503000836817E-13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309.07357540707869</v>
      </c>
      <c r="T175" s="59">
        <f t="shared" si="142"/>
        <v>155.9593924683299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227.99999999999986</v>
      </c>
      <c r="AJ175" s="13">
        <f>AI175*VLOOKUP('Données projet'!$B$10,Paramètres!$A$1:$I$89,3,0)*VLOOKUP('Données projet'!$B$10,Paramètres!$A$1:$I$89,5,0)</f>
        <v>199.18079999999992</v>
      </c>
      <c r="AK175" s="13">
        <f t="shared" si="164"/>
        <v>49.564089376413683</v>
      </c>
      <c r="AL175" s="20">
        <f t="shared" si="165"/>
        <v>433.23068233058694</v>
      </c>
      <c r="AM175" s="59">
        <f t="shared" si="113"/>
        <v>726.56401566392026</v>
      </c>
      <c r="AN175" s="59">
        <f ca="1">AVERAGE(OFFSET($AM$3,0,0,'Données projet'!$E$10+1,1))-AVERAGE(OFFSET($H$3,0,0,'Données projet'!$E$10+1,1))</f>
        <v>210.07838338464626</v>
      </c>
      <c r="AO175" s="59">
        <f t="shared" si="144"/>
        <v>241.76003724236273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0.31839924017400123</v>
      </c>
      <c r="AV175" s="21">
        <f>EXP(-LN(2)/25)*AV174+(1-EXP(-LN(2)/25))/(LN(2)/25)*Calculateur!AQ175*Calculateur!AS175*VLOOKUP('Données projet'!$B$10,Paramètres!$A$1:$I$89,3,0)*0.475*44/12</f>
        <v>0.26448821967869618</v>
      </c>
      <c r="AW175" s="21">
        <f>EXP(-LN(2)/2)*AW174+(1-EXP(-LN(2)/2))/(LN(2)/2)*AQ175*AT175*VLOOKUP('Données projet'!$B$10,Paramètres!$A$1:$I$89,3,0)*0.475*44/12</f>
        <v>6.7641613706965172E-21</v>
      </c>
      <c r="AX175" s="21">
        <f t="shared" si="166"/>
        <v>0.58288745985269741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2.2737367544323206E-13</v>
      </c>
      <c r="BE175" s="13">
        <f>BD175*VLOOKUP('Données projet'!$B$11,Paramètres!$A$1:$I$89,3,0)*VLOOKUP('Données projet'!$B$11,Paramètres!$A$1:$I$89,5,0)</f>
        <v>1.2414602679200471E-13</v>
      </c>
      <c r="BF175" s="13">
        <f t="shared" si="167"/>
        <v>1.8186582995804361E-12</v>
      </c>
      <c r="BG175" s="20">
        <f t="shared" si="168"/>
        <v>3.3837175350986671E-12</v>
      </c>
      <c r="BH175" s="59">
        <f t="shared" si="116"/>
        <v>293.33333333333672</v>
      </c>
      <c r="BI175" s="59">
        <f ca="1">AVERAGE(OFFSET($BH$3,0,0,'Données projet'!$E$11+1,1))-AVERAGE(OFFSET($H$3,0,0,'Données projet'!$E$11+1,1))</f>
        <v>168.72306536277267</v>
      </c>
      <c r="BJ175" s="59">
        <f t="shared" si="146"/>
        <v>203.35476578922339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0.18274630005692818</v>
      </c>
      <c r="BQ175" s="21">
        <f>EXP(-LN(2)/25)*BQ174+(1-EXP(-LN(2)/25))/(LN(2)/25)*Calculateur!BL175*Calculateur!BN175*VLOOKUP('Données projet'!$B$11,Paramètres!$A$1:$I$89,3,0)*0.475*44/12</f>
        <v>0.44832663380496779</v>
      </c>
      <c r="BR175" s="21">
        <f>EXP(-LN(2)/2)*BR174+(1-EXP(-LN(2)/2))/(LN(2)/2)*BL175*BO175*VLOOKUP('Données projet'!$B$11,Paramètres!$A$1:$I$89,3,0)*0.475*44/12</f>
        <v>8.4804289098381687E-21</v>
      </c>
      <c r="BS175" s="22">
        <f t="shared" si="169"/>
        <v>0.631072933861896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3.4106051316484809E-13</v>
      </c>
      <c r="BZ175" s="13">
        <f>BY175*VLOOKUP('Données projet'!$B$12,Paramètres!$A$1:$I$89,3,0)*VLOOKUP('Données projet'!$B$12,Paramètres!$A$1:$I$89,5,0)</f>
        <v>1.5961632016114892E-13</v>
      </c>
      <c r="CA175" s="13">
        <f t="shared" si="170"/>
        <v>2.2708641912150958E-12</v>
      </c>
      <c r="CB175" s="20">
        <f t="shared" si="171"/>
        <v>4.2330868906469593E-12</v>
      </c>
      <c r="CC175" s="59">
        <f t="shared" si="119"/>
        <v>293.33333333333752</v>
      </c>
      <c r="CD175" s="59">
        <f ca="1">AVERAGE(OFFSET($CC$3,0,0,'Données projet'!$E$12+1,1))-AVERAGE(OFFSET($H$3,0,0,'Données projet'!$E$12+1,1))</f>
        <v>158.58786357608489</v>
      </c>
      <c r="CE175" s="59">
        <f t="shared" si="148"/>
        <v>163.20074068819849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4.1677594708744434E-14</v>
      </c>
      <c r="CV175" s="13">
        <f t="shared" si="173"/>
        <v>6.9326303456159188E-13</v>
      </c>
      <c r="CW175" s="20">
        <f t="shared" si="174"/>
        <v>1.2800215959791691E-12</v>
      </c>
      <c r="CX175" s="59">
        <f t="shared" si="122"/>
        <v>293.33333333333462</v>
      </c>
      <c r="CY175" s="59">
        <f ca="1">AVERAGE(OFFSET($CX$3,0,0,'Données projet'!$E$13+1,1))-AVERAGE(OFFSET($H$3,0,0,'Données projet'!$E$13+1,1))</f>
        <v>178.12968684094687</v>
      </c>
      <c r="CZ175" s="59">
        <f t="shared" si="150"/>
        <v>219.36004077210373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0.14996459343596757</v>
      </c>
      <c r="DH175" s="21">
        <f>EXP(-LN(2)/2)*DH174+(1-EXP(-LN(2)/2))/(LN(2)/2)*DB175*DE175*VLOOKUP('Données projet'!$B$13,Paramètres!$A$1:$I$89,3,0)*0.475*44/12</f>
        <v>4.2002308095524772E-21</v>
      </c>
      <c r="DI175" s="22">
        <f t="shared" si="175"/>
        <v>0.14996459343596757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-8.5265128291212022E-14</v>
      </c>
      <c r="DP175" s="17">
        <f>DO175*VLOOKUP('Données projet'!$B$14,Paramètres!$A$1:$I$89,3,0)*VLOOKUP('Données projet'!$B$14,Paramètres!$A$1:$I$89,5,0)</f>
        <v>-7.7147888077888636E-14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225.28075317732998</v>
      </c>
      <c r="DU175" s="59">
        <f t="shared" si="152"/>
        <v>358.43407531256207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0.1347749065982064</v>
      </c>
      <c r="EB175" s="21">
        <f>EXP(-LN(2)/25)*EB174+(1-EXP(-LN(2)/25))/(LN(2)/25)*Calculateur!DW175*Calculateur!DY175*VLOOKUP('Données projet'!$B$14,Paramètres!$A$1:$I$89,3,0)*0.475*44/12</f>
        <v>0.16134782899947009</v>
      </c>
      <c r="EC175" s="21">
        <f>EXP(-LN(2)/2)*EC174+(1-EXP(-LN(2)/2))/(LN(2)/2)*DW175*DZ175*VLOOKUP('Données projet'!$B$14,Paramètres!$A$1:$I$89,3,0)*0.475*44/12</f>
        <v>1.8694106571276742E-21</v>
      </c>
      <c r="ED175" s="22">
        <f t="shared" si="178"/>
        <v>0.29612273559767649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-7.3896444519050419E-13</v>
      </c>
      <c r="EK175" s="17">
        <f>EJ175*VLOOKUP('Données projet'!$B$15,Paramètres!$A$1:$I$89,3,0)*VLOOKUP('Données projet'!$B$15,Paramètres!$A$1:$I$89,5,0)</f>
        <v>-7.4930994742317137E-13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363.98308691765931</v>
      </c>
      <c r="EP175" s="59">
        <f t="shared" si="154"/>
        <v>181.47089407988187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-7.3896444519050419E-13</v>
      </c>
      <c r="FF175" s="17">
        <f>FE175*VLOOKUP('Données projet'!$B$16,Paramètres!$A$1:$I$89,3,0)*VLOOKUP('Données projet'!$B$16,Paramètres!$A$1:$I$89,5,0)</f>
        <v>-7.954213288030586E-13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395.30533160963489</v>
      </c>
      <c r="FK175" s="59">
        <f t="shared" si="156"/>
        <v>196.02102977695085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227.99999999999986</v>
      </c>
      <c r="GA175" s="17">
        <f>FZ175*VLOOKUP('Données projet'!$B$17,Paramètres!$A$1:$I$89,3,0)*VLOOKUP('Données projet'!$B$17,Paramètres!$A$1:$I$89,5,0)</f>
        <v>238.30559999999986</v>
      </c>
      <c r="GB175" s="13">
        <f t="shared" si="185"/>
        <v>58.074821878967043</v>
      </c>
      <c r="GC175" s="20">
        <f t="shared" si="186"/>
        <v>516.19590143920061</v>
      </c>
      <c r="GD175" s="59">
        <f t="shared" si="134"/>
        <v>809.52923477253398</v>
      </c>
      <c r="GE175" s="59">
        <f ca="1">AVERAGE(OFFSET($GD$3,0,0,'Données projet'!$E$17+1,1))-AVERAGE(OFFSET($H$3,0,0,'Données projet'!$E$17+1,1))</f>
        <v>269.41185214595805</v>
      </c>
      <c r="GF175" s="59">
        <f t="shared" si="158"/>
        <v>299.70148160580993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0.38094194806532267</v>
      </c>
      <c r="GM175" s="21">
        <f>EXP(-LN(2)/25)*GM174+(1-EXP(-LN(2)/25))/(LN(2)/25)*Calculateur!GH175*Calculateur!GJ175*VLOOKUP('Données projet'!$B$17,Paramètres!$A$1:$I$89,3,0)*0.475*44/12</f>
        <v>0.31644126282986867</v>
      </c>
      <c r="GN175" s="21">
        <f>EXP(-LN(2)/2)*GN174+(1-EXP(-LN(2)/2))/(LN(2)/2)*GH175*GK175*VLOOKUP('Données projet'!$B$17,Paramètres!$A$1:$I$89,3,0)*0.475*44/12</f>
        <v>8.0928359256546779E-21</v>
      </c>
      <c r="GO175" s="21">
        <f t="shared" si="187"/>
        <v>0.6973832108951914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5.6843418860808015E-14</v>
      </c>
      <c r="GV175" s="17">
        <f>GU175*VLOOKUP('Données projet'!$B$18,Paramètres!$A$1:$I$89,3,0)*VLOOKUP('Données projet'!$B$18,Paramètres!$A$1:$I$89,5,0)</f>
        <v>4.9658410716801891E-14</v>
      </c>
      <c r="GW175" s="13">
        <f t="shared" si="188"/>
        <v>8.0934058173791862E-13</v>
      </c>
      <c r="GX175" s="20">
        <f t="shared" si="189"/>
        <v>1.4960899118586383E-12</v>
      </c>
      <c r="GY175" s="59">
        <f t="shared" si="137"/>
        <v>293.33333333333479</v>
      </c>
      <c r="GZ175" s="59">
        <f ca="1">AVERAGE(OFFSET($GY$3,0,0,'Données projet'!$E$18+1,1))-AVERAGE(OFFSET($H$3,0,0,'Données projet'!$E$18+1,1))</f>
        <v>226.35975611953359</v>
      </c>
      <c r="HA175" s="59">
        <f t="shared" si="160"/>
        <v>271.65876694892461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0.22023498927162391</v>
      </c>
      <c r="HI175" s="21">
        <f>EXP(-LN(2)/2)*HI174+(1-EXP(-LN(2)/2))/(LN(2)/2)*HC175*HF175*VLOOKUP('Données projet'!$B$18,Paramètres!$A$1:$I$89,3,0)*0.475*44/12</f>
        <v>5.0045303262752909E-21</v>
      </c>
      <c r="HJ175" s="22">
        <f t="shared" si="190"/>
        <v>0.22023498927162391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-7.3896444519050419E-13</v>
      </c>
      <c r="O176" s="13">
        <f>N176*VLOOKUP('Données projet'!$B$9,Paramètres!$A$1:$I$89,3,0)*VLOOKUP('Données projet'!$B$9,Paramètres!$A$1:$I$89,5,0)</f>
        <v>-6.6861503000836817E-13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309.07357540707869</v>
      </c>
      <c r="T176" s="59">
        <f t="shared" si="142"/>
        <v>155.9593924683299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227.99999999999986</v>
      </c>
      <c r="AJ176" s="13">
        <f>AI176*VLOOKUP('Données projet'!$B$10,Paramètres!$A$1:$I$89,3,0)*VLOOKUP('Données projet'!$B$10,Paramètres!$A$1:$I$89,5,0)</f>
        <v>199.18079999999992</v>
      </c>
      <c r="AK176" s="13">
        <f t="shared" si="164"/>
        <v>49.564089376413683</v>
      </c>
      <c r="AL176" s="20">
        <f t="shared" si="165"/>
        <v>433.23068233058694</v>
      </c>
      <c r="AM176" s="59">
        <f t="shared" si="113"/>
        <v>726.56401566392026</v>
      </c>
      <c r="AN176" s="59">
        <f ca="1">AVERAGE(OFFSET($AM$3,0,0,'Données projet'!$E$10+1,1))-AVERAGE(OFFSET($H$3,0,0,'Données projet'!$E$10+1,1))</f>
        <v>210.07838338464626</v>
      </c>
      <c r="AO176" s="59">
        <f t="shared" si="144"/>
        <v>241.76003724236273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0.31215562527854951</v>
      </c>
      <c r="AV176" s="21">
        <f>EXP(-LN(2)/25)*AV175+(1-EXP(-LN(2)/25))/(LN(2)/25)*Calculateur!AQ176*Calculateur!AS176*VLOOKUP('Données projet'!$B$10,Paramètres!$A$1:$I$89,3,0)*0.475*44/12</f>
        <v>0.25725577540275124</v>
      </c>
      <c r="AW176" s="21">
        <f>EXP(-LN(2)/2)*AW175+(1-EXP(-LN(2)/2))/(LN(2)/2)*AQ176*AT176*VLOOKUP('Données projet'!$B$10,Paramètres!$A$1:$I$89,3,0)*0.475*44/12</f>
        <v>4.7829843742595999E-21</v>
      </c>
      <c r="AX176" s="21">
        <f t="shared" si="166"/>
        <v>0.56941140068130069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2.2737367544323206E-13</v>
      </c>
      <c r="BE176" s="13">
        <f>BD176*VLOOKUP('Données projet'!$B$11,Paramètres!$A$1:$I$89,3,0)*VLOOKUP('Données projet'!$B$11,Paramètres!$A$1:$I$89,5,0)</f>
        <v>1.2414602679200471E-13</v>
      </c>
      <c r="BF176" s="13">
        <f t="shared" si="167"/>
        <v>1.8186582995804361E-12</v>
      </c>
      <c r="BG176" s="20">
        <f t="shared" si="168"/>
        <v>3.3837175350986671E-12</v>
      </c>
      <c r="BH176" s="59">
        <f t="shared" si="116"/>
        <v>293.33333333333672</v>
      </c>
      <c r="BI176" s="59">
        <f ca="1">AVERAGE(OFFSET($BH$3,0,0,'Données projet'!$E$11+1,1))-AVERAGE(OFFSET($H$3,0,0,'Données projet'!$E$11+1,1))</f>
        <v>168.72306536277267</v>
      </c>
      <c r="BJ176" s="59">
        <f t="shared" si="146"/>
        <v>203.35476578922339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0.17916275657704867</v>
      </c>
      <c r="BQ176" s="21">
        <f>EXP(-LN(2)/25)*BQ175+(1-EXP(-LN(2)/25))/(LN(2)/25)*Calculateur!BL176*Calculateur!BN176*VLOOKUP('Données projet'!$B$11,Paramètres!$A$1:$I$89,3,0)*0.475*44/12</f>
        <v>0.43606711842709794</v>
      </c>
      <c r="BR176" s="21">
        <f>EXP(-LN(2)/2)*BR175+(1-EXP(-LN(2)/2))/(LN(2)/2)*BL176*BO176*VLOOKUP('Données projet'!$B$11,Paramètres!$A$1:$I$89,3,0)*0.475*44/12</f>
        <v>5.9965687895170098E-21</v>
      </c>
      <c r="BS176" s="22">
        <f t="shared" si="169"/>
        <v>0.61522987500414661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3.4106051316484809E-13</v>
      </c>
      <c r="BZ176" s="13">
        <f>BY176*VLOOKUP('Données projet'!$B$12,Paramètres!$A$1:$I$89,3,0)*VLOOKUP('Données projet'!$B$12,Paramètres!$A$1:$I$89,5,0)</f>
        <v>1.5961632016114892E-13</v>
      </c>
      <c r="CA176" s="13">
        <f t="shared" si="170"/>
        <v>2.2708641912150958E-12</v>
      </c>
      <c r="CB176" s="20">
        <f t="shared" si="171"/>
        <v>4.2330868906469593E-12</v>
      </c>
      <c r="CC176" s="59">
        <f t="shared" si="119"/>
        <v>293.33333333333752</v>
      </c>
      <c r="CD176" s="59">
        <f ca="1">AVERAGE(OFFSET($CC$3,0,0,'Données projet'!$E$12+1,1))-AVERAGE(OFFSET($H$3,0,0,'Données projet'!$E$12+1,1))</f>
        <v>158.58786357608489</v>
      </c>
      <c r="CE176" s="59">
        <f t="shared" si="148"/>
        <v>163.20074068819849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4.1677594708744434E-14</v>
      </c>
      <c r="CV176" s="13">
        <f t="shared" si="173"/>
        <v>6.9326303456159188E-13</v>
      </c>
      <c r="CW176" s="20">
        <f t="shared" si="174"/>
        <v>1.2800215959791691E-12</v>
      </c>
      <c r="CX176" s="59">
        <f t="shared" si="122"/>
        <v>293.33333333333462</v>
      </c>
      <c r="CY176" s="59">
        <f ca="1">AVERAGE(OFFSET($CX$3,0,0,'Données projet'!$E$13+1,1))-AVERAGE(OFFSET($H$3,0,0,'Données projet'!$E$13+1,1))</f>
        <v>178.12968684094687</v>
      </c>
      <c r="CZ176" s="59">
        <f t="shared" si="150"/>
        <v>219.36004077210373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0.14586380374216582</v>
      </c>
      <c r="DH176" s="21">
        <f>EXP(-LN(2)/2)*DH175+(1-EXP(-LN(2)/2))/(LN(2)/2)*DB176*DE176*VLOOKUP('Données projet'!$B$13,Paramètres!$A$1:$I$89,3,0)*0.475*44/12</f>
        <v>2.9700116879832189E-21</v>
      </c>
      <c r="DI176" s="22">
        <f t="shared" si="175"/>
        <v>0.14586380374216582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-8.5265128291212022E-14</v>
      </c>
      <c r="DP176" s="17">
        <f>DO176*VLOOKUP('Données projet'!$B$14,Paramètres!$A$1:$I$89,3,0)*VLOOKUP('Données projet'!$B$14,Paramètres!$A$1:$I$89,5,0)</f>
        <v>-7.7147888077888636E-14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225.28075317732998</v>
      </c>
      <c r="DU176" s="59">
        <f t="shared" si="152"/>
        <v>358.43407531256207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0.13213205288439156</v>
      </c>
      <c r="EB176" s="21">
        <f>EXP(-LN(2)/25)*EB175+(1-EXP(-LN(2)/25))/(LN(2)/25)*Calculateur!DW176*Calculateur!DY176*VLOOKUP('Données projet'!$B$14,Paramètres!$A$1:$I$89,3,0)*0.475*44/12</f>
        <v>0.15693576413056601</v>
      </c>
      <c r="EC176" s="21">
        <f>EXP(-LN(2)/2)*EC175+(1-EXP(-LN(2)/2))/(LN(2)/2)*DW176*DZ176*VLOOKUP('Données projet'!$B$14,Paramètres!$A$1:$I$89,3,0)*0.475*44/12</f>
        <v>1.3218729524773784E-21</v>
      </c>
      <c r="ED176" s="22">
        <f t="shared" si="178"/>
        <v>0.28906781701495754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-7.3896444519050419E-13</v>
      </c>
      <c r="EK176" s="17">
        <f>EJ176*VLOOKUP('Données projet'!$B$15,Paramètres!$A$1:$I$89,3,0)*VLOOKUP('Données projet'!$B$15,Paramètres!$A$1:$I$89,5,0)</f>
        <v>-7.4930994742317137E-13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363.98308691765931</v>
      </c>
      <c r="EP176" s="59">
        <f t="shared" si="154"/>
        <v>181.47089407988187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-7.3896444519050419E-13</v>
      </c>
      <c r="FF176" s="17">
        <f>FE176*VLOOKUP('Données projet'!$B$16,Paramètres!$A$1:$I$89,3,0)*VLOOKUP('Données projet'!$B$16,Paramètres!$A$1:$I$89,5,0)</f>
        <v>-7.954213288030586E-13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395.30533160963489</v>
      </c>
      <c r="FK176" s="59">
        <f t="shared" si="156"/>
        <v>196.02102977695085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227.99999999999986</v>
      </c>
      <c r="GA176" s="17">
        <f>FZ176*VLOOKUP('Données projet'!$B$17,Paramètres!$A$1:$I$89,3,0)*VLOOKUP('Données projet'!$B$17,Paramètres!$A$1:$I$89,5,0)</f>
        <v>238.30559999999986</v>
      </c>
      <c r="GB176" s="13">
        <f t="shared" si="185"/>
        <v>58.074821878967043</v>
      </c>
      <c r="GC176" s="20">
        <f t="shared" si="186"/>
        <v>516.19590143920061</v>
      </c>
      <c r="GD176" s="59">
        <f t="shared" si="134"/>
        <v>809.52923477253398</v>
      </c>
      <c r="GE176" s="59">
        <f ca="1">AVERAGE(OFFSET($GD$3,0,0,'Données projet'!$E$17+1,1))-AVERAGE(OFFSET($H$3,0,0,'Données projet'!$E$17+1,1))</f>
        <v>269.41185214595805</v>
      </c>
      <c r="GF176" s="59">
        <f t="shared" si="158"/>
        <v>299.70148160580993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0.37347190881540721</v>
      </c>
      <c r="GM176" s="21">
        <f>EXP(-LN(2)/25)*GM175+(1-EXP(-LN(2)/25))/(LN(2)/25)*Calculateur!GH176*Calculateur!GJ176*VLOOKUP('Données projet'!$B$17,Paramètres!$A$1:$I$89,3,0)*0.475*44/12</f>
        <v>0.30778815985686314</v>
      </c>
      <c r="GN176" s="21">
        <f>EXP(-LN(2)/2)*GN175+(1-EXP(-LN(2)/2))/(LN(2)/2)*GH176*GK176*VLOOKUP('Données projet'!$B$17,Paramètres!$A$1:$I$89,3,0)*0.475*44/12</f>
        <v>5.7224991620605332E-21</v>
      </c>
      <c r="GO176" s="21">
        <f t="shared" si="187"/>
        <v>0.68126006867227029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5.6843418860808015E-14</v>
      </c>
      <c r="GV176" s="17">
        <f>GU176*VLOOKUP('Données projet'!$B$18,Paramètres!$A$1:$I$89,3,0)*VLOOKUP('Données projet'!$B$18,Paramètres!$A$1:$I$89,5,0)</f>
        <v>4.9658410716801891E-14</v>
      </c>
      <c r="GW176" s="13">
        <f t="shared" si="188"/>
        <v>8.0934058173791862E-13</v>
      </c>
      <c r="GX176" s="20">
        <f t="shared" si="189"/>
        <v>1.4960899118586383E-12</v>
      </c>
      <c r="GY176" s="59">
        <f t="shared" si="137"/>
        <v>293.33333333333479</v>
      </c>
      <c r="GZ176" s="59">
        <f ca="1">AVERAGE(OFFSET($GY$3,0,0,'Données projet'!$E$18+1,1))-AVERAGE(OFFSET($H$3,0,0,'Données projet'!$E$18+1,1))</f>
        <v>226.35975611953359</v>
      </c>
      <c r="HA176" s="59">
        <f t="shared" si="160"/>
        <v>271.65876694892461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0.21421265190833663</v>
      </c>
      <c r="HI176" s="21">
        <f>EXP(-LN(2)/2)*HI175+(1-EXP(-LN(2)/2))/(LN(2)/2)*HC176*HF176*VLOOKUP('Données projet'!$B$18,Paramètres!$A$1:$I$89,3,0)*0.475*44/12</f>
        <v>3.5387373303629833E-21</v>
      </c>
      <c r="HJ176" s="22">
        <f t="shared" si="190"/>
        <v>0.21421265190833663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-7.3896444519050419E-13</v>
      </c>
      <c r="O177" s="13">
        <f>N177*VLOOKUP('Données projet'!$B$9,Paramètres!$A$1:$I$89,3,0)*VLOOKUP('Données projet'!$B$9,Paramètres!$A$1:$I$89,5,0)</f>
        <v>-6.6861503000836817E-13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309.07357540707869</v>
      </c>
      <c r="T177" s="59">
        <f t="shared" si="142"/>
        <v>155.9593924683299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227.99999999999986</v>
      </c>
      <c r="AJ177" s="13">
        <f>AI177*VLOOKUP('Données projet'!$B$10,Paramètres!$A$1:$I$89,3,0)*VLOOKUP('Données projet'!$B$10,Paramètres!$A$1:$I$89,5,0)</f>
        <v>199.18079999999992</v>
      </c>
      <c r="AK177" s="13">
        <f t="shared" si="164"/>
        <v>49.564089376413683</v>
      </c>
      <c r="AL177" s="20">
        <f t="shared" si="165"/>
        <v>433.23068233058694</v>
      </c>
      <c r="AM177" s="59">
        <f t="shared" si="113"/>
        <v>726.56401566392026</v>
      </c>
      <c r="AN177" s="59">
        <f ca="1">AVERAGE(OFFSET($AM$3,0,0,'Données projet'!$E$10+1,1))-AVERAGE(OFFSET($H$3,0,0,'Données projet'!$E$10+1,1))</f>
        <v>210.07838338464626</v>
      </c>
      <c r="AO177" s="59">
        <f t="shared" si="144"/>
        <v>241.76003724236273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0.30603444386296852</v>
      </c>
      <c r="AV177" s="21">
        <f>EXP(-LN(2)/25)*AV176+(1-EXP(-LN(2)/25))/(LN(2)/25)*Calculateur!AQ177*Calculateur!AS177*VLOOKUP('Données projet'!$B$10,Paramètres!$A$1:$I$89,3,0)*0.475*44/12</f>
        <v>0.25022110269586972</v>
      </c>
      <c r="AW177" s="21">
        <f>EXP(-LN(2)/2)*AW176+(1-EXP(-LN(2)/2))/(LN(2)/2)*AQ177*AT177*VLOOKUP('Données projet'!$B$10,Paramètres!$A$1:$I$89,3,0)*0.475*44/12</f>
        <v>3.382080685348259E-21</v>
      </c>
      <c r="AX177" s="21">
        <f t="shared" si="166"/>
        <v>0.55625554655883824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2.2737367544323206E-13</v>
      </c>
      <c r="BE177" s="13">
        <f>BD177*VLOOKUP('Données projet'!$B$11,Paramètres!$A$1:$I$89,3,0)*VLOOKUP('Données projet'!$B$11,Paramètres!$A$1:$I$89,5,0)</f>
        <v>1.2414602679200471E-13</v>
      </c>
      <c r="BF177" s="13">
        <f t="shared" si="167"/>
        <v>1.8186582995804361E-12</v>
      </c>
      <c r="BG177" s="20">
        <f t="shared" si="168"/>
        <v>3.3837175350986671E-12</v>
      </c>
      <c r="BH177" s="59">
        <f t="shared" si="116"/>
        <v>293.33333333333672</v>
      </c>
      <c r="BI177" s="59">
        <f ca="1">AVERAGE(OFFSET($BH$3,0,0,'Données projet'!$E$11+1,1))-AVERAGE(OFFSET($H$3,0,0,'Données projet'!$E$11+1,1))</f>
        <v>168.72306536277267</v>
      </c>
      <c r="BJ177" s="59">
        <f t="shared" si="146"/>
        <v>203.35476578922339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0.1756494841990639</v>
      </c>
      <c r="BQ177" s="21">
        <f>EXP(-LN(2)/25)*BQ176+(1-EXP(-LN(2)/25))/(LN(2)/25)*Calculateur!BL177*Calculateur!BN177*VLOOKUP('Données projet'!$B$11,Paramètres!$A$1:$I$89,3,0)*0.475*44/12</f>
        <v>0.42414284014193582</v>
      </c>
      <c r="BR177" s="21">
        <f>EXP(-LN(2)/2)*BR176+(1-EXP(-LN(2)/2))/(LN(2)/2)*BL177*BO177*VLOOKUP('Données projet'!$B$11,Paramètres!$A$1:$I$89,3,0)*0.475*44/12</f>
        <v>4.2402144549190843E-21</v>
      </c>
      <c r="BS177" s="22">
        <f t="shared" si="169"/>
        <v>0.59979232434099972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3.4106051316484809E-13</v>
      </c>
      <c r="BZ177" s="13">
        <f>BY177*VLOOKUP('Données projet'!$B$12,Paramètres!$A$1:$I$89,3,0)*VLOOKUP('Données projet'!$B$12,Paramètres!$A$1:$I$89,5,0)</f>
        <v>1.5961632016114892E-13</v>
      </c>
      <c r="CA177" s="13">
        <f t="shared" si="170"/>
        <v>2.2708641912150958E-12</v>
      </c>
      <c r="CB177" s="20">
        <f t="shared" si="171"/>
        <v>4.2330868906469593E-12</v>
      </c>
      <c r="CC177" s="59">
        <f t="shared" si="119"/>
        <v>293.33333333333752</v>
      </c>
      <c r="CD177" s="59">
        <f ca="1">AVERAGE(OFFSET($CC$3,0,0,'Données projet'!$E$12+1,1))-AVERAGE(OFFSET($H$3,0,0,'Données projet'!$E$12+1,1))</f>
        <v>158.58786357608489</v>
      </c>
      <c r="CE177" s="59">
        <f t="shared" si="148"/>
        <v>163.20074068819849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4.1677594708744434E-14</v>
      </c>
      <c r="CV177" s="13">
        <f t="shared" si="173"/>
        <v>6.9326303456159188E-13</v>
      </c>
      <c r="CW177" s="20">
        <f t="shared" si="174"/>
        <v>1.2800215959791691E-12</v>
      </c>
      <c r="CX177" s="59">
        <f t="shared" si="122"/>
        <v>293.33333333333462</v>
      </c>
      <c r="CY177" s="59">
        <f ca="1">AVERAGE(OFFSET($CX$3,0,0,'Données projet'!$E$13+1,1))-AVERAGE(OFFSET($H$3,0,0,'Données projet'!$E$13+1,1))</f>
        <v>178.12968684094687</v>
      </c>
      <c r="CZ177" s="59">
        <f t="shared" si="150"/>
        <v>219.36004077210373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0.14187515035819223</v>
      </c>
      <c r="DH177" s="21">
        <f>EXP(-LN(2)/2)*DH176+(1-EXP(-LN(2)/2))/(LN(2)/2)*DB177*DE177*VLOOKUP('Données projet'!$B$13,Paramètres!$A$1:$I$89,3,0)*0.475*44/12</f>
        <v>2.1001154047762386E-21</v>
      </c>
      <c r="DI177" s="22">
        <f t="shared" si="175"/>
        <v>0.14187515035819223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-8.5265128291212022E-14</v>
      </c>
      <c r="DP177" s="17">
        <f>DO177*VLOOKUP('Données projet'!$B$14,Paramètres!$A$1:$I$89,3,0)*VLOOKUP('Données projet'!$B$14,Paramètres!$A$1:$I$89,5,0)</f>
        <v>-7.7147888077888636E-14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225.28075317732998</v>
      </c>
      <c r="DU177" s="59">
        <f t="shared" si="152"/>
        <v>358.43407531256207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0.12954102391992303</v>
      </c>
      <c r="EB177" s="21">
        <f>EXP(-LN(2)/25)*EB176+(1-EXP(-LN(2)/25))/(LN(2)/25)*Calculateur!DW177*Calculateur!DY177*VLOOKUP('Données projet'!$B$14,Paramètres!$A$1:$I$89,3,0)*0.475*44/12</f>
        <v>0.15264434740752253</v>
      </c>
      <c r="EC177" s="21">
        <f>EXP(-LN(2)/2)*EC176+(1-EXP(-LN(2)/2))/(LN(2)/2)*DW177*DZ177*VLOOKUP('Données projet'!$B$14,Paramètres!$A$1:$I$89,3,0)*0.475*44/12</f>
        <v>9.3470532856383712E-22</v>
      </c>
      <c r="ED177" s="22">
        <f t="shared" si="178"/>
        <v>0.28218537132744559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-7.3896444519050419E-13</v>
      </c>
      <c r="EK177" s="17">
        <f>EJ177*VLOOKUP('Données projet'!$B$15,Paramètres!$A$1:$I$89,3,0)*VLOOKUP('Données projet'!$B$15,Paramètres!$A$1:$I$89,5,0)</f>
        <v>-7.4930994742317137E-13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363.98308691765931</v>
      </c>
      <c r="EP177" s="59">
        <f t="shared" si="154"/>
        <v>181.47089407988187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-7.3896444519050419E-13</v>
      </c>
      <c r="FF177" s="17">
        <f>FE177*VLOOKUP('Données projet'!$B$16,Paramètres!$A$1:$I$89,3,0)*VLOOKUP('Données projet'!$B$16,Paramètres!$A$1:$I$89,5,0)</f>
        <v>-7.954213288030586E-13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395.30533160963489</v>
      </c>
      <c r="FK177" s="59">
        <f t="shared" si="156"/>
        <v>196.02102977695085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227.99999999999986</v>
      </c>
      <c r="GA177" s="17">
        <f>FZ177*VLOOKUP('Données projet'!$B$17,Paramètres!$A$1:$I$89,3,0)*VLOOKUP('Données projet'!$B$17,Paramètres!$A$1:$I$89,5,0)</f>
        <v>238.30559999999986</v>
      </c>
      <c r="GB177" s="13">
        <f t="shared" si="185"/>
        <v>58.074821878967043</v>
      </c>
      <c r="GC177" s="20">
        <f t="shared" si="186"/>
        <v>516.19590143920061</v>
      </c>
      <c r="GD177" s="59">
        <f t="shared" si="134"/>
        <v>809.52923477253398</v>
      </c>
      <c r="GE177" s="59">
        <f ca="1">AVERAGE(OFFSET($GD$3,0,0,'Données projet'!$E$17+1,1))-AVERAGE(OFFSET($H$3,0,0,'Données projet'!$E$17+1,1))</f>
        <v>269.41185214595805</v>
      </c>
      <c r="GF177" s="59">
        <f t="shared" si="158"/>
        <v>299.70148160580993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0.36614835247890853</v>
      </c>
      <c r="GM177" s="21">
        <f>EXP(-LN(2)/25)*GM176+(1-EXP(-LN(2)/25))/(LN(2)/25)*Calculateur!GH177*Calculateur!GJ177*VLOOKUP('Données projet'!$B$17,Paramètres!$A$1:$I$89,3,0)*0.475*44/12</f>
        <v>0.29937167643970136</v>
      </c>
      <c r="GN177" s="21">
        <f>EXP(-LN(2)/2)*GN176+(1-EXP(-LN(2)/2))/(LN(2)/2)*GH177*GK177*VLOOKUP('Données projet'!$B$17,Paramètres!$A$1:$I$89,3,0)*0.475*44/12</f>
        <v>4.046417962827339E-21</v>
      </c>
      <c r="GO177" s="21">
        <f t="shared" si="187"/>
        <v>0.66552002891860984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5.6843418860808015E-14</v>
      </c>
      <c r="GV177" s="17">
        <f>GU177*VLOOKUP('Données projet'!$B$18,Paramètres!$A$1:$I$89,3,0)*VLOOKUP('Données projet'!$B$18,Paramètres!$A$1:$I$89,5,0)</f>
        <v>4.9658410716801891E-14</v>
      </c>
      <c r="GW177" s="13">
        <f t="shared" si="188"/>
        <v>8.0934058173791862E-13</v>
      </c>
      <c r="GX177" s="20">
        <f t="shared" si="189"/>
        <v>1.4960899118586383E-12</v>
      </c>
      <c r="GY177" s="59">
        <f t="shared" si="137"/>
        <v>293.33333333333479</v>
      </c>
      <c r="GZ177" s="59">
        <f ca="1">AVERAGE(OFFSET($GY$3,0,0,'Données projet'!$E$18+1,1))-AVERAGE(OFFSET($H$3,0,0,'Données projet'!$E$18+1,1))</f>
        <v>226.35975611953359</v>
      </c>
      <c r="HA177" s="59">
        <f t="shared" si="160"/>
        <v>271.65876694892461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0.2083549956769494</v>
      </c>
      <c r="HI177" s="21">
        <f>EXP(-LN(2)/2)*HI176+(1-EXP(-LN(2)/2))/(LN(2)/2)*HC177*HF177*VLOOKUP('Données projet'!$B$18,Paramètres!$A$1:$I$89,3,0)*0.475*44/12</f>
        <v>2.5022651631376454E-21</v>
      </c>
      <c r="HJ177" s="22">
        <f t="shared" si="190"/>
        <v>0.2083549956769494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-7.3896444519050419E-13</v>
      </c>
      <c r="O178" s="13">
        <f>N178*VLOOKUP('Données projet'!$B$9,Paramètres!$A$1:$I$89,3,0)*VLOOKUP('Données projet'!$B$9,Paramètres!$A$1:$I$89,5,0)</f>
        <v>-6.6861503000836817E-13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309.07357540707869</v>
      </c>
      <c r="T178" s="59">
        <f t="shared" si="142"/>
        <v>155.9593924683299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227.99999999999986</v>
      </c>
      <c r="AJ178" s="13">
        <f>AI178*VLOOKUP('Données projet'!$B$10,Paramètres!$A$1:$I$89,3,0)*VLOOKUP('Données projet'!$B$10,Paramètres!$A$1:$I$89,5,0)</f>
        <v>199.18079999999992</v>
      </c>
      <c r="AK178" s="13">
        <f t="shared" si="164"/>
        <v>49.564089376413683</v>
      </c>
      <c r="AL178" s="20">
        <f t="shared" si="165"/>
        <v>433.23068233058694</v>
      </c>
      <c r="AM178" s="59">
        <f t="shared" si="113"/>
        <v>726.56401566392026</v>
      </c>
      <c r="AN178" s="59">
        <f ca="1">AVERAGE(OFFSET($AM$3,0,0,'Données projet'!$E$10+1,1))-AVERAGE(OFFSET($H$3,0,0,'Données projet'!$E$10+1,1))</f>
        <v>210.07838338464626</v>
      </c>
      <c r="AO178" s="59">
        <f t="shared" si="144"/>
        <v>241.76003724236273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0.30003329508139509</v>
      </c>
      <c r="AV178" s="21">
        <f>EXP(-LN(2)/25)*AV177+(1-EXP(-LN(2)/25))/(LN(2)/25)*Calculateur!AQ178*Calculateur!AS178*VLOOKUP('Données projet'!$B$10,Paramètres!$A$1:$I$89,3,0)*0.475*44/12</f>
        <v>0.24337879348409527</v>
      </c>
      <c r="AW178" s="21">
        <f>EXP(-LN(2)/2)*AW177+(1-EXP(-LN(2)/2))/(LN(2)/2)*AQ178*AT178*VLOOKUP('Données projet'!$B$10,Paramètres!$A$1:$I$89,3,0)*0.475*44/12</f>
        <v>2.3914921871298003E-21</v>
      </c>
      <c r="AX178" s="21">
        <f t="shared" si="166"/>
        <v>0.54341208856549039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2.2737367544323206E-13</v>
      </c>
      <c r="BE178" s="13">
        <f>BD178*VLOOKUP('Données projet'!$B$11,Paramètres!$A$1:$I$89,3,0)*VLOOKUP('Données projet'!$B$11,Paramètres!$A$1:$I$89,5,0)</f>
        <v>1.2414602679200471E-13</v>
      </c>
      <c r="BF178" s="13">
        <f t="shared" si="167"/>
        <v>1.8186582995804361E-12</v>
      </c>
      <c r="BG178" s="20">
        <f t="shared" si="168"/>
        <v>3.3837175350986671E-12</v>
      </c>
      <c r="BH178" s="59">
        <f t="shared" si="116"/>
        <v>293.33333333333672</v>
      </c>
      <c r="BI178" s="59">
        <f ca="1">AVERAGE(OFFSET($BH$3,0,0,'Données projet'!$E$11+1,1))-AVERAGE(OFFSET($H$3,0,0,'Données projet'!$E$11+1,1))</f>
        <v>168.72306536277267</v>
      </c>
      <c r="BJ178" s="59">
        <f t="shared" si="146"/>
        <v>203.35476578922339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0.17220510494952684</v>
      </c>
      <c r="BQ178" s="21">
        <f>EXP(-LN(2)/25)*BQ177+(1-EXP(-LN(2)/25))/(LN(2)/25)*Calculateur!BL178*Calculateur!BN178*VLOOKUP('Données projet'!$B$11,Paramètres!$A$1:$I$89,3,0)*0.475*44/12</f>
        <v>0.412544631873552</v>
      </c>
      <c r="BR178" s="21">
        <f>EXP(-LN(2)/2)*BR177+(1-EXP(-LN(2)/2))/(LN(2)/2)*BL178*BO178*VLOOKUP('Données projet'!$B$11,Paramètres!$A$1:$I$89,3,0)*0.475*44/12</f>
        <v>2.9982843947585049E-21</v>
      </c>
      <c r="BS178" s="22">
        <f t="shared" si="169"/>
        <v>0.58474973682307885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3.4106051316484809E-13</v>
      </c>
      <c r="BZ178" s="13">
        <f>BY178*VLOOKUP('Données projet'!$B$12,Paramètres!$A$1:$I$89,3,0)*VLOOKUP('Données projet'!$B$12,Paramètres!$A$1:$I$89,5,0)</f>
        <v>1.5961632016114892E-13</v>
      </c>
      <c r="CA178" s="13">
        <f t="shared" si="170"/>
        <v>2.2708641912150958E-12</v>
      </c>
      <c r="CB178" s="20">
        <f t="shared" si="171"/>
        <v>4.2330868906469593E-12</v>
      </c>
      <c r="CC178" s="59">
        <f t="shared" si="119"/>
        <v>293.33333333333752</v>
      </c>
      <c r="CD178" s="59">
        <f ca="1">AVERAGE(OFFSET($CC$3,0,0,'Données projet'!$E$12+1,1))-AVERAGE(OFFSET($H$3,0,0,'Données projet'!$E$12+1,1))</f>
        <v>158.58786357608489</v>
      </c>
      <c r="CE178" s="59">
        <f t="shared" si="148"/>
        <v>163.20074068819849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4.1677594708744434E-14</v>
      </c>
      <c r="CV178" s="13">
        <f t="shared" si="173"/>
        <v>6.9326303456159188E-13</v>
      </c>
      <c r="CW178" s="20">
        <f t="shared" si="174"/>
        <v>1.2800215959791691E-12</v>
      </c>
      <c r="CX178" s="59">
        <f t="shared" si="122"/>
        <v>293.33333333333462</v>
      </c>
      <c r="CY178" s="59">
        <f ca="1">AVERAGE(OFFSET($CX$3,0,0,'Données projet'!$E$13+1,1))-AVERAGE(OFFSET($H$3,0,0,'Données projet'!$E$13+1,1))</f>
        <v>178.12968684094687</v>
      </c>
      <c r="CZ178" s="59">
        <f t="shared" si="150"/>
        <v>219.36004077210373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0.13799556691075757</v>
      </c>
      <c r="DH178" s="21">
        <f>EXP(-LN(2)/2)*DH177+(1-EXP(-LN(2)/2))/(LN(2)/2)*DB178*DE178*VLOOKUP('Données projet'!$B$13,Paramètres!$A$1:$I$89,3,0)*0.475*44/12</f>
        <v>1.4850058439916095E-21</v>
      </c>
      <c r="DI178" s="22">
        <f t="shared" si="175"/>
        <v>0.13799556691075757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-8.5265128291212022E-14</v>
      </c>
      <c r="DP178" s="17">
        <f>DO178*VLOOKUP('Données projet'!$B$14,Paramètres!$A$1:$I$89,3,0)*VLOOKUP('Données projet'!$B$14,Paramètres!$A$1:$I$89,5,0)</f>
        <v>-7.7147888077888636E-14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225.28075317732998</v>
      </c>
      <c r="DU178" s="59">
        <f t="shared" si="152"/>
        <v>358.43407531256207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0.12700080345307613</v>
      </c>
      <c r="EB178" s="21">
        <f>EXP(-LN(2)/25)*EB177+(1-EXP(-LN(2)/25))/(LN(2)/25)*Calculateur!DW178*Calculateur!DY178*VLOOKUP('Données projet'!$B$14,Paramètres!$A$1:$I$89,3,0)*0.475*44/12</f>
        <v>0.14847027970044646</v>
      </c>
      <c r="EC178" s="21">
        <f>EXP(-LN(2)/2)*EC177+(1-EXP(-LN(2)/2))/(LN(2)/2)*DW178*DZ178*VLOOKUP('Données projet'!$B$14,Paramètres!$A$1:$I$89,3,0)*0.475*44/12</f>
        <v>6.6093647623868919E-22</v>
      </c>
      <c r="ED178" s="22">
        <f t="shared" si="178"/>
        <v>0.27547108315352259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-7.3896444519050419E-13</v>
      </c>
      <c r="EK178" s="17">
        <f>EJ178*VLOOKUP('Données projet'!$B$15,Paramètres!$A$1:$I$89,3,0)*VLOOKUP('Données projet'!$B$15,Paramètres!$A$1:$I$89,5,0)</f>
        <v>-7.4930994742317137E-13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363.98308691765931</v>
      </c>
      <c r="EP178" s="59">
        <f t="shared" si="154"/>
        <v>181.47089407988187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-7.3896444519050419E-13</v>
      </c>
      <c r="FF178" s="17">
        <f>FE178*VLOOKUP('Données projet'!$B$16,Paramètres!$A$1:$I$89,3,0)*VLOOKUP('Données projet'!$B$16,Paramètres!$A$1:$I$89,5,0)</f>
        <v>-7.954213288030586E-13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395.30533160963489</v>
      </c>
      <c r="FK178" s="59">
        <f t="shared" si="156"/>
        <v>196.02102977695085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227.99999999999986</v>
      </c>
      <c r="GA178" s="17">
        <f>FZ178*VLOOKUP('Données projet'!$B$17,Paramètres!$A$1:$I$89,3,0)*VLOOKUP('Données projet'!$B$17,Paramètres!$A$1:$I$89,5,0)</f>
        <v>238.30559999999986</v>
      </c>
      <c r="GB178" s="13">
        <f t="shared" si="185"/>
        <v>58.074821878967043</v>
      </c>
      <c r="GC178" s="20">
        <f t="shared" si="186"/>
        <v>516.19590143920061</v>
      </c>
      <c r="GD178" s="59">
        <f t="shared" si="134"/>
        <v>809.52923477253398</v>
      </c>
      <c r="GE178" s="59">
        <f ca="1">AVERAGE(OFFSET($GD$3,0,0,'Données projet'!$E$17+1,1))-AVERAGE(OFFSET($H$3,0,0,'Données projet'!$E$17+1,1))</f>
        <v>269.41185214595805</v>
      </c>
      <c r="GF178" s="59">
        <f t="shared" si="158"/>
        <v>299.70148160580993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0.35896840661524032</v>
      </c>
      <c r="GM178" s="21">
        <f>EXP(-LN(2)/25)*GM177+(1-EXP(-LN(2)/25))/(LN(2)/25)*Calculateur!GH178*Calculateur!GJ178*VLOOKUP('Données projet'!$B$17,Paramètres!$A$1:$I$89,3,0)*0.475*44/12</f>
        <v>0.29118534220418546</v>
      </c>
      <c r="GN178" s="21">
        <f>EXP(-LN(2)/2)*GN177+(1-EXP(-LN(2)/2))/(LN(2)/2)*GH178*GK178*VLOOKUP('Données projet'!$B$17,Paramètres!$A$1:$I$89,3,0)*0.475*44/12</f>
        <v>2.8612495810302666E-21</v>
      </c>
      <c r="GO178" s="21">
        <f t="shared" si="187"/>
        <v>0.65015374881942578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5.6843418860808015E-14</v>
      </c>
      <c r="GV178" s="17">
        <f>GU178*VLOOKUP('Données projet'!$B$18,Paramètres!$A$1:$I$89,3,0)*VLOOKUP('Données projet'!$B$18,Paramètres!$A$1:$I$89,5,0)</f>
        <v>4.9658410716801891E-14</v>
      </c>
      <c r="GW178" s="13">
        <f t="shared" si="188"/>
        <v>8.0934058173791862E-13</v>
      </c>
      <c r="GX178" s="20">
        <f t="shared" si="189"/>
        <v>1.4960899118586383E-12</v>
      </c>
      <c r="GY178" s="59">
        <f t="shared" si="137"/>
        <v>293.33333333333479</v>
      </c>
      <c r="GZ178" s="59">
        <f ca="1">AVERAGE(OFFSET($GY$3,0,0,'Données projet'!$E$18+1,1))-AVERAGE(OFFSET($H$3,0,0,'Données projet'!$E$18+1,1))</f>
        <v>226.35975611953359</v>
      </c>
      <c r="HA178" s="59">
        <f t="shared" si="160"/>
        <v>271.65876694892461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0.20265751736325019</v>
      </c>
      <c r="HI178" s="21">
        <f>EXP(-LN(2)/2)*HI177+(1-EXP(-LN(2)/2))/(LN(2)/2)*HC178*HF178*VLOOKUP('Données projet'!$B$18,Paramètres!$A$1:$I$89,3,0)*0.475*44/12</f>
        <v>1.7693686651814916E-21</v>
      </c>
      <c r="HJ178" s="22">
        <f t="shared" si="190"/>
        <v>0.20265751736325019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-7.3896444519050419E-13</v>
      </c>
      <c r="O179" s="13">
        <f>N179*VLOOKUP('Données projet'!$B$9,Paramètres!$A$1:$I$89,3,0)*VLOOKUP('Données projet'!$B$9,Paramètres!$A$1:$I$89,5,0)</f>
        <v>-6.6861503000836817E-13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309.07357540707869</v>
      </c>
      <c r="T179" s="59">
        <f t="shared" si="142"/>
        <v>155.9593924683299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227.99999999999986</v>
      </c>
      <c r="AJ179" s="13">
        <f>AI179*VLOOKUP('Données projet'!$B$10,Paramètres!$A$1:$I$89,3,0)*VLOOKUP('Données projet'!$B$10,Paramètres!$A$1:$I$89,5,0)</f>
        <v>199.18079999999992</v>
      </c>
      <c r="AK179" s="13">
        <f t="shared" si="164"/>
        <v>49.564089376413683</v>
      </c>
      <c r="AL179" s="20">
        <f t="shared" si="165"/>
        <v>433.23068233058694</v>
      </c>
      <c r="AM179" s="59">
        <f t="shared" si="113"/>
        <v>726.56401566392026</v>
      </c>
      <c r="AN179" s="59">
        <f ca="1">AVERAGE(OFFSET($AM$3,0,0,'Données projet'!$E$10+1,1))-AVERAGE(OFFSET($H$3,0,0,'Données projet'!$E$10+1,1))</f>
        <v>210.07838338464626</v>
      </c>
      <c r="AO179" s="59">
        <f t="shared" si="144"/>
        <v>241.76003724236273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0.29414982516708899</v>
      </c>
      <c r="AV179" s="21">
        <f>EXP(-LN(2)/25)*AV178+(1-EXP(-LN(2)/25))/(LN(2)/25)*Calculateur!AQ179*Calculateur!AS179*VLOOKUP('Données projet'!$B$10,Paramètres!$A$1:$I$89,3,0)*0.475*44/12</f>
        <v>0.2367235875775382</v>
      </c>
      <c r="AW179" s="21">
        <f>EXP(-LN(2)/2)*AW178+(1-EXP(-LN(2)/2))/(LN(2)/2)*AQ179*AT179*VLOOKUP('Données projet'!$B$10,Paramètres!$A$1:$I$89,3,0)*0.475*44/12</f>
        <v>1.6910403426741299E-21</v>
      </c>
      <c r="AX179" s="21">
        <f t="shared" si="166"/>
        <v>0.53087341274462718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2.2737367544323206E-13</v>
      </c>
      <c r="BE179" s="13">
        <f>BD179*VLOOKUP('Données projet'!$B$11,Paramètres!$A$1:$I$89,3,0)*VLOOKUP('Données projet'!$B$11,Paramètres!$A$1:$I$89,5,0)</f>
        <v>1.2414602679200471E-13</v>
      </c>
      <c r="BF179" s="13">
        <f t="shared" si="167"/>
        <v>1.8186582995804361E-12</v>
      </c>
      <c r="BG179" s="20">
        <f t="shared" si="168"/>
        <v>3.3837175350986671E-12</v>
      </c>
      <c r="BH179" s="59">
        <f t="shared" si="116"/>
        <v>293.33333333333672</v>
      </c>
      <c r="BI179" s="59">
        <f ca="1">AVERAGE(OFFSET($BH$3,0,0,'Données projet'!$E$11+1,1))-AVERAGE(OFFSET($H$3,0,0,'Données projet'!$E$11+1,1))</f>
        <v>168.72306536277267</v>
      </c>
      <c r="BJ179" s="59">
        <f t="shared" si="146"/>
        <v>203.35476578922339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0.16882826787620933</v>
      </c>
      <c r="BQ179" s="21">
        <f>EXP(-LN(2)/25)*BQ178+(1-EXP(-LN(2)/25))/(LN(2)/25)*Calculateur!BL179*Calculateur!BN179*VLOOKUP('Données projet'!$B$11,Paramètres!$A$1:$I$89,3,0)*0.475*44/12</f>
        <v>0.4012635772201904</v>
      </c>
      <c r="BR179" s="21">
        <f>EXP(-LN(2)/2)*BR178+(1-EXP(-LN(2)/2))/(LN(2)/2)*BL179*BO179*VLOOKUP('Données projet'!$B$11,Paramètres!$A$1:$I$89,3,0)*0.475*44/12</f>
        <v>2.1201072274595422E-21</v>
      </c>
      <c r="BS179" s="22">
        <f t="shared" si="169"/>
        <v>0.57009184509639976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3.4106051316484809E-13</v>
      </c>
      <c r="BZ179" s="13">
        <f>BY179*VLOOKUP('Données projet'!$B$12,Paramètres!$A$1:$I$89,3,0)*VLOOKUP('Données projet'!$B$12,Paramètres!$A$1:$I$89,5,0)</f>
        <v>1.5961632016114892E-13</v>
      </c>
      <c r="CA179" s="13">
        <f t="shared" si="170"/>
        <v>2.2708641912150958E-12</v>
      </c>
      <c r="CB179" s="20">
        <f t="shared" si="171"/>
        <v>4.2330868906469593E-12</v>
      </c>
      <c r="CC179" s="59">
        <f t="shared" si="119"/>
        <v>293.33333333333752</v>
      </c>
      <c r="CD179" s="59">
        <f ca="1">AVERAGE(OFFSET($CC$3,0,0,'Données projet'!$E$12+1,1))-AVERAGE(OFFSET($H$3,0,0,'Données projet'!$E$12+1,1))</f>
        <v>158.58786357608489</v>
      </c>
      <c r="CE179" s="59">
        <f t="shared" si="148"/>
        <v>163.20074068819849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4.1677594708744434E-14</v>
      </c>
      <c r="CV179" s="13">
        <f t="shared" si="173"/>
        <v>6.9326303456159188E-13</v>
      </c>
      <c r="CW179" s="20">
        <f t="shared" si="174"/>
        <v>1.2800215959791691E-12</v>
      </c>
      <c r="CX179" s="59">
        <f t="shared" si="122"/>
        <v>293.33333333333462</v>
      </c>
      <c r="CY179" s="59">
        <f ca="1">AVERAGE(OFFSET($CX$3,0,0,'Données projet'!$E$13+1,1))-AVERAGE(OFFSET($H$3,0,0,'Données projet'!$E$13+1,1))</f>
        <v>178.12968684094687</v>
      </c>
      <c r="CZ179" s="59">
        <f t="shared" si="150"/>
        <v>219.36004077210373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0.13422207087671142</v>
      </c>
      <c r="DH179" s="21">
        <f>EXP(-LN(2)/2)*DH178+(1-EXP(-LN(2)/2))/(LN(2)/2)*DB179*DE179*VLOOKUP('Données projet'!$B$13,Paramètres!$A$1:$I$89,3,0)*0.475*44/12</f>
        <v>1.0500577023881193E-21</v>
      </c>
      <c r="DI179" s="22">
        <f t="shared" si="175"/>
        <v>0.13422207087671142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-8.5265128291212022E-14</v>
      </c>
      <c r="DP179" s="17">
        <f>DO179*VLOOKUP('Données projet'!$B$14,Paramètres!$A$1:$I$89,3,0)*VLOOKUP('Données projet'!$B$14,Paramètres!$A$1:$I$89,5,0)</f>
        <v>-7.7147888077888636E-14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225.28075317732998</v>
      </c>
      <c r="DU179" s="59">
        <f t="shared" si="152"/>
        <v>358.43407531256207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0.1245103951602026</v>
      </c>
      <c r="EB179" s="21">
        <f>EXP(-LN(2)/25)*EB178+(1-EXP(-LN(2)/25))/(LN(2)/25)*Calculateur!DW179*Calculateur!DY179*VLOOKUP('Données projet'!$B$14,Paramètres!$A$1:$I$89,3,0)*0.475*44/12</f>
        <v>0.14441035209432507</v>
      </c>
      <c r="EC179" s="21">
        <f>EXP(-LN(2)/2)*EC178+(1-EXP(-LN(2)/2))/(LN(2)/2)*DW179*DZ179*VLOOKUP('Données projet'!$B$14,Paramètres!$A$1:$I$89,3,0)*0.475*44/12</f>
        <v>4.6735266428191856E-22</v>
      </c>
      <c r="ED179" s="22">
        <f t="shared" si="178"/>
        <v>0.26892074725452764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-7.3896444519050419E-13</v>
      </c>
      <c r="EK179" s="17">
        <f>EJ179*VLOOKUP('Données projet'!$B$15,Paramètres!$A$1:$I$89,3,0)*VLOOKUP('Données projet'!$B$15,Paramètres!$A$1:$I$89,5,0)</f>
        <v>-7.4930994742317137E-13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363.98308691765931</v>
      </c>
      <c r="EP179" s="59">
        <f t="shared" si="154"/>
        <v>181.47089407988187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-7.3896444519050419E-13</v>
      </c>
      <c r="FF179" s="17">
        <f>FE179*VLOOKUP('Données projet'!$B$16,Paramètres!$A$1:$I$89,3,0)*VLOOKUP('Données projet'!$B$16,Paramètres!$A$1:$I$89,5,0)</f>
        <v>-7.954213288030586E-13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395.30533160963489</v>
      </c>
      <c r="FK179" s="59">
        <f t="shared" si="156"/>
        <v>196.02102977695085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227.99999999999986</v>
      </c>
      <c r="GA179" s="17">
        <f>FZ179*VLOOKUP('Données projet'!$B$17,Paramètres!$A$1:$I$89,3,0)*VLOOKUP('Données projet'!$B$17,Paramètres!$A$1:$I$89,5,0)</f>
        <v>238.30559999999986</v>
      </c>
      <c r="GB179" s="13">
        <f t="shared" si="185"/>
        <v>58.074821878967043</v>
      </c>
      <c r="GC179" s="20">
        <f t="shared" si="186"/>
        <v>516.19590143920061</v>
      </c>
      <c r="GD179" s="59">
        <f t="shared" si="134"/>
        <v>809.52923477253398</v>
      </c>
      <c r="GE179" s="59">
        <f ca="1">AVERAGE(OFFSET($GD$3,0,0,'Données projet'!$E$17+1,1))-AVERAGE(OFFSET($H$3,0,0,'Données projet'!$E$17+1,1))</f>
        <v>269.41185214595805</v>
      </c>
      <c r="GF179" s="59">
        <f t="shared" si="158"/>
        <v>299.70148160580993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0.35192925511062406</v>
      </c>
      <c r="GM179" s="21">
        <f>EXP(-LN(2)/25)*GM178+(1-EXP(-LN(2)/25))/(LN(2)/25)*Calculateur!GH179*Calculateur!GJ179*VLOOKUP('Données projet'!$B$17,Paramètres!$A$1:$I$89,3,0)*0.475*44/12</f>
        <v>0.28322286370884037</v>
      </c>
      <c r="GN179" s="21">
        <f>EXP(-LN(2)/2)*GN178+(1-EXP(-LN(2)/2))/(LN(2)/2)*GH179*GK179*VLOOKUP('Données projet'!$B$17,Paramètres!$A$1:$I$89,3,0)*0.475*44/12</f>
        <v>2.0232089814136695E-21</v>
      </c>
      <c r="GO179" s="21">
        <f t="shared" si="187"/>
        <v>0.63515211881946443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5.6843418860808015E-14</v>
      </c>
      <c r="GV179" s="17">
        <f>GU179*VLOOKUP('Données projet'!$B$18,Paramètres!$A$1:$I$89,3,0)*VLOOKUP('Données projet'!$B$18,Paramètres!$A$1:$I$89,5,0)</f>
        <v>4.9658410716801891E-14</v>
      </c>
      <c r="GW179" s="13">
        <f t="shared" si="188"/>
        <v>8.0934058173791862E-13</v>
      </c>
      <c r="GX179" s="20">
        <f t="shared" si="189"/>
        <v>1.4960899118586383E-12</v>
      </c>
      <c r="GY179" s="59">
        <f t="shared" si="137"/>
        <v>293.33333333333479</v>
      </c>
      <c r="GZ179" s="59">
        <f ca="1">AVERAGE(OFFSET($GY$3,0,0,'Données projet'!$E$18+1,1))-AVERAGE(OFFSET($H$3,0,0,'Données projet'!$E$18+1,1))</f>
        <v>226.35975611953359</v>
      </c>
      <c r="HA179" s="59">
        <f t="shared" si="160"/>
        <v>271.65876694892461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0.19711583689365644</v>
      </c>
      <c r="HI179" s="21">
        <f>EXP(-LN(2)/2)*HI178+(1-EXP(-LN(2)/2))/(LN(2)/2)*HC179*HF179*VLOOKUP('Données projet'!$B$18,Paramètres!$A$1:$I$89,3,0)*0.475*44/12</f>
        <v>1.2511325815688227E-21</v>
      </c>
      <c r="HJ179" s="22">
        <f t="shared" si="190"/>
        <v>0.19711583689365644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-7.3896444519050419E-13</v>
      </c>
      <c r="O180" s="13">
        <f>N180*VLOOKUP('Données projet'!$B$9,Paramètres!$A$1:$I$89,3,0)*VLOOKUP('Données projet'!$B$9,Paramètres!$A$1:$I$89,5,0)</f>
        <v>-6.6861503000836817E-13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309.07357540707869</v>
      </c>
      <c r="T180" s="59">
        <f t="shared" si="142"/>
        <v>155.9593924683299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227.99999999999986</v>
      </c>
      <c r="AJ180" s="13">
        <f>AI180*VLOOKUP('Données projet'!$B$10,Paramètres!$A$1:$I$89,3,0)*VLOOKUP('Données projet'!$B$10,Paramètres!$A$1:$I$89,5,0)</f>
        <v>199.18079999999992</v>
      </c>
      <c r="AK180" s="13">
        <f t="shared" si="164"/>
        <v>49.564089376413683</v>
      </c>
      <c r="AL180" s="20">
        <f t="shared" si="165"/>
        <v>433.23068233058694</v>
      </c>
      <c r="AM180" s="59">
        <f t="shared" si="113"/>
        <v>726.56401566392026</v>
      </c>
      <c r="AN180" s="59">
        <f ca="1">AVERAGE(OFFSET($AM$3,0,0,'Données projet'!$E$10+1,1))-AVERAGE(OFFSET($H$3,0,0,'Données projet'!$E$10+1,1))</f>
        <v>210.07838338464626</v>
      </c>
      <c r="AO180" s="59">
        <f t="shared" si="144"/>
        <v>241.76003724236273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0.2883817265092401</v>
      </c>
      <c r="AV180" s="21">
        <f>EXP(-LN(2)/25)*AV179+(1-EXP(-LN(2)/25))/(LN(2)/25)*Calculateur!AQ180*Calculateur!AS180*VLOOKUP('Données projet'!$B$10,Paramètres!$A$1:$I$89,3,0)*0.475*44/12</f>
        <v>0.23025036862647799</v>
      </c>
      <c r="AW180" s="21">
        <f>EXP(-LN(2)/2)*AW179+(1-EXP(-LN(2)/2))/(LN(2)/2)*AQ180*AT180*VLOOKUP('Données projet'!$B$10,Paramètres!$A$1:$I$89,3,0)*0.475*44/12</f>
        <v>1.1957460935649004E-21</v>
      </c>
      <c r="AX180" s="21">
        <f t="shared" si="166"/>
        <v>0.51863209513571806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2.2737367544323206E-13</v>
      </c>
      <c r="BE180" s="13">
        <f>BD180*VLOOKUP('Données projet'!$B$11,Paramètres!$A$1:$I$89,3,0)*VLOOKUP('Données projet'!$B$11,Paramètres!$A$1:$I$89,5,0)</f>
        <v>1.2414602679200471E-13</v>
      </c>
      <c r="BF180" s="13">
        <f t="shared" si="167"/>
        <v>1.8186582995804361E-12</v>
      </c>
      <c r="BG180" s="20">
        <f t="shared" si="168"/>
        <v>3.3837175350986671E-12</v>
      </c>
      <c r="BH180" s="59">
        <f t="shared" si="116"/>
        <v>293.33333333333672</v>
      </c>
      <c r="BI180" s="59">
        <f ca="1">AVERAGE(OFFSET($BH$3,0,0,'Données projet'!$E$11+1,1))-AVERAGE(OFFSET($H$3,0,0,'Données projet'!$E$11+1,1))</f>
        <v>168.72306536277267</v>
      </c>
      <c r="BJ180" s="59">
        <f t="shared" si="146"/>
        <v>203.35476578922339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0.16551764851823234</v>
      </c>
      <c r="BQ180" s="21">
        <f>EXP(-LN(2)/25)*BQ179+(1-EXP(-LN(2)/25))/(LN(2)/25)*Calculateur!BL180*Calculateur!BN180*VLOOKUP('Données projet'!$B$11,Paramètres!$A$1:$I$89,3,0)*0.475*44/12</f>
        <v>0.39029100359956986</v>
      </c>
      <c r="BR180" s="21">
        <f>EXP(-LN(2)/2)*BR179+(1-EXP(-LN(2)/2))/(LN(2)/2)*BL180*BO180*VLOOKUP('Données projet'!$B$11,Paramètres!$A$1:$I$89,3,0)*0.475*44/12</f>
        <v>1.4991421973792525E-21</v>
      </c>
      <c r="BS180" s="22">
        <f t="shared" si="169"/>
        <v>0.55580865211780217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3.4106051316484809E-13</v>
      </c>
      <c r="BZ180" s="13">
        <f>BY180*VLOOKUP('Données projet'!$B$12,Paramètres!$A$1:$I$89,3,0)*VLOOKUP('Données projet'!$B$12,Paramètres!$A$1:$I$89,5,0)</f>
        <v>1.5961632016114892E-13</v>
      </c>
      <c r="CA180" s="13">
        <f t="shared" si="170"/>
        <v>2.2708641912150958E-12</v>
      </c>
      <c r="CB180" s="20">
        <f t="shared" si="171"/>
        <v>4.2330868906469593E-12</v>
      </c>
      <c r="CC180" s="59">
        <f t="shared" si="119"/>
        <v>293.33333333333752</v>
      </c>
      <c r="CD180" s="59">
        <f ca="1">AVERAGE(OFFSET($CC$3,0,0,'Données projet'!$E$12+1,1))-AVERAGE(OFFSET($H$3,0,0,'Données projet'!$E$12+1,1))</f>
        <v>158.58786357608489</v>
      </c>
      <c r="CE180" s="59">
        <f t="shared" si="148"/>
        <v>163.20074068819849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4.1677594708744434E-14</v>
      </c>
      <c r="CV180" s="13">
        <f t="shared" si="173"/>
        <v>6.9326303456159188E-13</v>
      </c>
      <c r="CW180" s="20">
        <f t="shared" si="174"/>
        <v>1.2800215959791691E-12</v>
      </c>
      <c r="CX180" s="59">
        <f t="shared" si="122"/>
        <v>293.33333333333462</v>
      </c>
      <c r="CY180" s="59">
        <f ca="1">AVERAGE(OFFSET($CX$3,0,0,'Données projet'!$E$13+1,1))-AVERAGE(OFFSET($H$3,0,0,'Données projet'!$E$13+1,1))</f>
        <v>178.12968684094687</v>
      </c>
      <c r="CZ180" s="59">
        <f t="shared" si="150"/>
        <v>219.36004077210373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0.1305517612901558</v>
      </c>
      <c r="DH180" s="21">
        <f>EXP(-LN(2)/2)*DH179+(1-EXP(-LN(2)/2))/(LN(2)/2)*DB180*DE180*VLOOKUP('Données projet'!$B$13,Paramètres!$A$1:$I$89,3,0)*0.475*44/12</f>
        <v>7.4250292199580473E-22</v>
      </c>
      <c r="DI180" s="22">
        <f t="shared" si="175"/>
        <v>0.1305517612901558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-8.5265128291212022E-14</v>
      </c>
      <c r="DP180" s="17">
        <f>DO180*VLOOKUP('Données projet'!$B$14,Paramètres!$A$1:$I$89,3,0)*VLOOKUP('Données projet'!$B$14,Paramètres!$A$1:$I$89,5,0)</f>
        <v>-7.7147888077888636E-14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225.28075317732998</v>
      </c>
      <c r="DU180" s="59">
        <f t="shared" si="152"/>
        <v>358.43407531256207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0.12206882225495325</v>
      </c>
      <c r="EB180" s="21">
        <f>EXP(-LN(2)/25)*EB179+(1-EXP(-LN(2)/25))/(LN(2)/25)*Calculateur!DW180*Calculateur!DY180*VLOOKUP('Données projet'!$B$14,Paramètres!$A$1:$I$89,3,0)*0.475*44/12</f>
        <v>0.14046144342209538</v>
      </c>
      <c r="EC180" s="21">
        <f>EXP(-LN(2)/2)*EC179+(1-EXP(-LN(2)/2))/(LN(2)/2)*DW180*DZ180*VLOOKUP('Données projet'!$B$14,Paramètres!$A$1:$I$89,3,0)*0.475*44/12</f>
        <v>3.3046823811934459E-22</v>
      </c>
      <c r="ED180" s="22">
        <f t="shared" si="178"/>
        <v>0.26253026567704862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-7.3896444519050419E-13</v>
      </c>
      <c r="EK180" s="17">
        <f>EJ180*VLOOKUP('Données projet'!$B$15,Paramètres!$A$1:$I$89,3,0)*VLOOKUP('Données projet'!$B$15,Paramètres!$A$1:$I$89,5,0)</f>
        <v>-7.4930994742317137E-13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363.98308691765931</v>
      </c>
      <c r="EP180" s="59">
        <f t="shared" si="154"/>
        <v>181.47089407988187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-7.3896444519050419E-13</v>
      </c>
      <c r="FF180" s="17">
        <f>FE180*VLOOKUP('Données projet'!$B$16,Paramètres!$A$1:$I$89,3,0)*VLOOKUP('Données projet'!$B$16,Paramètres!$A$1:$I$89,5,0)</f>
        <v>-7.954213288030586E-13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395.30533160963489</v>
      </c>
      <c r="FK180" s="59">
        <f t="shared" si="156"/>
        <v>196.02102977695085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227.99999999999986</v>
      </c>
      <c r="GA180" s="17">
        <f>FZ180*VLOOKUP('Données projet'!$B$17,Paramètres!$A$1:$I$89,3,0)*VLOOKUP('Données projet'!$B$17,Paramètres!$A$1:$I$89,5,0)</f>
        <v>238.30559999999986</v>
      </c>
      <c r="GB180" s="13">
        <f t="shared" si="185"/>
        <v>58.074821878967043</v>
      </c>
      <c r="GC180" s="20">
        <f t="shared" si="186"/>
        <v>516.19590143920061</v>
      </c>
      <c r="GD180" s="59">
        <f t="shared" si="134"/>
        <v>809.52923477253398</v>
      </c>
      <c r="GE180" s="59">
        <f ca="1">AVERAGE(OFFSET($GD$3,0,0,'Données projet'!$E$17+1,1))-AVERAGE(OFFSET($H$3,0,0,'Données projet'!$E$17+1,1))</f>
        <v>269.41185214595805</v>
      </c>
      <c r="GF180" s="59">
        <f t="shared" si="158"/>
        <v>299.70148160580993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0.34502813707355484</v>
      </c>
      <c r="GM180" s="21">
        <f>EXP(-LN(2)/25)*GM179+(1-EXP(-LN(2)/25))/(LN(2)/25)*Calculateur!GH180*Calculateur!GJ180*VLOOKUP('Données projet'!$B$17,Paramètres!$A$1:$I$89,3,0)*0.475*44/12</f>
        <v>0.27547811960667906</v>
      </c>
      <c r="GN180" s="21">
        <f>EXP(-LN(2)/2)*GN179+(1-EXP(-LN(2)/2))/(LN(2)/2)*GH180*GK180*VLOOKUP('Données projet'!$B$17,Paramètres!$A$1:$I$89,3,0)*0.475*44/12</f>
        <v>1.4306247905151333E-21</v>
      </c>
      <c r="GO180" s="21">
        <f t="shared" si="187"/>
        <v>0.62050625668023396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5.6843418860808015E-14</v>
      </c>
      <c r="GV180" s="17">
        <f>GU180*VLOOKUP('Données projet'!$B$18,Paramètres!$A$1:$I$89,3,0)*VLOOKUP('Données projet'!$B$18,Paramètres!$A$1:$I$89,5,0)</f>
        <v>4.9658410716801891E-14</v>
      </c>
      <c r="GW180" s="13">
        <f t="shared" si="188"/>
        <v>8.0934058173791862E-13</v>
      </c>
      <c r="GX180" s="20">
        <f t="shared" si="189"/>
        <v>1.4960899118586383E-12</v>
      </c>
      <c r="GY180" s="59">
        <f t="shared" si="137"/>
        <v>293.33333333333479</v>
      </c>
      <c r="GZ180" s="59">
        <f ca="1">AVERAGE(OFFSET($GY$3,0,0,'Données projet'!$E$18+1,1))-AVERAGE(OFFSET($H$3,0,0,'Données projet'!$E$18+1,1))</f>
        <v>226.35975611953359</v>
      </c>
      <c r="HA180" s="59">
        <f t="shared" si="160"/>
        <v>271.65876694892461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0.19172569396792807</v>
      </c>
      <c r="HI180" s="21">
        <f>EXP(-LN(2)/2)*HI179+(1-EXP(-LN(2)/2))/(LN(2)/2)*HC180*HF180*VLOOKUP('Données projet'!$B$18,Paramètres!$A$1:$I$89,3,0)*0.475*44/12</f>
        <v>8.8468433259074582E-22</v>
      </c>
      <c r="HJ180" s="22">
        <f t="shared" si="190"/>
        <v>0.19172569396792807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-7.3896444519050419E-13</v>
      </c>
      <c r="O181" s="13">
        <f>N181*VLOOKUP('Données projet'!$B$9,Paramètres!$A$1:$I$89,3,0)*VLOOKUP('Données projet'!$B$9,Paramètres!$A$1:$I$89,5,0)</f>
        <v>-6.6861503000836817E-13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309.07357540707869</v>
      </c>
      <c r="T181" s="59">
        <f t="shared" si="142"/>
        <v>155.9593924683299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227.99999999999986</v>
      </c>
      <c r="AJ181" s="13">
        <f>AI181*VLOOKUP('Données projet'!$B$10,Paramètres!$A$1:$I$89,3,0)*VLOOKUP('Données projet'!$B$10,Paramètres!$A$1:$I$89,5,0)</f>
        <v>199.18079999999992</v>
      </c>
      <c r="AK181" s="13">
        <f t="shared" si="164"/>
        <v>49.564089376413683</v>
      </c>
      <c r="AL181" s="20">
        <f t="shared" si="165"/>
        <v>433.23068233058694</v>
      </c>
      <c r="AM181" s="59">
        <f t="shared" si="113"/>
        <v>726.56401566392026</v>
      </c>
      <c r="AN181" s="59">
        <f ca="1">AVERAGE(OFFSET($AM$3,0,0,'Données projet'!$E$10+1,1))-AVERAGE(OFFSET($H$3,0,0,'Données projet'!$E$10+1,1))</f>
        <v>210.07838338464626</v>
      </c>
      <c r="AO181" s="59">
        <f t="shared" si="144"/>
        <v>241.76003724236273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0.28272673674787885</v>
      </c>
      <c r="AV181" s="21">
        <f>EXP(-LN(2)/25)*AV180+(1-EXP(-LN(2)/25))/(LN(2)/25)*Calculateur!AQ181*Calculateur!AS181*VLOOKUP('Données projet'!$B$10,Paramètres!$A$1:$I$89,3,0)*0.475*44/12</f>
        <v>0.22395416018804631</v>
      </c>
      <c r="AW181" s="21">
        <f>EXP(-LN(2)/2)*AW180+(1-EXP(-LN(2)/2))/(LN(2)/2)*AQ181*AT181*VLOOKUP('Données projet'!$B$10,Paramètres!$A$1:$I$89,3,0)*0.475*44/12</f>
        <v>8.4552017133706503E-22</v>
      </c>
      <c r="AX181" s="21">
        <f t="shared" si="166"/>
        <v>0.50668089693592511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2.2737367544323206E-13</v>
      </c>
      <c r="BE181" s="13">
        <f>BD181*VLOOKUP('Données projet'!$B$11,Paramètres!$A$1:$I$89,3,0)*VLOOKUP('Données projet'!$B$11,Paramètres!$A$1:$I$89,5,0)</f>
        <v>1.2414602679200471E-13</v>
      </c>
      <c r="BF181" s="13">
        <f t="shared" si="167"/>
        <v>1.8186582995804361E-12</v>
      </c>
      <c r="BG181" s="20">
        <f t="shared" si="168"/>
        <v>3.3837175350986671E-12</v>
      </c>
      <c r="BH181" s="59">
        <f t="shared" si="116"/>
        <v>293.33333333333672</v>
      </c>
      <c r="BI181" s="59">
        <f ca="1">AVERAGE(OFFSET($BH$3,0,0,'Données projet'!$E$11+1,1))-AVERAGE(OFFSET($H$3,0,0,'Données projet'!$E$11+1,1))</f>
        <v>168.72306536277267</v>
      </c>
      <c r="BJ181" s="59">
        <f t="shared" si="146"/>
        <v>203.35476578922339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0.16227194838658685</v>
      </c>
      <c r="BQ181" s="21">
        <f>EXP(-LN(2)/25)*BQ180+(1-EXP(-LN(2)/25))/(LN(2)/25)*Calculateur!BL181*Calculateur!BN181*VLOOKUP('Données projet'!$B$11,Paramètres!$A$1:$I$89,3,0)*0.475*44/12</f>
        <v>0.37961847558162776</v>
      </c>
      <c r="BR181" s="21">
        <f>EXP(-LN(2)/2)*BR180+(1-EXP(-LN(2)/2))/(LN(2)/2)*BL181*BO181*VLOOKUP('Données projet'!$B$11,Paramètres!$A$1:$I$89,3,0)*0.475*44/12</f>
        <v>1.0600536137297711E-21</v>
      </c>
      <c r="BS181" s="22">
        <f t="shared" si="169"/>
        <v>0.54189042396821463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3.4106051316484809E-13</v>
      </c>
      <c r="BZ181" s="13">
        <f>BY181*VLOOKUP('Données projet'!$B$12,Paramètres!$A$1:$I$89,3,0)*VLOOKUP('Données projet'!$B$12,Paramètres!$A$1:$I$89,5,0)</f>
        <v>1.5961632016114892E-13</v>
      </c>
      <c r="CA181" s="13">
        <f t="shared" si="170"/>
        <v>2.2708641912150958E-12</v>
      </c>
      <c r="CB181" s="20">
        <f t="shared" si="171"/>
        <v>4.2330868906469593E-12</v>
      </c>
      <c r="CC181" s="59">
        <f t="shared" si="119"/>
        <v>293.33333333333752</v>
      </c>
      <c r="CD181" s="59">
        <f ca="1">AVERAGE(OFFSET($CC$3,0,0,'Données projet'!$E$12+1,1))-AVERAGE(OFFSET($H$3,0,0,'Données projet'!$E$12+1,1))</f>
        <v>158.58786357608489</v>
      </c>
      <c r="CE181" s="59">
        <f t="shared" si="148"/>
        <v>163.20074068819849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4.1677594708744434E-14</v>
      </c>
      <c r="CV181" s="13">
        <f t="shared" si="173"/>
        <v>6.9326303456159188E-13</v>
      </c>
      <c r="CW181" s="20">
        <f t="shared" si="174"/>
        <v>1.2800215959791691E-12</v>
      </c>
      <c r="CX181" s="59">
        <f t="shared" si="122"/>
        <v>293.33333333333462</v>
      </c>
      <c r="CY181" s="59">
        <f ca="1">AVERAGE(OFFSET($CX$3,0,0,'Données projet'!$E$13+1,1))-AVERAGE(OFFSET($H$3,0,0,'Données projet'!$E$13+1,1))</f>
        <v>178.12968684094687</v>
      </c>
      <c r="CZ181" s="59">
        <f t="shared" si="150"/>
        <v>219.36004077210373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0.12698181651225776</v>
      </c>
      <c r="DH181" s="21">
        <f>EXP(-LN(2)/2)*DH180+(1-EXP(-LN(2)/2))/(LN(2)/2)*DB181*DE181*VLOOKUP('Données projet'!$B$13,Paramètres!$A$1:$I$89,3,0)*0.475*44/12</f>
        <v>5.2502885119405965E-22</v>
      </c>
      <c r="DI181" s="22">
        <f t="shared" si="175"/>
        <v>0.12698181651225776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-8.5265128291212022E-14</v>
      </c>
      <c r="DP181" s="17">
        <f>DO181*VLOOKUP('Données projet'!$B$14,Paramètres!$A$1:$I$89,3,0)*VLOOKUP('Données projet'!$B$14,Paramètres!$A$1:$I$89,5,0)</f>
        <v>-7.7147888077888636E-14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225.28075317732998</v>
      </c>
      <c r="DU181" s="59">
        <f t="shared" si="152"/>
        <v>358.43407531256207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0.1196751271051634</v>
      </c>
      <c r="EB181" s="21">
        <f>EXP(-LN(2)/25)*EB180+(1-EXP(-LN(2)/25))/(LN(2)/25)*Calculateur!DW181*Calculateur!DY181*VLOOKUP('Données projet'!$B$14,Paramètres!$A$1:$I$89,3,0)*0.475*44/12</f>
        <v>0.1366205178651719</v>
      </c>
      <c r="EC181" s="21">
        <f>EXP(-LN(2)/2)*EC180+(1-EXP(-LN(2)/2))/(LN(2)/2)*DW181*DZ181*VLOOKUP('Données projet'!$B$14,Paramètres!$A$1:$I$89,3,0)*0.475*44/12</f>
        <v>2.3367633214095928E-22</v>
      </c>
      <c r="ED181" s="22">
        <f t="shared" si="178"/>
        <v>0.2562956449703353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-7.3896444519050419E-13</v>
      </c>
      <c r="EK181" s="17">
        <f>EJ181*VLOOKUP('Données projet'!$B$15,Paramètres!$A$1:$I$89,3,0)*VLOOKUP('Données projet'!$B$15,Paramètres!$A$1:$I$89,5,0)</f>
        <v>-7.4930994742317137E-13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363.98308691765931</v>
      </c>
      <c r="EP181" s="59">
        <f t="shared" si="154"/>
        <v>181.47089407988187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-7.3896444519050419E-13</v>
      </c>
      <c r="FF181" s="17">
        <f>FE181*VLOOKUP('Données projet'!$B$16,Paramètres!$A$1:$I$89,3,0)*VLOOKUP('Données projet'!$B$16,Paramètres!$A$1:$I$89,5,0)</f>
        <v>-7.954213288030586E-13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395.30533160963489</v>
      </c>
      <c r="FK181" s="59">
        <f t="shared" si="156"/>
        <v>196.02102977695085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227.99999999999986</v>
      </c>
      <c r="GA181" s="17">
        <f>FZ181*VLOOKUP('Données projet'!$B$17,Paramètres!$A$1:$I$89,3,0)*VLOOKUP('Données projet'!$B$17,Paramètres!$A$1:$I$89,5,0)</f>
        <v>238.30559999999986</v>
      </c>
      <c r="GB181" s="13">
        <f t="shared" si="185"/>
        <v>58.074821878967043</v>
      </c>
      <c r="GC181" s="20">
        <f t="shared" si="186"/>
        <v>516.19590143920061</v>
      </c>
      <c r="GD181" s="59">
        <f t="shared" si="134"/>
        <v>809.52923477253398</v>
      </c>
      <c r="GE181" s="59">
        <f ca="1">AVERAGE(OFFSET($GD$3,0,0,'Données projet'!$E$17+1,1))-AVERAGE(OFFSET($H$3,0,0,'Données projet'!$E$17+1,1))</f>
        <v>269.41185214595805</v>
      </c>
      <c r="GF181" s="59">
        <f t="shared" si="158"/>
        <v>299.70148160580993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0.33826234575192621</v>
      </c>
      <c r="GM181" s="21">
        <f>EXP(-LN(2)/25)*GM180+(1-EXP(-LN(2)/25))/(LN(2)/25)*Calculateur!GH181*Calculateur!GJ181*VLOOKUP('Données projet'!$B$17,Paramètres!$A$1:$I$89,3,0)*0.475*44/12</f>
        <v>0.26794515593926971</v>
      </c>
      <c r="GN181" s="21">
        <f>EXP(-LN(2)/2)*GN180+(1-EXP(-LN(2)/2))/(LN(2)/2)*GH181*GK181*VLOOKUP('Données projet'!$B$17,Paramètres!$A$1:$I$89,3,0)*0.475*44/12</f>
        <v>1.0116044907068347E-21</v>
      </c>
      <c r="GO181" s="21">
        <f t="shared" si="187"/>
        <v>0.60620750169119586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5.6843418860808015E-14</v>
      </c>
      <c r="GV181" s="17">
        <f>GU181*VLOOKUP('Données projet'!$B$18,Paramètres!$A$1:$I$89,3,0)*VLOOKUP('Données projet'!$B$18,Paramètres!$A$1:$I$89,5,0)</f>
        <v>4.9658410716801891E-14</v>
      </c>
      <c r="GW181" s="13">
        <f t="shared" si="188"/>
        <v>8.0934058173791862E-13</v>
      </c>
      <c r="GX181" s="20">
        <f t="shared" si="189"/>
        <v>1.4960899118586383E-12</v>
      </c>
      <c r="GY181" s="59">
        <f t="shared" si="137"/>
        <v>293.33333333333479</v>
      </c>
      <c r="GZ181" s="59">
        <f ca="1">AVERAGE(OFFSET($GY$3,0,0,'Données projet'!$E$18+1,1))-AVERAGE(OFFSET($H$3,0,0,'Données projet'!$E$18+1,1))</f>
        <v>226.35975611953359</v>
      </c>
      <c r="HA181" s="59">
        <f t="shared" si="160"/>
        <v>271.65876694892461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0.18648294478395902</v>
      </c>
      <c r="HI181" s="21">
        <f>EXP(-LN(2)/2)*HI180+(1-EXP(-LN(2)/2))/(LN(2)/2)*HC181*HF181*VLOOKUP('Données projet'!$B$18,Paramètres!$A$1:$I$89,3,0)*0.475*44/12</f>
        <v>6.2556629078441136E-22</v>
      </c>
      <c r="HJ181" s="22">
        <f t="shared" si="190"/>
        <v>0.18648294478395902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-7.3896444519050419E-13</v>
      </c>
      <c r="O182" s="13">
        <f>N182*VLOOKUP('Données projet'!$B$9,Paramètres!$A$1:$I$89,3,0)*VLOOKUP('Données projet'!$B$9,Paramètres!$A$1:$I$89,5,0)</f>
        <v>-6.6861503000836817E-13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309.07357540707869</v>
      </c>
      <c r="T182" s="59">
        <f t="shared" si="142"/>
        <v>155.9593924683299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227.99999999999986</v>
      </c>
      <c r="AJ182" s="13">
        <f>AI182*VLOOKUP('Données projet'!$B$10,Paramètres!$A$1:$I$89,3,0)*VLOOKUP('Données projet'!$B$10,Paramètres!$A$1:$I$89,5,0)</f>
        <v>199.18079999999992</v>
      </c>
      <c r="AK182" s="13">
        <f t="shared" si="164"/>
        <v>49.564089376413683</v>
      </c>
      <c r="AL182" s="20">
        <f t="shared" si="165"/>
        <v>433.23068233058694</v>
      </c>
      <c r="AM182" s="59">
        <f t="shared" si="113"/>
        <v>726.56401566392026</v>
      </c>
      <c r="AN182" s="59">
        <f ca="1">AVERAGE(OFFSET($AM$3,0,0,'Données projet'!$E$10+1,1))-AVERAGE(OFFSET($H$3,0,0,'Données projet'!$E$10+1,1))</f>
        <v>210.07838338464626</v>
      </c>
      <c r="AO182" s="59">
        <f t="shared" si="144"/>
        <v>241.76003724236273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0.27718263788653469</v>
      </c>
      <c r="AV182" s="21">
        <f>EXP(-LN(2)/25)*AV181+(1-EXP(-LN(2)/25))/(LN(2)/25)*Calculateur!AQ182*Calculateur!AS182*VLOOKUP('Données projet'!$B$10,Paramètres!$A$1:$I$89,3,0)*0.475*44/12</f>
        <v>0.21783012190046674</v>
      </c>
      <c r="AW182" s="21">
        <f>EXP(-LN(2)/2)*AW181+(1-EXP(-LN(2)/2))/(LN(2)/2)*AQ182*AT182*VLOOKUP('Données projet'!$B$10,Paramètres!$A$1:$I$89,3,0)*0.475*44/12</f>
        <v>5.9787304678245028E-22</v>
      </c>
      <c r="AX182" s="21">
        <f t="shared" si="166"/>
        <v>0.49501275978700143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2.2737367544323206E-13</v>
      </c>
      <c r="BE182" s="13">
        <f>BD182*VLOOKUP('Données projet'!$B$11,Paramètres!$A$1:$I$89,3,0)*VLOOKUP('Données projet'!$B$11,Paramètres!$A$1:$I$89,5,0)</f>
        <v>1.2414602679200471E-13</v>
      </c>
      <c r="BF182" s="13">
        <f t="shared" si="167"/>
        <v>1.8186582995804361E-12</v>
      </c>
      <c r="BG182" s="20">
        <f t="shared" si="168"/>
        <v>3.3837175350986671E-12</v>
      </c>
      <c r="BH182" s="59">
        <f t="shared" si="116"/>
        <v>293.33333333333672</v>
      </c>
      <c r="BI182" s="59">
        <f ca="1">AVERAGE(OFFSET($BH$3,0,0,'Données projet'!$E$11+1,1))-AVERAGE(OFFSET($H$3,0,0,'Données projet'!$E$11+1,1))</f>
        <v>168.72306536277267</v>
      </c>
      <c r="BJ182" s="59">
        <f t="shared" si="146"/>
        <v>203.35476578922339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0.15908989445484131</v>
      </c>
      <c r="BQ182" s="21">
        <f>EXP(-LN(2)/25)*BQ181+(1-EXP(-LN(2)/25))/(LN(2)/25)*Calculateur!BL182*Calculateur!BN182*VLOOKUP('Données projet'!$B$11,Paramètres!$A$1:$I$89,3,0)*0.475*44/12</f>
        <v>0.36923778840358012</v>
      </c>
      <c r="BR182" s="21">
        <f>EXP(-LN(2)/2)*BR181+(1-EXP(-LN(2)/2))/(LN(2)/2)*BL182*BO182*VLOOKUP('Données projet'!$B$11,Paramètres!$A$1:$I$89,3,0)*0.475*44/12</f>
        <v>7.4957109868962623E-22</v>
      </c>
      <c r="BS182" s="22">
        <f t="shared" si="169"/>
        <v>0.52832768285842147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3.4106051316484809E-13</v>
      </c>
      <c r="BZ182" s="13">
        <f>BY182*VLOOKUP('Données projet'!$B$12,Paramètres!$A$1:$I$89,3,0)*VLOOKUP('Données projet'!$B$12,Paramètres!$A$1:$I$89,5,0)</f>
        <v>1.5961632016114892E-13</v>
      </c>
      <c r="CA182" s="13">
        <f t="shared" si="170"/>
        <v>2.2708641912150958E-12</v>
      </c>
      <c r="CB182" s="20">
        <f t="shared" si="171"/>
        <v>4.2330868906469593E-12</v>
      </c>
      <c r="CC182" s="59">
        <f t="shared" si="119"/>
        <v>293.33333333333752</v>
      </c>
      <c r="CD182" s="59">
        <f ca="1">AVERAGE(OFFSET($CC$3,0,0,'Données projet'!$E$12+1,1))-AVERAGE(OFFSET($H$3,0,0,'Données projet'!$E$12+1,1))</f>
        <v>158.58786357608489</v>
      </c>
      <c r="CE182" s="59">
        <f t="shared" si="148"/>
        <v>163.20074068819849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4.1677594708744434E-14</v>
      </c>
      <c r="CV182" s="13">
        <f t="shared" si="173"/>
        <v>6.9326303456159188E-13</v>
      </c>
      <c r="CW182" s="20">
        <f t="shared" si="174"/>
        <v>1.2800215959791691E-12</v>
      </c>
      <c r="CX182" s="59">
        <f t="shared" si="122"/>
        <v>293.33333333333462</v>
      </c>
      <c r="CY182" s="59">
        <f ca="1">AVERAGE(OFFSET($CX$3,0,0,'Données projet'!$E$13+1,1))-AVERAGE(OFFSET($H$3,0,0,'Données projet'!$E$13+1,1))</f>
        <v>178.12968684094687</v>
      </c>
      <c r="CZ182" s="59">
        <f t="shared" si="150"/>
        <v>219.36004077210373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0.12350949206204656</v>
      </c>
      <c r="DH182" s="21">
        <f>EXP(-LN(2)/2)*DH181+(1-EXP(-LN(2)/2))/(LN(2)/2)*DB182*DE182*VLOOKUP('Données projet'!$B$13,Paramètres!$A$1:$I$89,3,0)*0.475*44/12</f>
        <v>3.7125146099790237E-22</v>
      </c>
      <c r="DI182" s="22">
        <f t="shared" si="175"/>
        <v>0.12350949206204656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-8.5265128291212022E-14</v>
      </c>
      <c r="DP182" s="17">
        <f>DO182*VLOOKUP('Données projet'!$B$14,Paramètres!$A$1:$I$89,3,0)*VLOOKUP('Données projet'!$B$14,Paramètres!$A$1:$I$89,5,0)</f>
        <v>-7.7147888077888636E-14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225.28075317732998</v>
      </c>
      <c r="DU182" s="59">
        <f t="shared" si="152"/>
        <v>358.43407531256207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0.11732837085725106</v>
      </c>
      <c r="EB182" s="21">
        <f>EXP(-LN(2)/25)*EB181+(1-EXP(-LN(2)/25))/(LN(2)/25)*Calculateur!DW182*Calculateur!DY182*VLOOKUP('Données projet'!$B$14,Paramètres!$A$1:$I$89,3,0)*0.475*44/12</f>
        <v>0.132884622619588</v>
      </c>
      <c r="EC182" s="21">
        <f>EXP(-LN(2)/2)*EC181+(1-EXP(-LN(2)/2))/(LN(2)/2)*DW182*DZ182*VLOOKUP('Données projet'!$B$14,Paramètres!$A$1:$I$89,3,0)*0.475*44/12</f>
        <v>1.652341190596723E-22</v>
      </c>
      <c r="ED182" s="22">
        <f t="shared" si="178"/>
        <v>0.25021299347683906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-7.3896444519050419E-13</v>
      </c>
      <c r="EK182" s="17">
        <f>EJ182*VLOOKUP('Données projet'!$B$15,Paramètres!$A$1:$I$89,3,0)*VLOOKUP('Données projet'!$B$15,Paramètres!$A$1:$I$89,5,0)</f>
        <v>-7.4930994742317137E-13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363.98308691765931</v>
      </c>
      <c r="EP182" s="59">
        <f t="shared" si="154"/>
        <v>181.47089407988187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-7.3896444519050419E-13</v>
      </c>
      <c r="FF182" s="17">
        <f>FE182*VLOOKUP('Données projet'!$B$16,Paramètres!$A$1:$I$89,3,0)*VLOOKUP('Données projet'!$B$16,Paramètres!$A$1:$I$89,5,0)</f>
        <v>-7.954213288030586E-13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395.30533160963489</v>
      </c>
      <c r="FK182" s="59">
        <f t="shared" si="156"/>
        <v>196.02102977695085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227.99999999999986</v>
      </c>
      <c r="GA182" s="17">
        <f>FZ182*VLOOKUP('Données projet'!$B$17,Paramètres!$A$1:$I$89,3,0)*VLOOKUP('Données projet'!$B$17,Paramètres!$A$1:$I$89,5,0)</f>
        <v>238.30559999999986</v>
      </c>
      <c r="GB182" s="13">
        <f t="shared" si="185"/>
        <v>58.074821878967043</v>
      </c>
      <c r="GC182" s="20">
        <f t="shared" si="186"/>
        <v>516.19590143920061</v>
      </c>
      <c r="GD182" s="59">
        <f t="shared" si="134"/>
        <v>809.52923477253398</v>
      </c>
      <c r="GE182" s="59">
        <f ca="1">AVERAGE(OFFSET($GD$3,0,0,'Données projet'!$E$17+1,1))-AVERAGE(OFFSET($H$3,0,0,'Données projet'!$E$17+1,1))</f>
        <v>269.41185214595805</v>
      </c>
      <c r="GF182" s="59">
        <f t="shared" si="158"/>
        <v>299.70148160580993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0.33162922747138945</v>
      </c>
      <c r="GM182" s="21">
        <f>EXP(-LN(2)/25)*GM181+(1-EXP(-LN(2)/25))/(LN(2)/25)*Calculateur!GH182*Calculateur!GJ182*VLOOKUP('Données projet'!$B$17,Paramètres!$A$1:$I$89,3,0)*0.475*44/12</f>
        <v>0.26061818155948702</v>
      </c>
      <c r="GN182" s="21">
        <f>EXP(-LN(2)/2)*GN181+(1-EXP(-LN(2)/2))/(LN(2)/2)*GH182*GK182*VLOOKUP('Données projet'!$B$17,Paramètres!$A$1:$I$89,3,0)*0.475*44/12</f>
        <v>7.1531239525756665E-22</v>
      </c>
      <c r="GO182" s="21">
        <f t="shared" si="187"/>
        <v>0.59224740903087647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5.6843418860808015E-14</v>
      </c>
      <c r="GV182" s="17">
        <f>GU182*VLOOKUP('Données projet'!$B$18,Paramètres!$A$1:$I$89,3,0)*VLOOKUP('Données projet'!$B$18,Paramètres!$A$1:$I$89,5,0)</f>
        <v>4.9658410716801891E-14</v>
      </c>
      <c r="GW182" s="13">
        <f t="shared" si="188"/>
        <v>8.0934058173791862E-13</v>
      </c>
      <c r="GX182" s="20">
        <f t="shared" si="189"/>
        <v>1.4960899118586383E-12</v>
      </c>
      <c r="GY182" s="59">
        <f t="shared" si="137"/>
        <v>293.33333333333479</v>
      </c>
      <c r="GZ182" s="59">
        <f ca="1">AVERAGE(OFFSET($GY$3,0,0,'Données projet'!$E$18+1,1))-AVERAGE(OFFSET($H$3,0,0,'Données projet'!$E$18+1,1))</f>
        <v>226.35975611953359</v>
      </c>
      <c r="HA182" s="59">
        <f t="shared" si="160"/>
        <v>271.65876694892461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0.18138355885212981</v>
      </c>
      <c r="HI182" s="21">
        <f>EXP(-LN(2)/2)*HI181+(1-EXP(-LN(2)/2))/(LN(2)/2)*HC182*HF182*VLOOKUP('Données projet'!$B$18,Paramètres!$A$1:$I$89,3,0)*0.475*44/12</f>
        <v>4.4234216629537291E-22</v>
      </c>
      <c r="HJ182" s="22">
        <f t="shared" si="190"/>
        <v>0.18138355885212981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-7.3896444519050419E-13</v>
      </c>
      <c r="O183" s="13">
        <f>N183*VLOOKUP('Données projet'!$B$9,Paramètres!$A$1:$I$89,3,0)*VLOOKUP('Données projet'!$B$9,Paramètres!$A$1:$I$89,5,0)</f>
        <v>-6.6861503000836817E-13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309.07357540707869</v>
      </c>
      <c r="T183" s="59">
        <f t="shared" si="142"/>
        <v>155.9593924683299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227.99999999999986</v>
      </c>
      <c r="AJ183" s="13">
        <f>AI183*VLOOKUP('Données projet'!$B$10,Paramètres!$A$1:$I$89,3,0)*VLOOKUP('Données projet'!$B$10,Paramètres!$A$1:$I$89,5,0)</f>
        <v>199.18079999999992</v>
      </c>
      <c r="AK183" s="13">
        <f t="shared" si="164"/>
        <v>49.564089376413683</v>
      </c>
      <c r="AL183" s="20">
        <f t="shared" si="165"/>
        <v>433.23068233058694</v>
      </c>
      <c r="AM183" s="59">
        <f t="shared" si="113"/>
        <v>726.56401566392026</v>
      </c>
      <c r="AN183" s="59">
        <f ca="1">AVERAGE(OFFSET($AM$3,0,0,'Données projet'!$E$10+1,1))-AVERAGE(OFFSET($H$3,0,0,'Données projet'!$E$10+1,1))</f>
        <v>210.07838338464626</v>
      </c>
      <c r="AO183" s="59">
        <f t="shared" si="144"/>
        <v>241.76003724236273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0.27174725542229511</v>
      </c>
      <c r="AV183" s="21">
        <f>EXP(-LN(2)/25)*AV182+(1-EXP(-LN(2)/25))/(LN(2)/25)*Calculateur!AQ183*Calculateur!AS183*VLOOKUP('Données projet'!$B$10,Paramètres!$A$1:$I$89,3,0)*0.475*44/12</f>
        <v>0.21187354576191023</v>
      </c>
      <c r="AW183" s="21">
        <f>EXP(-LN(2)/2)*AW182+(1-EXP(-LN(2)/2))/(LN(2)/2)*AQ183*AT183*VLOOKUP('Données projet'!$B$10,Paramètres!$A$1:$I$89,3,0)*0.475*44/12</f>
        <v>4.2276008566853261E-22</v>
      </c>
      <c r="AX183" s="21">
        <f t="shared" si="166"/>
        <v>0.48362080118420536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2.2737367544323206E-13</v>
      </c>
      <c r="BE183" s="13">
        <f>BD183*VLOOKUP('Données projet'!$B$11,Paramètres!$A$1:$I$89,3,0)*VLOOKUP('Données projet'!$B$11,Paramètres!$A$1:$I$89,5,0)</f>
        <v>1.2414602679200471E-13</v>
      </c>
      <c r="BF183" s="13">
        <f t="shared" si="167"/>
        <v>1.8186582995804361E-12</v>
      </c>
      <c r="BG183" s="20">
        <f t="shared" si="168"/>
        <v>3.3837175350986671E-12</v>
      </c>
      <c r="BH183" s="59">
        <f t="shared" si="116"/>
        <v>293.33333333333672</v>
      </c>
      <c r="BI183" s="59">
        <f ca="1">AVERAGE(OFFSET($BH$3,0,0,'Données projet'!$E$11+1,1))-AVERAGE(OFFSET($H$3,0,0,'Données projet'!$E$11+1,1))</f>
        <v>168.72306536277267</v>
      </c>
      <c r="BJ183" s="59">
        <f t="shared" si="146"/>
        <v>203.35476578922339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0.15597023865983606</v>
      </c>
      <c r="BQ183" s="21">
        <f>EXP(-LN(2)/25)*BQ182+(1-EXP(-LN(2)/25))/(LN(2)/25)*Calculateur!BL183*Calculateur!BN183*VLOOKUP('Données projet'!$B$11,Paramètres!$A$1:$I$89,3,0)*0.475*44/12</f>
        <v>0.35914096166231285</v>
      </c>
      <c r="BR183" s="21">
        <f>EXP(-LN(2)/2)*BR182+(1-EXP(-LN(2)/2))/(LN(2)/2)*BL183*BO183*VLOOKUP('Données projet'!$B$11,Paramètres!$A$1:$I$89,3,0)*0.475*44/12</f>
        <v>5.3002680686488554E-22</v>
      </c>
      <c r="BS183" s="22">
        <f t="shared" si="169"/>
        <v>0.51511120032214897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3.4106051316484809E-13</v>
      </c>
      <c r="BZ183" s="13">
        <f>BY183*VLOOKUP('Données projet'!$B$12,Paramètres!$A$1:$I$89,3,0)*VLOOKUP('Données projet'!$B$12,Paramètres!$A$1:$I$89,5,0)</f>
        <v>1.5961632016114892E-13</v>
      </c>
      <c r="CA183" s="13">
        <f t="shared" si="170"/>
        <v>2.2708641912150958E-12</v>
      </c>
      <c r="CB183" s="20">
        <f t="shared" si="171"/>
        <v>4.2330868906469593E-12</v>
      </c>
      <c r="CC183" s="59">
        <f t="shared" si="119"/>
        <v>293.33333333333752</v>
      </c>
      <c r="CD183" s="59">
        <f ca="1">AVERAGE(OFFSET($CC$3,0,0,'Données projet'!$E$12+1,1))-AVERAGE(OFFSET($H$3,0,0,'Données projet'!$E$12+1,1))</f>
        <v>158.58786357608489</v>
      </c>
      <c r="CE183" s="59">
        <f t="shared" si="148"/>
        <v>163.20074068819849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4.1677594708744434E-14</v>
      </c>
      <c r="CV183" s="13">
        <f t="shared" si="173"/>
        <v>6.9326303456159188E-13</v>
      </c>
      <c r="CW183" s="20">
        <f t="shared" si="174"/>
        <v>1.2800215959791691E-12</v>
      </c>
      <c r="CX183" s="59">
        <f t="shared" si="122"/>
        <v>293.33333333333462</v>
      </c>
      <c r="CY183" s="59">
        <f ca="1">AVERAGE(OFFSET($CX$3,0,0,'Données projet'!$E$13+1,1))-AVERAGE(OFFSET($H$3,0,0,'Données projet'!$E$13+1,1))</f>
        <v>178.12968684094687</v>
      </c>
      <c r="CZ183" s="59">
        <f t="shared" si="150"/>
        <v>219.36004077210373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0.120132118506528</v>
      </c>
      <c r="DH183" s="21">
        <f>EXP(-LN(2)/2)*DH182+(1-EXP(-LN(2)/2))/(LN(2)/2)*DB183*DE183*VLOOKUP('Données projet'!$B$13,Paramètres!$A$1:$I$89,3,0)*0.475*44/12</f>
        <v>2.6251442559702983E-22</v>
      </c>
      <c r="DI183" s="22">
        <f t="shared" si="175"/>
        <v>0.120132118506528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-8.5265128291212022E-14</v>
      </c>
      <c r="DP183" s="17">
        <f>DO183*VLOOKUP('Données projet'!$B$14,Paramètres!$A$1:$I$89,3,0)*VLOOKUP('Données projet'!$B$14,Paramètres!$A$1:$I$89,5,0)</f>
        <v>-7.7147888077888636E-14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225.28075317732998</v>
      </c>
      <c r="DU183" s="59">
        <f t="shared" si="152"/>
        <v>358.43407531256207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0.11502763306798031</v>
      </c>
      <c r="EB183" s="21">
        <f>EXP(-LN(2)/25)*EB182+(1-EXP(-LN(2)/25))/(LN(2)/25)*Calculateur!DW183*Calculateur!DY183*VLOOKUP('Données projet'!$B$14,Paramètres!$A$1:$I$89,3,0)*0.475*44/12</f>
        <v>0.12925088562595677</v>
      </c>
      <c r="EC183" s="21">
        <f>EXP(-LN(2)/2)*EC182+(1-EXP(-LN(2)/2))/(LN(2)/2)*DW183*DZ183*VLOOKUP('Données projet'!$B$14,Paramètres!$A$1:$I$89,3,0)*0.475*44/12</f>
        <v>1.1683816607047964E-22</v>
      </c>
      <c r="ED183" s="22">
        <f t="shared" si="178"/>
        <v>0.24427851869393707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-7.3896444519050419E-13</v>
      </c>
      <c r="EK183" s="17">
        <f>EJ183*VLOOKUP('Données projet'!$B$15,Paramètres!$A$1:$I$89,3,0)*VLOOKUP('Données projet'!$B$15,Paramètres!$A$1:$I$89,5,0)</f>
        <v>-7.4930994742317137E-13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363.98308691765931</v>
      </c>
      <c r="EP183" s="59">
        <f t="shared" si="154"/>
        <v>181.47089407988187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-7.3896444519050419E-13</v>
      </c>
      <c r="FF183" s="17">
        <f>FE183*VLOOKUP('Données projet'!$B$16,Paramètres!$A$1:$I$89,3,0)*VLOOKUP('Données projet'!$B$16,Paramètres!$A$1:$I$89,5,0)</f>
        <v>-7.954213288030586E-13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395.30533160963489</v>
      </c>
      <c r="FK183" s="59">
        <f t="shared" si="156"/>
        <v>196.02102977695085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227.99999999999986</v>
      </c>
      <c r="GA183" s="17">
        <f>FZ183*VLOOKUP('Données projet'!$B$17,Paramètres!$A$1:$I$89,3,0)*VLOOKUP('Données projet'!$B$17,Paramètres!$A$1:$I$89,5,0)</f>
        <v>238.30559999999986</v>
      </c>
      <c r="GB183" s="13">
        <f t="shared" si="185"/>
        <v>58.074821878967043</v>
      </c>
      <c r="GC183" s="20">
        <f t="shared" si="186"/>
        <v>516.19590143920061</v>
      </c>
      <c r="GD183" s="59">
        <f t="shared" si="134"/>
        <v>809.52923477253398</v>
      </c>
      <c r="GE183" s="59">
        <f ca="1">AVERAGE(OFFSET($GD$3,0,0,'Données projet'!$E$17+1,1))-AVERAGE(OFFSET($H$3,0,0,'Données projet'!$E$17+1,1))</f>
        <v>269.41185214595805</v>
      </c>
      <c r="GF183" s="59">
        <f t="shared" si="158"/>
        <v>299.70148160580993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0.32512618059453136</v>
      </c>
      <c r="GM183" s="21">
        <f>EXP(-LN(2)/25)*GM182+(1-EXP(-LN(2)/25))/(LN(2)/25)*Calculateur!GH183*Calculateur!GJ183*VLOOKUP('Données projet'!$B$17,Paramètres!$A$1:$I$89,3,0)*0.475*44/12</f>
        <v>0.25349156367942832</v>
      </c>
      <c r="GN183" s="21">
        <f>EXP(-LN(2)/2)*GN182+(1-EXP(-LN(2)/2))/(LN(2)/2)*GH183*GK183*VLOOKUP('Données projet'!$B$17,Paramètres!$A$1:$I$89,3,0)*0.475*44/12</f>
        <v>5.0580224535341737E-22</v>
      </c>
      <c r="GO183" s="21">
        <f t="shared" si="187"/>
        <v>0.57861774427395973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5.6843418860808015E-14</v>
      </c>
      <c r="GV183" s="17">
        <f>GU183*VLOOKUP('Données projet'!$B$18,Paramètres!$A$1:$I$89,3,0)*VLOOKUP('Données projet'!$B$18,Paramètres!$A$1:$I$89,5,0)</f>
        <v>4.9658410716801891E-14</v>
      </c>
      <c r="GW183" s="13">
        <f t="shared" si="188"/>
        <v>8.0934058173791862E-13</v>
      </c>
      <c r="GX183" s="20">
        <f t="shared" si="189"/>
        <v>1.4960899118586383E-12</v>
      </c>
      <c r="GY183" s="59">
        <f t="shared" si="137"/>
        <v>293.33333333333479</v>
      </c>
      <c r="GZ183" s="59">
        <f ca="1">AVERAGE(OFFSET($GY$3,0,0,'Données projet'!$E$18+1,1))-AVERAGE(OFFSET($H$3,0,0,'Données projet'!$E$18+1,1))</f>
        <v>226.35975611953359</v>
      </c>
      <c r="HA183" s="59">
        <f t="shared" si="160"/>
        <v>271.65876694892461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0.17642361589677152</v>
      </c>
      <c r="HI183" s="21">
        <f>EXP(-LN(2)/2)*HI182+(1-EXP(-LN(2)/2))/(LN(2)/2)*HC183*HF183*VLOOKUP('Données projet'!$B$18,Paramètres!$A$1:$I$89,3,0)*0.475*44/12</f>
        <v>3.1278314539220568E-22</v>
      </c>
      <c r="HJ183" s="22">
        <f t="shared" si="190"/>
        <v>0.17642361589677152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-7.3896444519050419E-13</v>
      </c>
      <c r="O184" s="13">
        <f>N184*VLOOKUP('Données projet'!$B$9,Paramètres!$A$1:$I$89,3,0)*VLOOKUP('Données projet'!$B$9,Paramètres!$A$1:$I$89,5,0)</f>
        <v>-6.6861503000836817E-13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309.07357540707869</v>
      </c>
      <c r="T184" s="59">
        <f t="shared" si="142"/>
        <v>155.9593924683299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227.99999999999986</v>
      </c>
      <c r="AJ184" s="13">
        <f>AI184*VLOOKUP('Données projet'!$B$10,Paramètres!$A$1:$I$89,3,0)*VLOOKUP('Données projet'!$B$10,Paramètres!$A$1:$I$89,5,0)</f>
        <v>199.18079999999992</v>
      </c>
      <c r="AK184" s="13">
        <f t="shared" si="164"/>
        <v>49.564089376413683</v>
      </c>
      <c r="AL184" s="20">
        <f t="shared" si="165"/>
        <v>433.23068233058694</v>
      </c>
      <c r="AM184" s="59">
        <f t="shared" si="113"/>
        <v>726.56401566392026</v>
      </c>
      <c r="AN184" s="59">
        <f ca="1">AVERAGE(OFFSET($AM$3,0,0,'Données projet'!$E$10+1,1))-AVERAGE(OFFSET($H$3,0,0,'Données projet'!$E$10+1,1))</f>
        <v>210.07838338464626</v>
      </c>
      <c r="AO184" s="59">
        <f t="shared" si="144"/>
        <v>241.76003724236273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0.26641845749292331</v>
      </c>
      <c r="AV184" s="21">
        <f>EXP(-LN(2)/25)*AV183+(1-EXP(-LN(2)/25))/(LN(2)/25)*Calculateur!AQ184*Calculateur!AS184*VLOOKUP('Données projet'!$B$10,Paramètres!$A$1:$I$89,3,0)*0.475*44/12</f>
        <v>0.20607985251110525</v>
      </c>
      <c r="AW184" s="21">
        <f>EXP(-LN(2)/2)*AW183+(1-EXP(-LN(2)/2))/(LN(2)/2)*AQ184*AT184*VLOOKUP('Données projet'!$B$10,Paramètres!$A$1:$I$89,3,0)*0.475*44/12</f>
        <v>2.9893652339122518E-22</v>
      </c>
      <c r="AX184" s="21">
        <f t="shared" si="166"/>
        <v>0.47249831000402853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1.2414602679200471E-13</v>
      </c>
      <c r="BF184" s="13">
        <f t="shared" si="167"/>
        <v>1.8186582995804361E-12</v>
      </c>
      <c r="BG184" s="20">
        <f t="shared" si="168"/>
        <v>3.3837175350986671E-12</v>
      </c>
      <c r="BH184" s="59">
        <f t="shared" si="116"/>
        <v>293.33333333333672</v>
      </c>
      <c r="BI184" s="59">
        <f ca="1">AVERAGE(OFFSET($BH$3,0,0,'Données projet'!$E$11+1,1))-AVERAGE(OFFSET($H$3,0,0,'Données projet'!$E$11+1,1))</f>
        <v>168.72306536277267</v>
      </c>
      <c r="BJ184" s="59">
        <f t="shared" si="146"/>
        <v>203.35476578922339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0.1529117574121687</v>
      </c>
      <c r="BQ184" s="21">
        <f>EXP(-LN(2)/25)*BQ183+(1-EXP(-LN(2)/25))/(LN(2)/25)*Calculateur!BL184*Calculateur!BN184*VLOOKUP('Données projet'!$B$11,Paramètres!$A$1:$I$89,3,0)*0.475*44/12</f>
        <v>0.34932023317925454</v>
      </c>
      <c r="BR184" s="21">
        <f>EXP(-LN(2)/2)*BR183+(1-EXP(-LN(2)/2))/(LN(2)/2)*BL184*BO184*VLOOKUP('Données projet'!$B$11,Paramètres!$A$1:$I$89,3,0)*0.475*44/12</f>
        <v>3.7478554934481311E-22</v>
      </c>
      <c r="BS184" s="22">
        <f t="shared" si="169"/>
        <v>0.50223199059142321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3.4106051316484809E-13</v>
      </c>
      <c r="BZ184" s="13">
        <f>BY184*VLOOKUP('Données projet'!$B$12,Paramètres!$A$1:$I$89,3,0)*VLOOKUP('Données projet'!$B$12,Paramètres!$A$1:$I$89,5,0)</f>
        <v>1.5961632016114892E-13</v>
      </c>
      <c r="CA184" s="13">
        <f t="shared" si="170"/>
        <v>2.2708641912150958E-12</v>
      </c>
      <c r="CB184" s="20">
        <f t="shared" si="171"/>
        <v>4.2330868906469593E-12</v>
      </c>
      <c r="CC184" s="59">
        <f t="shared" si="119"/>
        <v>293.33333333333752</v>
      </c>
      <c r="CD184" s="59">
        <f ca="1">AVERAGE(OFFSET($CC$3,0,0,'Données projet'!$E$12+1,1))-AVERAGE(OFFSET($H$3,0,0,'Données projet'!$E$12+1,1))</f>
        <v>158.58786357608489</v>
      </c>
      <c r="CE184" s="59">
        <f t="shared" si="148"/>
        <v>163.20074068819849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4.1677594708744434E-14</v>
      </c>
      <c r="CV184" s="13">
        <f t="shared" si="173"/>
        <v>6.9326303456159188E-13</v>
      </c>
      <c r="CW184" s="20">
        <f t="shared" si="174"/>
        <v>1.2800215959791691E-12</v>
      </c>
      <c r="CX184" s="59">
        <f t="shared" si="122"/>
        <v>293.33333333333462</v>
      </c>
      <c r="CY184" s="59">
        <f ca="1">AVERAGE(OFFSET($CX$3,0,0,'Données projet'!$E$13+1,1))-AVERAGE(OFFSET($H$3,0,0,'Données projet'!$E$13+1,1))</f>
        <v>178.12968684094687</v>
      </c>
      <c r="CZ184" s="59">
        <f t="shared" si="150"/>
        <v>219.36004077210373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0.11684709940849344</v>
      </c>
      <c r="DH184" s="21">
        <f>EXP(-LN(2)/2)*DH183+(1-EXP(-LN(2)/2))/(LN(2)/2)*DB184*DE184*VLOOKUP('Données projet'!$B$13,Paramètres!$A$1:$I$89,3,0)*0.475*44/12</f>
        <v>1.8562573049895118E-22</v>
      </c>
      <c r="DI184" s="22">
        <f t="shared" si="175"/>
        <v>0.11684709940849344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-8.5265128291212022E-14</v>
      </c>
      <c r="DP184" s="17">
        <f>DO184*VLOOKUP('Données projet'!$B$14,Paramètres!$A$1:$I$89,3,0)*VLOOKUP('Données projet'!$B$14,Paramètres!$A$1:$I$89,5,0)</f>
        <v>-7.7147888077888636E-14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225.28075317732998</v>
      </c>
      <c r="DU184" s="59">
        <f t="shared" si="152"/>
        <v>358.43407531256207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0.11277201134344567</v>
      </c>
      <c r="EB184" s="21">
        <f>EXP(-LN(2)/25)*EB183+(1-EXP(-LN(2)/25))/(LN(2)/25)*Calculateur!DW184*Calculateur!DY184*VLOOKUP('Données projet'!$B$14,Paramètres!$A$1:$I$89,3,0)*0.475*44/12</f>
        <v>0.1257165133615063</v>
      </c>
      <c r="EC184" s="21">
        <f>EXP(-LN(2)/2)*EC183+(1-EXP(-LN(2)/2))/(LN(2)/2)*DW184*DZ184*VLOOKUP('Données projet'!$B$14,Paramètres!$A$1:$I$89,3,0)*0.475*44/12</f>
        <v>8.2617059529836148E-23</v>
      </c>
      <c r="ED184" s="22">
        <f t="shared" si="178"/>
        <v>0.23848852470495197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-7.3896444519050419E-13</v>
      </c>
      <c r="EK184" s="17">
        <f>EJ184*VLOOKUP('Données projet'!$B$15,Paramètres!$A$1:$I$89,3,0)*VLOOKUP('Données projet'!$B$15,Paramètres!$A$1:$I$89,5,0)</f>
        <v>-7.4930994742317137E-13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363.98308691765931</v>
      </c>
      <c r="EP184" s="59">
        <f t="shared" si="154"/>
        <v>181.47089407988187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-7.3896444519050419E-13</v>
      </c>
      <c r="FF184" s="17">
        <f>FE184*VLOOKUP('Données projet'!$B$16,Paramètres!$A$1:$I$89,3,0)*VLOOKUP('Données projet'!$B$16,Paramètres!$A$1:$I$89,5,0)</f>
        <v>-7.954213288030586E-13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395.30533160963489</v>
      </c>
      <c r="FK184" s="59">
        <f t="shared" si="156"/>
        <v>196.02102977695085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227.99999999999986</v>
      </c>
      <c r="GA184" s="17">
        <f>FZ184*VLOOKUP('Données projet'!$B$17,Paramètres!$A$1:$I$89,3,0)*VLOOKUP('Données projet'!$B$17,Paramètres!$A$1:$I$89,5,0)</f>
        <v>238.30559999999986</v>
      </c>
      <c r="GB184" s="13">
        <f t="shared" si="185"/>
        <v>58.074821878967043</v>
      </c>
      <c r="GC184" s="20">
        <f t="shared" si="186"/>
        <v>516.19590143920061</v>
      </c>
      <c r="GD184" s="59">
        <f t="shared" si="134"/>
        <v>809.52923477253398</v>
      </c>
      <c r="GE184" s="59">
        <f ca="1">AVERAGE(OFFSET($GD$3,0,0,'Données projet'!$E$17+1,1))-AVERAGE(OFFSET($H$3,0,0,'Données projet'!$E$17+1,1))</f>
        <v>269.41185214595805</v>
      </c>
      <c r="GF184" s="59">
        <f t="shared" si="158"/>
        <v>299.70148160580993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0.31875065450046153</v>
      </c>
      <c r="GM184" s="21">
        <f>EXP(-LN(2)/25)*GM183+(1-EXP(-LN(2)/25))/(LN(2)/25)*Calculateur!GH184*Calculateur!GJ184*VLOOKUP('Données projet'!$B$17,Paramètres!$A$1:$I$89,3,0)*0.475*44/12</f>
        <v>0.24655982354007239</v>
      </c>
      <c r="GN184" s="21">
        <f>EXP(-LN(2)/2)*GN183+(1-EXP(-LN(2)/2))/(LN(2)/2)*GH184*GK184*VLOOKUP('Données projet'!$B$17,Paramètres!$A$1:$I$89,3,0)*0.475*44/12</f>
        <v>3.5765619762878332E-22</v>
      </c>
      <c r="GO184" s="21">
        <f t="shared" si="187"/>
        <v>0.56531047804053391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5.6843418860808015E-14</v>
      </c>
      <c r="GV184" s="17">
        <f>GU184*VLOOKUP('Données projet'!$B$18,Paramètres!$A$1:$I$89,3,0)*VLOOKUP('Données projet'!$B$18,Paramètres!$A$1:$I$89,5,0)</f>
        <v>4.9658410716801891E-14</v>
      </c>
      <c r="GW184" s="13">
        <f t="shared" si="188"/>
        <v>8.0934058173791862E-13</v>
      </c>
      <c r="GX184" s="20">
        <f t="shared" si="189"/>
        <v>1.4960899118586383E-12</v>
      </c>
      <c r="GY184" s="59">
        <f t="shared" si="137"/>
        <v>293.33333333333479</v>
      </c>
      <c r="GZ184" s="59">
        <f ca="1">AVERAGE(OFFSET($GY$3,0,0,'Données projet'!$E$18+1,1))-AVERAGE(OFFSET($H$3,0,0,'Données projet'!$E$18+1,1))</f>
        <v>226.35975611953359</v>
      </c>
      <c r="HA184" s="59">
        <f t="shared" si="160"/>
        <v>271.65876694892461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0.17159930284235958</v>
      </c>
      <c r="HI184" s="21">
        <f>EXP(-LN(2)/2)*HI183+(1-EXP(-LN(2)/2))/(LN(2)/2)*HC184*HF184*VLOOKUP('Données projet'!$B$18,Paramètres!$A$1:$I$89,3,0)*0.475*44/12</f>
        <v>2.2117108314768646E-22</v>
      </c>
      <c r="HJ184" s="22">
        <f t="shared" si="190"/>
        <v>0.17159930284235958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-7.3896444519050419E-13</v>
      </c>
      <c r="O185" s="13">
        <f>N185*VLOOKUP('Données projet'!$B$9,Paramètres!$A$1:$I$89,3,0)*VLOOKUP('Données projet'!$B$9,Paramètres!$A$1:$I$89,5,0)</f>
        <v>-6.6861503000836817E-13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309.07357540707869</v>
      </c>
      <c r="T185" s="59">
        <f t="shared" si="142"/>
        <v>155.9593924683299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227.99999999999986</v>
      </c>
      <c r="AJ185" s="13">
        <f>AI185*VLOOKUP('Données projet'!$B$10,Paramètres!$A$1:$I$89,3,0)*VLOOKUP('Données projet'!$B$10,Paramètres!$A$1:$I$89,5,0)</f>
        <v>199.18079999999992</v>
      </c>
      <c r="AK185" s="13">
        <f t="shared" si="164"/>
        <v>49.564089376413683</v>
      </c>
      <c r="AL185" s="20">
        <f t="shared" si="165"/>
        <v>433.23068233058694</v>
      </c>
      <c r="AM185" s="59">
        <f t="shared" si="113"/>
        <v>726.56401566392026</v>
      </c>
      <c r="AN185" s="59">
        <f ca="1">AVERAGE(OFFSET($AM$3,0,0,'Données projet'!$E$10+1,1))-AVERAGE(OFFSET($H$3,0,0,'Données projet'!$E$10+1,1))</f>
        <v>210.07838338464626</v>
      </c>
      <c r="AO185" s="59">
        <f t="shared" si="144"/>
        <v>241.76003724236273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0.26119415404070068</v>
      </c>
      <c r="AV185" s="21">
        <f>EXP(-LN(2)/25)*AV184+(1-EXP(-LN(2)/25))/(LN(2)/25)*Calculateur!AQ185*Calculateur!AS185*VLOOKUP('Données projet'!$B$10,Paramètres!$A$1:$I$89,3,0)*0.475*44/12</f>
        <v>0.20044458810692065</v>
      </c>
      <c r="AW185" s="21">
        <f>EXP(-LN(2)/2)*AW184+(1-EXP(-LN(2)/2))/(LN(2)/2)*AQ185*AT185*VLOOKUP('Données projet'!$B$10,Paramètres!$A$1:$I$89,3,0)*0.475*44/12</f>
        <v>2.1138004283426633E-22</v>
      </c>
      <c r="AX185" s="21">
        <f t="shared" si="166"/>
        <v>0.46163874214762135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1.2414602679200471E-13</v>
      </c>
      <c r="BF185" s="13">
        <f t="shared" si="167"/>
        <v>1.8186582995804361E-12</v>
      </c>
      <c r="BG185" s="20">
        <f t="shared" si="168"/>
        <v>3.3837175350986671E-12</v>
      </c>
      <c r="BH185" s="59">
        <f t="shared" si="116"/>
        <v>293.33333333333672</v>
      </c>
      <c r="BI185" s="59">
        <f ca="1">AVERAGE(OFFSET($BH$3,0,0,'Données projet'!$E$11+1,1))-AVERAGE(OFFSET($H$3,0,0,'Données projet'!$E$11+1,1))</f>
        <v>168.72306536277267</v>
      </c>
      <c r="BJ185" s="59">
        <f t="shared" si="146"/>
        <v>203.35476578922339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0.14991325111627873</v>
      </c>
      <c r="BQ185" s="21">
        <f>EXP(-LN(2)/25)*BQ184+(1-EXP(-LN(2)/25))/(LN(2)/25)*Calculateur!BL185*Calculateur!BN185*VLOOKUP('Données projet'!$B$11,Paramètres!$A$1:$I$89,3,0)*0.475*44/12</f>
        <v>0.33976805303301516</v>
      </c>
      <c r="BR185" s="21">
        <f>EXP(-LN(2)/2)*BR184+(1-EXP(-LN(2)/2))/(LN(2)/2)*BL185*BO185*VLOOKUP('Données projet'!$B$11,Paramètres!$A$1:$I$89,3,0)*0.475*44/12</f>
        <v>2.6501340343244277E-22</v>
      </c>
      <c r="BS185" s="22">
        <f t="shared" si="169"/>
        <v>0.48968130414929389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3.4106051316484809E-13</v>
      </c>
      <c r="BZ185" s="13">
        <f>BY185*VLOOKUP('Données projet'!$B$12,Paramètres!$A$1:$I$89,3,0)*VLOOKUP('Données projet'!$B$12,Paramètres!$A$1:$I$89,5,0)</f>
        <v>1.5961632016114892E-13</v>
      </c>
      <c r="CA185" s="13">
        <f t="shared" si="170"/>
        <v>2.2708641912150958E-12</v>
      </c>
      <c r="CB185" s="20">
        <f t="shared" si="171"/>
        <v>4.2330868906469593E-12</v>
      </c>
      <c r="CC185" s="59">
        <f t="shared" si="119"/>
        <v>293.33333333333752</v>
      </c>
      <c r="CD185" s="59">
        <f ca="1">AVERAGE(OFFSET($CC$3,0,0,'Données projet'!$E$12+1,1))-AVERAGE(OFFSET($H$3,0,0,'Données projet'!$E$12+1,1))</f>
        <v>158.58786357608489</v>
      </c>
      <c r="CE185" s="59">
        <f t="shared" si="148"/>
        <v>163.20074068819849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4.1677594708744434E-14</v>
      </c>
      <c r="CV185" s="13">
        <f t="shared" si="173"/>
        <v>6.9326303456159188E-13</v>
      </c>
      <c r="CW185" s="20">
        <f t="shared" si="174"/>
        <v>1.2800215959791691E-12</v>
      </c>
      <c r="CX185" s="59">
        <f t="shared" si="122"/>
        <v>293.33333333333462</v>
      </c>
      <c r="CY185" s="59">
        <f ca="1">AVERAGE(OFFSET($CX$3,0,0,'Données projet'!$E$13+1,1))-AVERAGE(OFFSET($H$3,0,0,'Données projet'!$E$13+1,1))</f>
        <v>178.12968684094687</v>
      </c>
      <c r="CZ185" s="59">
        <f t="shared" si="150"/>
        <v>219.36004077210373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0.11365190933044629</v>
      </c>
      <c r="DH185" s="21">
        <f>EXP(-LN(2)/2)*DH184+(1-EXP(-LN(2)/2))/(LN(2)/2)*DB185*DE185*VLOOKUP('Données projet'!$B$13,Paramètres!$A$1:$I$89,3,0)*0.475*44/12</f>
        <v>1.3125721279851491E-22</v>
      </c>
      <c r="DI185" s="22">
        <f t="shared" si="175"/>
        <v>0.11365190933044629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-8.5265128291212022E-14</v>
      </c>
      <c r="DP185" s="17">
        <f>DO185*VLOOKUP('Données projet'!$B$14,Paramètres!$A$1:$I$89,3,0)*VLOOKUP('Données projet'!$B$14,Paramètres!$A$1:$I$89,5,0)</f>
        <v>-7.7147888077888636E-14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225.28075317732998</v>
      </c>
      <c r="DU185" s="59">
        <f t="shared" si="152"/>
        <v>358.43407531256207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0.11056062098513575</v>
      </c>
      <c r="EB185" s="21">
        <f>EXP(-LN(2)/25)*EB184+(1-EXP(-LN(2)/25))/(LN(2)/25)*Calculateur!DW185*Calculateur!DY185*VLOOKUP('Données projet'!$B$14,Paramètres!$A$1:$I$89,3,0)*0.475*44/12</f>
        <v>0.1222787886924918</v>
      </c>
      <c r="EC185" s="21">
        <f>EXP(-LN(2)/2)*EC184+(1-EXP(-LN(2)/2))/(LN(2)/2)*DW185*DZ185*VLOOKUP('Données projet'!$B$14,Paramètres!$A$1:$I$89,3,0)*0.475*44/12</f>
        <v>5.841908303523982E-23</v>
      </c>
      <c r="ED185" s="22">
        <f t="shared" si="178"/>
        <v>0.23283940967762756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-7.3896444519050419E-13</v>
      </c>
      <c r="EK185" s="17">
        <f>EJ185*VLOOKUP('Données projet'!$B$15,Paramètres!$A$1:$I$89,3,0)*VLOOKUP('Données projet'!$B$15,Paramètres!$A$1:$I$89,5,0)</f>
        <v>-7.4930994742317137E-13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363.98308691765931</v>
      </c>
      <c r="EP185" s="59">
        <f t="shared" si="154"/>
        <v>181.47089407988187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-7.3896444519050419E-13</v>
      </c>
      <c r="FF185" s="17">
        <f>FE185*VLOOKUP('Données projet'!$B$16,Paramètres!$A$1:$I$89,3,0)*VLOOKUP('Données projet'!$B$16,Paramètres!$A$1:$I$89,5,0)</f>
        <v>-7.954213288030586E-13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395.30533160963489</v>
      </c>
      <c r="FK185" s="59">
        <f t="shared" si="156"/>
        <v>196.02102977695085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227.99999999999986</v>
      </c>
      <c r="GA185" s="17">
        <f>FZ185*VLOOKUP('Données projet'!$B$17,Paramètres!$A$1:$I$89,3,0)*VLOOKUP('Données projet'!$B$17,Paramètres!$A$1:$I$89,5,0)</f>
        <v>238.30559999999986</v>
      </c>
      <c r="GB185" s="13">
        <f t="shared" si="185"/>
        <v>58.074821878967043</v>
      </c>
      <c r="GC185" s="20">
        <f t="shared" si="186"/>
        <v>516.19590143920061</v>
      </c>
      <c r="GD185" s="59">
        <f t="shared" si="134"/>
        <v>809.52923477253398</v>
      </c>
      <c r="GE185" s="59">
        <f ca="1">AVERAGE(OFFSET($GD$3,0,0,'Données projet'!$E$17+1,1))-AVERAGE(OFFSET($H$3,0,0,'Données projet'!$E$17+1,1))</f>
        <v>269.41185214595805</v>
      </c>
      <c r="GF185" s="59">
        <f t="shared" si="158"/>
        <v>299.70148160580993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0.31250014858440944</v>
      </c>
      <c r="GM185" s="21">
        <f>EXP(-LN(2)/25)*GM184+(1-EXP(-LN(2)/25))/(LN(2)/25)*Calculateur!GH185*Calculateur!GJ185*VLOOKUP('Données projet'!$B$17,Paramètres!$A$1:$I$89,3,0)*0.475*44/12</f>
        <v>0.23981763219935151</v>
      </c>
      <c r="GN185" s="21">
        <f>EXP(-LN(2)/2)*GN184+(1-EXP(-LN(2)/2))/(LN(2)/2)*GH185*GK185*VLOOKUP('Données projet'!$B$17,Paramètres!$A$1:$I$89,3,0)*0.475*44/12</f>
        <v>2.5290112267670869E-22</v>
      </c>
      <c r="GO185" s="21">
        <f t="shared" si="187"/>
        <v>0.55231778078376093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5.6843418860808015E-14</v>
      </c>
      <c r="GV185" s="17">
        <f>GU185*VLOOKUP('Données projet'!$B$18,Paramètres!$A$1:$I$89,3,0)*VLOOKUP('Données projet'!$B$18,Paramètres!$A$1:$I$89,5,0)</f>
        <v>4.9658410716801891E-14</v>
      </c>
      <c r="GW185" s="13">
        <f t="shared" si="188"/>
        <v>8.0934058173791862E-13</v>
      </c>
      <c r="GX185" s="20">
        <f t="shared" si="189"/>
        <v>1.4960899118586383E-12</v>
      </c>
      <c r="GY185" s="59">
        <f t="shared" si="137"/>
        <v>293.33333333333479</v>
      </c>
      <c r="GZ185" s="59">
        <f ca="1">AVERAGE(OFFSET($GY$3,0,0,'Données projet'!$E$18+1,1))-AVERAGE(OFFSET($H$3,0,0,'Données projet'!$E$18+1,1))</f>
        <v>226.35975611953359</v>
      </c>
      <c r="HA185" s="59">
        <f t="shared" si="160"/>
        <v>271.65876694892461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0.16690691088212012</v>
      </c>
      <c r="HI185" s="21">
        <f>EXP(-LN(2)/2)*HI184+(1-EXP(-LN(2)/2))/(LN(2)/2)*HC185*HF185*VLOOKUP('Données projet'!$B$18,Paramètres!$A$1:$I$89,3,0)*0.475*44/12</f>
        <v>1.5639157269610284E-22</v>
      </c>
      <c r="HJ185" s="22">
        <f t="shared" si="190"/>
        <v>0.16690691088212012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-7.3896444519050419E-13</v>
      </c>
      <c r="O186" s="13">
        <f>N186*VLOOKUP('Données projet'!$B$9,Paramètres!$A$1:$I$89,3,0)*VLOOKUP('Données projet'!$B$9,Paramètres!$A$1:$I$89,5,0)</f>
        <v>-6.6861503000836817E-13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309.07357540707869</v>
      </c>
      <c r="T186" s="59">
        <f t="shared" si="142"/>
        <v>155.9593924683299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227.99999999999986</v>
      </c>
      <c r="AJ186" s="13">
        <f>AI186*VLOOKUP('Données projet'!$B$10,Paramètres!$A$1:$I$89,3,0)*VLOOKUP('Données projet'!$B$10,Paramètres!$A$1:$I$89,5,0)</f>
        <v>199.18079999999992</v>
      </c>
      <c r="AK186" s="13">
        <f t="shared" si="164"/>
        <v>49.564089376413683</v>
      </c>
      <c r="AL186" s="20">
        <f t="shared" si="165"/>
        <v>433.23068233058694</v>
      </c>
      <c r="AM186" s="59">
        <f t="shared" si="113"/>
        <v>726.56401566392026</v>
      </c>
      <c r="AN186" s="59">
        <f ca="1">AVERAGE(OFFSET($AM$3,0,0,'Données projet'!$E$10+1,1))-AVERAGE(OFFSET($H$3,0,0,'Données projet'!$E$10+1,1))</f>
        <v>210.07838338464626</v>
      </c>
      <c r="AO186" s="59">
        <f t="shared" si="144"/>
        <v>241.76003724236273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0.25607229599266568</v>
      </c>
      <c r="AV186" s="21">
        <f>EXP(-LN(2)/25)*AV185+(1-EXP(-LN(2)/25))/(LN(2)/25)*Calculateur!AQ186*Calculateur!AS186*VLOOKUP('Données projet'!$B$10,Paramètres!$A$1:$I$89,3,0)*0.475*44/12</f>
        <v>0.19496342030421412</v>
      </c>
      <c r="AW186" s="21">
        <f>EXP(-LN(2)/2)*AW185+(1-EXP(-LN(2)/2))/(LN(2)/2)*AQ186*AT186*VLOOKUP('Données projet'!$B$10,Paramètres!$A$1:$I$89,3,0)*0.475*44/12</f>
        <v>1.4946826169561262E-22</v>
      </c>
      <c r="AX186" s="21">
        <f t="shared" si="166"/>
        <v>0.45103571629687977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1.2414602679200471E-13</v>
      </c>
      <c r="BF186" s="13">
        <f t="shared" si="167"/>
        <v>1.8186582995804361E-12</v>
      </c>
      <c r="BG186" s="20">
        <f t="shared" si="168"/>
        <v>3.3837175350986671E-12</v>
      </c>
      <c r="BH186" s="59">
        <f t="shared" si="116"/>
        <v>293.33333333333672</v>
      </c>
      <c r="BI186" s="59">
        <f ca="1">AVERAGE(OFFSET($BH$3,0,0,'Données projet'!$E$11+1,1))-AVERAGE(OFFSET($H$3,0,0,'Données projet'!$E$11+1,1))</f>
        <v>168.72306536277267</v>
      </c>
      <c r="BJ186" s="59">
        <f t="shared" si="146"/>
        <v>203.35476578922339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0.14697354369994292</v>
      </c>
      <c r="BQ186" s="21">
        <f>EXP(-LN(2)/25)*BQ185+(1-EXP(-LN(2)/25))/(LN(2)/25)*Calculateur!BL186*Calculateur!BN186*VLOOKUP('Données projet'!$B$11,Paramètres!$A$1:$I$89,3,0)*0.475*44/12</f>
        <v>0.33047707775520202</v>
      </c>
      <c r="BR186" s="21">
        <f>EXP(-LN(2)/2)*BR185+(1-EXP(-LN(2)/2))/(LN(2)/2)*BL186*BO186*VLOOKUP('Données projet'!$B$11,Paramètres!$A$1:$I$89,3,0)*0.475*44/12</f>
        <v>1.8739277467240656E-22</v>
      </c>
      <c r="BS186" s="22">
        <f t="shared" si="169"/>
        <v>0.47745062145514494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3.4106051316484809E-13</v>
      </c>
      <c r="BZ186" s="13">
        <f>BY186*VLOOKUP('Données projet'!$B$12,Paramètres!$A$1:$I$89,3,0)*VLOOKUP('Données projet'!$B$12,Paramètres!$A$1:$I$89,5,0)</f>
        <v>1.5961632016114892E-13</v>
      </c>
      <c r="CA186" s="13">
        <f t="shared" si="170"/>
        <v>2.2708641912150958E-12</v>
      </c>
      <c r="CB186" s="20">
        <f t="shared" si="171"/>
        <v>4.2330868906469593E-12</v>
      </c>
      <c r="CC186" s="59">
        <f t="shared" si="119"/>
        <v>293.33333333333752</v>
      </c>
      <c r="CD186" s="59">
        <f ca="1">AVERAGE(OFFSET($CC$3,0,0,'Données projet'!$E$12+1,1))-AVERAGE(OFFSET($H$3,0,0,'Données projet'!$E$12+1,1))</f>
        <v>158.58786357608489</v>
      </c>
      <c r="CE186" s="59">
        <f t="shared" si="148"/>
        <v>163.20074068819849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4.1677594708744434E-14</v>
      </c>
      <c r="CV186" s="13">
        <f t="shared" si="173"/>
        <v>6.9326303456159188E-13</v>
      </c>
      <c r="CW186" s="20">
        <f t="shared" si="174"/>
        <v>1.2800215959791691E-12</v>
      </c>
      <c r="CX186" s="59">
        <f t="shared" si="122"/>
        <v>293.33333333333462</v>
      </c>
      <c r="CY186" s="59">
        <f ca="1">AVERAGE(OFFSET($CX$3,0,0,'Données projet'!$E$13+1,1))-AVERAGE(OFFSET($H$3,0,0,'Données projet'!$E$13+1,1))</f>
        <v>178.12968684094687</v>
      </c>
      <c r="CZ186" s="59">
        <f t="shared" si="150"/>
        <v>219.36004077210373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0.11054409189311108</v>
      </c>
      <c r="DH186" s="21">
        <f>EXP(-LN(2)/2)*DH185+(1-EXP(-LN(2)/2))/(LN(2)/2)*DB186*DE186*VLOOKUP('Données projet'!$B$13,Paramètres!$A$1:$I$89,3,0)*0.475*44/12</f>
        <v>9.2812865249475591E-23</v>
      </c>
      <c r="DI186" s="22">
        <f t="shared" si="175"/>
        <v>0.11054409189311108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-8.5265128291212022E-14</v>
      </c>
      <c r="DP186" s="17">
        <f>DO186*VLOOKUP('Données projet'!$B$14,Paramètres!$A$1:$I$89,3,0)*VLOOKUP('Données projet'!$B$14,Paramètres!$A$1:$I$89,5,0)</f>
        <v>-7.7147888077888636E-14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225.28075317732998</v>
      </c>
      <c r="DU186" s="59">
        <f t="shared" si="152"/>
        <v>358.43407531256207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0.10839259464293735</v>
      </c>
      <c r="EB186" s="21">
        <f>EXP(-LN(2)/25)*EB185+(1-EXP(-LN(2)/25))/(LN(2)/25)*Calculateur!DW186*Calculateur!DY186*VLOOKUP('Données projet'!$B$14,Paramètres!$A$1:$I$89,3,0)*0.475*44/12</f>
        <v>0.11893506878533358</v>
      </c>
      <c r="EC186" s="21">
        <f>EXP(-LN(2)/2)*EC185+(1-EXP(-LN(2)/2))/(LN(2)/2)*DW186*DZ186*VLOOKUP('Données projet'!$B$14,Paramètres!$A$1:$I$89,3,0)*0.475*44/12</f>
        <v>4.1308529764918074E-23</v>
      </c>
      <c r="ED186" s="22">
        <f t="shared" si="178"/>
        <v>0.22732766342827093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-7.3896444519050419E-13</v>
      </c>
      <c r="EK186" s="17">
        <f>EJ186*VLOOKUP('Données projet'!$B$15,Paramètres!$A$1:$I$89,3,0)*VLOOKUP('Données projet'!$B$15,Paramètres!$A$1:$I$89,5,0)</f>
        <v>-7.4930994742317137E-13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363.98308691765931</v>
      </c>
      <c r="EP186" s="59">
        <f t="shared" si="154"/>
        <v>181.47089407988187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-7.3896444519050419E-13</v>
      </c>
      <c r="FF186" s="17">
        <f>FE186*VLOOKUP('Données projet'!$B$16,Paramètres!$A$1:$I$89,3,0)*VLOOKUP('Données projet'!$B$16,Paramètres!$A$1:$I$89,5,0)</f>
        <v>-7.954213288030586E-13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395.30533160963489</v>
      </c>
      <c r="FK186" s="59">
        <f t="shared" si="156"/>
        <v>196.02102977695085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227.99999999999986</v>
      </c>
      <c r="GA186" s="17">
        <f>FZ186*VLOOKUP('Données projet'!$B$17,Paramètres!$A$1:$I$89,3,0)*VLOOKUP('Données projet'!$B$17,Paramètres!$A$1:$I$89,5,0)</f>
        <v>238.30559999999986</v>
      </c>
      <c r="GB186" s="13">
        <f t="shared" si="185"/>
        <v>58.074821878967043</v>
      </c>
      <c r="GC186" s="20">
        <f t="shared" si="186"/>
        <v>516.19590143920061</v>
      </c>
      <c r="GD186" s="59">
        <f t="shared" si="134"/>
        <v>809.52923477253398</v>
      </c>
      <c r="GE186" s="59">
        <f ca="1">AVERAGE(OFFSET($GD$3,0,0,'Données projet'!$E$17+1,1))-AVERAGE(OFFSET($H$3,0,0,'Données projet'!$E$17+1,1))</f>
        <v>269.41185214595805</v>
      </c>
      <c r="GF186" s="59">
        <f t="shared" si="158"/>
        <v>299.70148160580993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0.30637221127693898</v>
      </c>
      <c r="GM186" s="21">
        <f>EXP(-LN(2)/25)*GM185+(1-EXP(-LN(2)/25))/(LN(2)/25)*Calculateur!GH186*Calculateur!GJ186*VLOOKUP('Données projet'!$B$17,Paramètres!$A$1:$I$89,3,0)*0.475*44/12</f>
        <v>0.23325980643539906</v>
      </c>
      <c r="GN186" s="21">
        <f>EXP(-LN(2)/2)*GN185+(1-EXP(-LN(2)/2))/(LN(2)/2)*GH186*GK186*VLOOKUP('Données projet'!$B$17,Paramètres!$A$1:$I$89,3,0)*0.475*44/12</f>
        <v>1.7882809881439166E-22</v>
      </c>
      <c r="GO186" s="21">
        <f t="shared" si="187"/>
        <v>0.53963201771233804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5.6843418860808015E-14</v>
      </c>
      <c r="GV186" s="17">
        <f>GU186*VLOOKUP('Données projet'!$B$18,Paramètres!$A$1:$I$89,3,0)*VLOOKUP('Données projet'!$B$18,Paramètres!$A$1:$I$89,5,0)</f>
        <v>4.9658410716801891E-14</v>
      </c>
      <c r="GW186" s="13">
        <f t="shared" si="188"/>
        <v>8.0934058173791862E-13</v>
      </c>
      <c r="GX186" s="20">
        <f t="shared" si="189"/>
        <v>1.4960899118586383E-12</v>
      </c>
      <c r="GY186" s="59">
        <f t="shared" si="137"/>
        <v>293.33333333333479</v>
      </c>
      <c r="GZ186" s="59">
        <f ca="1">AVERAGE(OFFSET($GY$3,0,0,'Données projet'!$E$18+1,1))-AVERAGE(OFFSET($H$3,0,0,'Données projet'!$E$18+1,1))</f>
        <v>226.35975611953359</v>
      </c>
      <c r="HA186" s="59">
        <f t="shared" si="160"/>
        <v>271.65876694892461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0.16234283262679558</v>
      </c>
      <c r="HI186" s="21">
        <f>EXP(-LN(2)/2)*HI185+(1-EXP(-LN(2)/2))/(LN(2)/2)*HC186*HF186*VLOOKUP('Données projet'!$B$18,Paramètres!$A$1:$I$89,3,0)*0.475*44/12</f>
        <v>1.1058554157384323E-22</v>
      </c>
      <c r="HJ186" s="22">
        <f t="shared" si="190"/>
        <v>0.16234283262679558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-7.3896444519050419E-13</v>
      </c>
      <c r="O187" s="13">
        <f>N187*VLOOKUP('Données projet'!$B$9,Paramètres!$A$1:$I$89,3,0)*VLOOKUP('Données projet'!$B$9,Paramètres!$A$1:$I$89,5,0)</f>
        <v>-6.6861503000836817E-13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309.07357540707869</v>
      </c>
      <c r="T187" s="59">
        <f t="shared" si="142"/>
        <v>155.9593924683299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227.99999999999986</v>
      </c>
      <c r="AJ187" s="13">
        <f>AI187*VLOOKUP('Données projet'!$B$10,Paramètres!$A$1:$I$89,3,0)*VLOOKUP('Données projet'!$B$10,Paramètres!$A$1:$I$89,5,0)</f>
        <v>199.18079999999992</v>
      </c>
      <c r="AK187" s="13">
        <f t="shared" si="164"/>
        <v>49.564089376413683</v>
      </c>
      <c r="AL187" s="20">
        <f t="shared" si="165"/>
        <v>433.23068233058694</v>
      </c>
      <c r="AM187" s="59">
        <f t="shared" si="113"/>
        <v>726.56401566392026</v>
      </c>
      <c r="AN187" s="59">
        <f ca="1">AVERAGE(OFFSET($AM$3,0,0,'Données projet'!$E$10+1,1))-AVERAGE(OFFSET($H$3,0,0,'Données projet'!$E$10+1,1))</f>
        <v>210.07838338464626</v>
      </c>
      <c r="AO187" s="59">
        <f t="shared" si="144"/>
        <v>241.76003724236273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0.2510508744569277</v>
      </c>
      <c r="AV187" s="21">
        <f>EXP(-LN(2)/25)*AV186+(1-EXP(-LN(2)/25))/(LN(2)/25)*Calculateur!AQ187*Calculateur!AS187*VLOOKUP('Données projet'!$B$10,Paramètres!$A$1:$I$89,3,0)*0.475*44/12</f>
        <v>0.18963213532331472</v>
      </c>
      <c r="AW187" s="21">
        <f>EXP(-LN(2)/2)*AW186+(1-EXP(-LN(2)/2))/(LN(2)/2)*AQ187*AT187*VLOOKUP('Données projet'!$B$10,Paramètres!$A$1:$I$89,3,0)*0.475*44/12</f>
        <v>1.0569002141713318E-22</v>
      </c>
      <c r="AX187" s="21">
        <f t="shared" si="166"/>
        <v>0.44068300978024244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1.2414602679200471E-13</v>
      </c>
      <c r="BF187" s="13">
        <f t="shared" si="167"/>
        <v>1.8186582995804361E-12</v>
      </c>
      <c r="BG187" s="20">
        <f t="shared" si="168"/>
        <v>3.3837175350986671E-12</v>
      </c>
      <c r="BH187" s="59">
        <f t="shared" si="116"/>
        <v>293.33333333333672</v>
      </c>
      <c r="BI187" s="59">
        <f ca="1">AVERAGE(OFFSET($BH$3,0,0,'Données projet'!$E$11+1,1))-AVERAGE(OFFSET($H$3,0,0,'Données projet'!$E$11+1,1))</f>
        <v>168.72306536277267</v>
      </c>
      <c r="BJ187" s="59">
        <f t="shared" si="146"/>
        <v>203.35476578922339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0.144091482152997</v>
      </c>
      <c r="BQ187" s="21">
        <f>EXP(-LN(2)/25)*BQ186+(1-EXP(-LN(2)/25))/(LN(2)/25)*Calculateur!BL187*Calculateur!BN187*VLOOKUP('Données projet'!$B$11,Paramètres!$A$1:$I$89,3,0)*0.475*44/12</f>
        <v>0.32144016468495179</v>
      </c>
      <c r="BR187" s="21">
        <f>EXP(-LN(2)/2)*BR186+(1-EXP(-LN(2)/2))/(LN(2)/2)*BL187*BO187*VLOOKUP('Données projet'!$B$11,Paramètres!$A$1:$I$89,3,0)*0.475*44/12</f>
        <v>1.3250670171622139E-22</v>
      </c>
      <c r="BS187" s="22">
        <f t="shared" si="169"/>
        <v>0.46553164683794879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3.4106051316484809E-13</v>
      </c>
      <c r="BZ187" s="13">
        <f>BY187*VLOOKUP('Données projet'!$B$12,Paramètres!$A$1:$I$89,3,0)*VLOOKUP('Données projet'!$B$12,Paramètres!$A$1:$I$89,5,0)</f>
        <v>1.5961632016114892E-13</v>
      </c>
      <c r="CA187" s="13">
        <f t="shared" si="170"/>
        <v>2.2708641912150958E-12</v>
      </c>
      <c r="CB187" s="20">
        <f t="shared" si="171"/>
        <v>4.2330868906469593E-12</v>
      </c>
      <c r="CC187" s="59">
        <f t="shared" si="119"/>
        <v>293.33333333333752</v>
      </c>
      <c r="CD187" s="59">
        <f ca="1">AVERAGE(OFFSET($CC$3,0,0,'Données projet'!$E$12+1,1))-AVERAGE(OFFSET($H$3,0,0,'Données projet'!$E$12+1,1))</f>
        <v>158.58786357608489</v>
      </c>
      <c r="CE187" s="59">
        <f t="shared" si="148"/>
        <v>163.20074068819849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4.1677594708744434E-14</v>
      </c>
      <c r="CV187" s="13">
        <f t="shared" si="173"/>
        <v>6.9326303456159188E-13</v>
      </c>
      <c r="CW187" s="20">
        <f t="shared" si="174"/>
        <v>1.2800215959791691E-12</v>
      </c>
      <c r="CX187" s="59">
        <f t="shared" si="122"/>
        <v>293.33333333333462</v>
      </c>
      <c r="CY187" s="59">
        <f ca="1">AVERAGE(OFFSET($CX$3,0,0,'Données projet'!$E$13+1,1))-AVERAGE(OFFSET($H$3,0,0,'Données projet'!$E$13+1,1))</f>
        <v>178.12968684094687</v>
      </c>
      <c r="CZ187" s="59">
        <f t="shared" si="150"/>
        <v>219.36004077210373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0.10752125788703282</v>
      </c>
      <c r="DH187" s="21">
        <f>EXP(-LN(2)/2)*DH186+(1-EXP(-LN(2)/2))/(LN(2)/2)*DB187*DE187*VLOOKUP('Données projet'!$B$13,Paramètres!$A$1:$I$89,3,0)*0.475*44/12</f>
        <v>6.5628606399257457E-23</v>
      </c>
      <c r="DI187" s="22">
        <f t="shared" si="175"/>
        <v>0.10752125788703282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-8.5265128291212022E-14</v>
      </c>
      <c r="DP187" s="17">
        <f>DO187*VLOOKUP('Données projet'!$B$14,Paramètres!$A$1:$I$89,3,0)*VLOOKUP('Données projet'!$B$14,Paramètres!$A$1:$I$89,5,0)</f>
        <v>-7.7147888077888636E-14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225.28075317732998</v>
      </c>
      <c r="DU187" s="59">
        <f t="shared" si="152"/>
        <v>358.43407531256207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0.10626708197494397</v>
      </c>
      <c r="EB187" s="21">
        <f>EXP(-LN(2)/25)*EB186+(1-EXP(-LN(2)/25))/(LN(2)/25)*Calculateur!DW187*Calculateur!DY187*VLOOKUP('Données projet'!$B$14,Paramètres!$A$1:$I$89,3,0)*0.475*44/12</f>
        <v>0.1156827830748752</v>
      </c>
      <c r="EC187" s="21">
        <f>EXP(-LN(2)/2)*EC186+(1-EXP(-LN(2)/2))/(LN(2)/2)*DW187*DZ187*VLOOKUP('Données projet'!$B$14,Paramètres!$A$1:$I$89,3,0)*0.475*44/12</f>
        <v>2.920954151761991E-23</v>
      </c>
      <c r="ED187" s="22">
        <f t="shared" si="178"/>
        <v>0.22194986504981917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-7.3896444519050419E-13</v>
      </c>
      <c r="EK187" s="17">
        <f>EJ187*VLOOKUP('Données projet'!$B$15,Paramètres!$A$1:$I$89,3,0)*VLOOKUP('Données projet'!$B$15,Paramètres!$A$1:$I$89,5,0)</f>
        <v>-7.4930994742317137E-13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363.98308691765931</v>
      </c>
      <c r="EP187" s="59">
        <f t="shared" si="154"/>
        <v>181.47089407988187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-7.3896444519050419E-13</v>
      </c>
      <c r="FF187" s="17">
        <f>FE187*VLOOKUP('Données projet'!$B$16,Paramètres!$A$1:$I$89,3,0)*VLOOKUP('Données projet'!$B$16,Paramètres!$A$1:$I$89,5,0)</f>
        <v>-7.954213288030586E-13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395.30533160963489</v>
      </c>
      <c r="FK187" s="59">
        <f t="shared" si="156"/>
        <v>196.02102977695085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227.99999999999986</v>
      </c>
      <c r="GA187" s="17">
        <f>FZ187*VLOOKUP('Données projet'!$B$17,Paramètres!$A$1:$I$89,3,0)*VLOOKUP('Données projet'!$B$17,Paramètres!$A$1:$I$89,5,0)</f>
        <v>238.30559999999986</v>
      </c>
      <c r="GB187" s="13">
        <f t="shared" si="185"/>
        <v>58.074821878967043</v>
      </c>
      <c r="GC187" s="20">
        <f t="shared" si="186"/>
        <v>516.19590143920061</v>
      </c>
      <c r="GD187" s="59">
        <f t="shared" si="134"/>
        <v>809.52923477253398</v>
      </c>
      <c r="GE187" s="59">
        <f ca="1">AVERAGE(OFFSET($GD$3,0,0,'Données projet'!$E$17+1,1))-AVERAGE(OFFSET($H$3,0,0,'Données projet'!$E$17+1,1))</f>
        <v>269.41185214595805</v>
      </c>
      <c r="GF187" s="59">
        <f t="shared" si="158"/>
        <v>299.70148160580993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0.30036443908239535</v>
      </c>
      <c r="GM187" s="21">
        <f>EXP(-LN(2)/25)*GM186+(1-EXP(-LN(2)/25))/(LN(2)/25)*Calculateur!GH187*Calculateur!GJ187*VLOOKUP('Données projet'!$B$17,Paramètres!$A$1:$I$89,3,0)*0.475*44/12</f>
        <v>0.22688130476182297</v>
      </c>
      <c r="GN187" s="21">
        <f>EXP(-LN(2)/2)*GN186+(1-EXP(-LN(2)/2))/(LN(2)/2)*GH187*GK187*VLOOKUP('Données projet'!$B$17,Paramètres!$A$1:$I$89,3,0)*0.475*44/12</f>
        <v>1.2645056133835434E-22</v>
      </c>
      <c r="GO187" s="21">
        <f t="shared" si="187"/>
        <v>0.5272457438442183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5.6843418860808015E-14</v>
      </c>
      <c r="GV187" s="17">
        <f>GU187*VLOOKUP('Données projet'!$B$18,Paramètres!$A$1:$I$89,3,0)*VLOOKUP('Données projet'!$B$18,Paramètres!$A$1:$I$89,5,0)</f>
        <v>4.9658410716801891E-14</v>
      </c>
      <c r="GW187" s="13">
        <f t="shared" si="188"/>
        <v>8.0934058173791862E-13</v>
      </c>
      <c r="GX187" s="20">
        <f t="shared" si="189"/>
        <v>1.4960899118586383E-12</v>
      </c>
      <c r="GY187" s="59">
        <f t="shared" si="137"/>
        <v>293.33333333333479</v>
      </c>
      <c r="GZ187" s="59">
        <f ca="1">AVERAGE(OFFSET($GY$3,0,0,'Données projet'!$E$18+1,1))-AVERAGE(OFFSET($H$3,0,0,'Données projet'!$E$18+1,1))</f>
        <v>226.35975611953359</v>
      </c>
      <c r="HA187" s="59">
        <f t="shared" si="160"/>
        <v>271.65876694892461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0.15790355933137731</v>
      </c>
      <c r="HI187" s="21">
        <f>EXP(-LN(2)/2)*HI186+(1-EXP(-LN(2)/2))/(LN(2)/2)*HC187*HF187*VLOOKUP('Données projet'!$B$18,Paramètres!$A$1:$I$89,3,0)*0.475*44/12</f>
        <v>7.819578634805142E-23</v>
      </c>
      <c r="HJ187" s="22">
        <f t="shared" si="190"/>
        <v>0.15790355933137731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-7.3896444519050419E-13</v>
      </c>
      <c r="O188" s="13">
        <f>N188*VLOOKUP('Données projet'!$B$9,Paramètres!$A$1:$I$89,3,0)*VLOOKUP('Données projet'!$B$9,Paramètres!$A$1:$I$89,5,0)</f>
        <v>-6.6861503000836817E-13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309.07357540707869</v>
      </c>
      <c r="T188" s="59">
        <f t="shared" si="142"/>
        <v>155.9593924683299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227.99999999999986</v>
      </c>
      <c r="AJ188" s="13">
        <f>AI188*VLOOKUP('Données projet'!$B$10,Paramètres!$A$1:$I$89,3,0)*VLOOKUP('Données projet'!$B$10,Paramètres!$A$1:$I$89,5,0)</f>
        <v>199.18079999999992</v>
      </c>
      <c r="AK188" s="13">
        <f t="shared" si="164"/>
        <v>49.564089376413683</v>
      </c>
      <c r="AL188" s="20">
        <f t="shared" si="165"/>
        <v>433.23068233058694</v>
      </c>
      <c r="AM188" s="59">
        <f t="shared" si="113"/>
        <v>726.56401566392026</v>
      </c>
      <c r="AN188" s="59">
        <f ca="1">AVERAGE(OFFSET($AM$3,0,0,'Données projet'!$E$10+1,1))-AVERAGE(OFFSET($H$3,0,0,'Données projet'!$E$10+1,1))</f>
        <v>210.07838338464626</v>
      </c>
      <c r="AO188" s="59">
        <f t="shared" si="144"/>
        <v>241.76003724236273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0.24612791993474084</v>
      </c>
      <c r="AV188" s="21">
        <f>EXP(-LN(2)/25)*AV187+(1-EXP(-LN(2)/25))/(LN(2)/25)*Calculateur!AQ188*Calculateur!AS188*VLOOKUP('Données projet'!$B$10,Paramètres!$A$1:$I$89,3,0)*0.475*44/12</f>
        <v>0.18444663461057809</v>
      </c>
      <c r="AW188" s="21">
        <f>EXP(-LN(2)/2)*AW187+(1-EXP(-LN(2)/2))/(LN(2)/2)*AQ188*AT188*VLOOKUP('Données projet'!$B$10,Paramètres!$A$1:$I$89,3,0)*0.475*44/12</f>
        <v>7.473413084780632E-23</v>
      </c>
      <c r="AX188" s="21">
        <f t="shared" si="166"/>
        <v>0.4305745545453189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1.2414602679200471E-13</v>
      </c>
      <c r="BF188" s="13">
        <f t="shared" si="167"/>
        <v>1.8186582995804361E-12</v>
      </c>
      <c r="BG188" s="20">
        <f t="shared" si="168"/>
        <v>3.3837175350986671E-12</v>
      </c>
      <c r="BH188" s="59">
        <f t="shared" si="116"/>
        <v>293.33333333333672</v>
      </c>
      <c r="BI188" s="59">
        <f ca="1">AVERAGE(OFFSET($BH$3,0,0,'Données projet'!$E$11+1,1))-AVERAGE(OFFSET($H$3,0,0,'Données projet'!$E$11+1,1))</f>
        <v>168.72306536277267</v>
      </c>
      <c r="BJ188" s="59">
        <f t="shared" si="146"/>
        <v>203.35476578922339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0.14126593607510271</v>
      </c>
      <c r="BQ188" s="21">
        <f>EXP(-LN(2)/25)*BQ187+(1-EXP(-LN(2)/25))/(LN(2)/25)*Calculateur!BL188*Calculateur!BN188*VLOOKUP('Données projet'!$B$11,Paramètres!$A$1:$I$89,3,0)*0.475*44/12</f>
        <v>0.31265036647783817</v>
      </c>
      <c r="BR188" s="21">
        <f>EXP(-LN(2)/2)*BR187+(1-EXP(-LN(2)/2))/(LN(2)/2)*BL188*BO188*VLOOKUP('Données projet'!$B$11,Paramètres!$A$1:$I$89,3,0)*0.475*44/12</f>
        <v>9.3696387336203278E-23</v>
      </c>
      <c r="BS188" s="22">
        <f t="shared" si="169"/>
        <v>0.45391630255294091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3.4106051316484809E-13</v>
      </c>
      <c r="BZ188" s="13">
        <f>BY188*VLOOKUP('Données projet'!$B$12,Paramètres!$A$1:$I$89,3,0)*VLOOKUP('Données projet'!$B$12,Paramètres!$A$1:$I$89,5,0)</f>
        <v>1.5961632016114892E-13</v>
      </c>
      <c r="CA188" s="13">
        <f t="shared" si="170"/>
        <v>2.2708641912150958E-12</v>
      </c>
      <c r="CB188" s="20">
        <f t="shared" si="171"/>
        <v>4.2330868906469593E-12</v>
      </c>
      <c r="CC188" s="59">
        <f t="shared" si="119"/>
        <v>293.33333333333752</v>
      </c>
      <c r="CD188" s="59">
        <f ca="1">AVERAGE(OFFSET($CC$3,0,0,'Données projet'!$E$12+1,1))-AVERAGE(OFFSET($H$3,0,0,'Données projet'!$E$12+1,1))</f>
        <v>158.58786357608489</v>
      </c>
      <c r="CE188" s="59">
        <f t="shared" si="148"/>
        <v>163.20074068819849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4.1677594708744434E-14</v>
      </c>
      <c r="CV188" s="13">
        <f t="shared" si="173"/>
        <v>6.9326303456159188E-13</v>
      </c>
      <c r="CW188" s="20">
        <f t="shared" si="174"/>
        <v>1.2800215959791691E-12</v>
      </c>
      <c r="CX188" s="59">
        <f t="shared" si="122"/>
        <v>293.33333333333462</v>
      </c>
      <c r="CY188" s="59">
        <f ca="1">AVERAGE(OFFSET($CX$3,0,0,'Données projet'!$E$13+1,1))-AVERAGE(OFFSET($H$3,0,0,'Données projet'!$E$13+1,1))</f>
        <v>178.12968684094687</v>
      </c>
      <c r="CZ188" s="59">
        <f t="shared" si="150"/>
        <v>219.36004077210373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0.1045810834358147</v>
      </c>
      <c r="DH188" s="21">
        <f>EXP(-LN(2)/2)*DH187+(1-EXP(-LN(2)/2))/(LN(2)/2)*DB188*DE188*VLOOKUP('Données projet'!$B$13,Paramètres!$A$1:$I$89,3,0)*0.475*44/12</f>
        <v>4.6406432624737796E-23</v>
      </c>
      <c r="DI188" s="22">
        <f t="shared" si="175"/>
        <v>0.1045810834358147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-8.5265128291212022E-14</v>
      </c>
      <c r="DP188" s="17">
        <f>DO188*VLOOKUP('Données projet'!$B$14,Paramètres!$A$1:$I$89,3,0)*VLOOKUP('Données projet'!$B$14,Paramètres!$A$1:$I$89,5,0)</f>
        <v>-7.7147888077888636E-14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225.28075317732998</v>
      </c>
      <c r="DU188" s="59">
        <f t="shared" si="152"/>
        <v>358.43407531256207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0.10418324931393523</v>
      </c>
      <c r="EB188" s="21">
        <f>EXP(-LN(2)/25)*EB187+(1-EXP(-LN(2)/25))/(LN(2)/25)*Calculateur!DW188*Calculateur!DY188*VLOOKUP('Données projet'!$B$14,Paramètres!$A$1:$I$89,3,0)*0.475*44/12</f>
        <v>0.11251943128819958</v>
      </c>
      <c r="EC188" s="21">
        <f>EXP(-LN(2)/2)*EC187+(1-EXP(-LN(2)/2))/(LN(2)/2)*DW188*DZ188*VLOOKUP('Données projet'!$B$14,Paramètres!$A$1:$I$89,3,0)*0.475*44/12</f>
        <v>2.0654264882459037E-23</v>
      </c>
      <c r="ED188" s="22">
        <f t="shared" si="178"/>
        <v>0.21670268060213482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-7.3896444519050419E-13</v>
      </c>
      <c r="EK188" s="17">
        <f>EJ188*VLOOKUP('Données projet'!$B$15,Paramètres!$A$1:$I$89,3,0)*VLOOKUP('Données projet'!$B$15,Paramètres!$A$1:$I$89,5,0)</f>
        <v>-7.4930994742317137E-13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363.98308691765931</v>
      </c>
      <c r="EP188" s="59">
        <f t="shared" si="154"/>
        <v>181.47089407988187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-7.3896444519050419E-13</v>
      </c>
      <c r="FF188" s="17">
        <f>FE188*VLOOKUP('Données projet'!$B$16,Paramètres!$A$1:$I$89,3,0)*VLOOKUP('Données projet'!$B$16,Paramètres!$A$1:$I$89,5,0)</f>
        <v>-7.954213288030586E-13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395.30533160963489</v>
      </c>
      <c r="FK188" s="59">
        <f t="shared" si="156"/>
        <v>196.02102977695085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227.99999999999986</v>
      </c>
      <c r="GA188" s="17">
        <f>FZ188*VLOOKUP('Données projet'!$B$17,Paramètres!$A$1:$I$89,3,0)*VLOOKUP('Données projet'!$B$17,Paramètres!$A$1:$I$89,5,0)</f>
        <v>238.30559999999986</v>
      </c>
      <c r="GB188" s="13">
        <f t="shared" si="185"/>
        <v>58.074821878967043</v>
      </c>
      <c r="GC188" s="20">
        <f t="shared" si="186"/>
        <v>516.19590143920061</v>
      </c>
      <c r="GD188" s="59">
        <f t="shared" si="134"/>
        <v>809.52923477253398</v>
      </c>
      <c r="GE188" s="59">
        <f ca="1">AVERAGE(OFFSET($GD$3,0,0,'Données projet'!$E$17+1,1))-AVERAGE(OFFSET($H$3,0,0,'Données projet'!$E$17+1,1))</f>
        <v>269.41185214595805</v>
      </c>
      <c r="GF188" s="59">
        <f t="shared" si="158"/>
        <v>299.70148160580993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0.29447447563620749</v>
      </c>
      <c r="GM188" s="21">
        <f>EXP(-LN(2)/25)*GM187+(1-EXP(-LN(2)/25))/(LN(2)/25)*Calculateur!GH188*Calculateur!GJ188*VLOOKUP('Données projet'!$B$17,Paramètres!$A$1:$I$89,3,0)*0.475*44/12</f>
        <v>0.22067722355194164</v>
      </c>
      <c r="GN188" s="21">
        <f>EXP(-LN(2)/2)*GN187+(1-EXP(-LN(2)/2))/(LN(2)/2)*GH188*GK188*VLOOKUP('Données projet'!$B$17,Paramètres!$A$1:$I$89,3,0)*0.475*44/12</f>
        <v>8.9414049407195831E-23</v>
      </c>
      <c r="GO188" s="21">
        <f t="shared" si="187"/>
        <v>0.51515169918814907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5.6843418860808015E-14</v>
      </c>
      <c r="GV188" s="17">
        <f>GU188*VLOOKUP('Données projet'!$B$18,Paramètres!$A$1:$I$89,3,0)*VLOOKUP('Données projet'!$B$18,Paramètres!$A$1:$I$89,5,0)</f>
        <v>4.9658410716801891E-14</v>
      </c>
      <c r="GW188" s="13">
        <f t="shared" si="188"/>
        <v>8.0934058173791862E-13</v>
      </c>
      <c r="GX188" s="20">
        <f t="shared" si="189"/>
        <v>1.4960899118586383E-12</v>
      </c>
      <c r="GY188" s="59">
        <f t="shared" si="137"/>
        <v>293.33333333333479</v>
      </c>
      <c r="GZ188" s="59">
        <f ca="1">AVERAGE(OFFSET($GY$3,0,0,'Données projet'!$E$18+1,1))-AVERAGE(OFFSET($H$3,0,0,'Données projet'!$E$18+1,1))</f>
        <v>226.35975611953359</v>
      </c>
      <c r="HA188" s="59">
        <f t="shared" si="160"/>
        <v>271.65876694892461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0.15358567819767352</v>
      </c>
      <c r="HI188" s="21">
        <f>EXP(-LN(2)/2)*HI187+(1-EXP(-LN(2)/2))/(LN(2)/2)*HC188*HF188*VLOOKUP('Données projet'!$B$18,Paramètres!$A$1:$I$89,3,0)*0.475*44/12</f>
        <v>5.5292770786921614E-23</v>
      </c>
      <c r="HJ188" s="22">
        <f t="shared" si="190"/>
        <v>0.15358567819767352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-7.3896444519050419E-13</v>
      </c>
      <c r="O189" s="13">
        <f>N189*VLOOKUP('Données projet'!$B$9,Paramètres!$A$1:$I$89,3,0)*VLOOKUP('Données projet'!$B$9,Paramètres!$A$1:$I$89,5,0)</f>
        <v>-6.6861503000836817E-13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309.07357540707869</v>
      </c>
      <c r="T189" s="59">
        <f t="shared" si="142"/>
        <v>155.9593924683299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227.99999999999986</v>
      </c>
      <c r="AJ189" s="13">
        <f>AI189*VLOOKUP('Données projet'!$B$10,Paramètres!$A$1:$I$89,3,0)*VLOOKUP('Données projet'!$B$10,Paramètres!$A$1:$I$89,5,0)</f>
        <v>199.18079999999992</v>
      </c>
      <c r="AK189" s="13">
        <f t="shared" si="164"/>
        <v>49.564089376413683</v>
      </c>
      <c r="AL189" s="20">
        <f t="shared" si="165"/>
        <v>433.23068233058694</v>
      </c>
      <c r="AM189" s="59">
        <f t="shared" si="113"/>
        <v>726.56401566392026</v>
      </c>
      <c r="AN189" s="59">
        <f ca="1">AVERAGE(OFFSET($AM$3,0,0,'Données projet'!$E$10+1,1))-AVERAGE(OFFSET($H$3,0,0,'Données projet'!$E$10+1,1))</f>
        <v>210.07838338464626</v>
      </c>
      <c r="AO189" s="59">
        <f t="shared" si="144"/>
        <v>241.76003724236273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0.24130150154802829</v>
      </c>
      <c r="AV189" s="21">
        <f>EXP(-LN(2)/25)*AV188+(1-EXP(-LN(2)/25))/(LN(2)/25)*Calculateur!AQ189*Calculateur!AS189*VLOOKUP('Données projet'!$B$10,Paramètres!$A$1:$I$89,3,0)*0.475*44/12</f>
        <v>0.17940293168752489</v>
      </c>
      <c r="AW189" s="21">
        <f>EXP(-LN(2)/2)*AW188+(1-EXP(-LN(2)/2))/(LN(2)/2)*AQ189*AT189*VLOOKUP('Données projet'!$B$10,Paramètres!$A$1:$I$89,3,0)*0.475*44/12</f>
        <v>5.28450107085666E-23</v>
      </c>
      <c r="AX189" s="21">
        <f t="shared" si="166"/>
        <v>0.42070443323555318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1.2414602679200471E-13</v>
      </c>
      <c r="BF189" s="13">
        <f t="shared" si="167"/>
        <v>1.8186582995804361E-12</v>
      </c>
      <c r="BG189" s="20">
        <f t="shared" si="168"/>
        <v>3.3837175350986671E-12</v>
      </c>
      <c r="BH189" s="59">
        <f t="shared" si="116"/>
        <v>293.33333333333672</v>
      </c>
      <c r="BI189" s="59">
        <f ca="1">AVERAGE(OFFSET($BH$3,0,0,'Données projet'!$E$11+1,1))-AVERAGE(OFFSET($H$3,0,0,'Données projet'!$E$11+1,1))</f>
        <v>168.72306536277267</v>
      </c>
      <c r="BJ189" s="59">
        <f t="shared" si="146"/>
        <v>203.35476578922339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0.13849579723238301</v>
      </c>
      <c r="BQ189" s="21">
        <f>EXP(-LN(2)/25)*BQ188+(1-EXP(-LN(2)/25))/(LN(2)/25)*Calculateur!BL189*Calculateur!BN189*VLOOKUP('Données projet'!$B$11,Paramètres!$A$1:$I$89,3,0)*0.475*44/12</f>
        <v>0.30410092576493347</v>
      </c>
      <c r="BR189" s="21">
        <f>EXP(-LN(2)/2)*BR188+(1-EXP(-LN(2)/2))/(LN(2)/2)*BL189*BO189*VLOOKUP('Données projet'!$B$11,Paramètres!$A$1:$I$89,3,0)*0.475*44/12</f>
        <v>6.6253350858110693E-23</v>
      </c>
      <c r="BS189" s="22">
        <f t="shared" si="169"/>
        <v>0.44259672299731645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3.4106051316484809E-13</v>
      </c>
      <c r="BZ189" s="13">
        <f>BY189*VLOOKUP('Données projet'!$B$12,Paramètres!$A$1:$I$89,3,0)*VLOOKUP('Données projet'!$B$12,Paramètres!$A$1:$I$89,5,0)</f>
        <v>1.5961632016114892E-13</v>
      </c>
      <c r="CA189" s="13">
        <f t="shared" si="170"/>
        <v>2.2708641912150958E-12</v>
      </c>
      <c r="CB189" s="20">
        <f t="shared" si="171"/>
        <v>4.2330868906469593E-12</v>
      </c>
      <c r="CC189" s="59">
        <f t="shared" si="119"/>
        <v>293.33333333333752</v>
      </c>
      <c r="CD189" s="59">
        <f ca="1">AVERAGE(OFFSET($CC$3,0,0,'Données projet'!$E$12+1,1))-AVERAGE(OFFSET($H$3,0,0,'Données projet'!$E$12+1,1))</f>
        <v>158.58786357608489</v>
      </c>
      <c r="CE189" s="59">
        <f t="shared" si="148"/>
        <v>163.20074068819849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4.1677594708744434E-14</v>
      </c>
      <c r="CV189" s="13">
        <f t="shared" si="173"/>
        <v>6.9326303456159188E-13</v>
      </c>
      <c r="CW189" s="20">
        <f t="shared" si="174"/>
        <v>1.2800215959791691E-12</v>
      </c>
      <c r="CX189" s="59">
        <f t="shared" si="122"/>
        <v>293.33333333333462</v>
      </c>
      <c r="CY189" s="59">
        <f ca="1">AVERAGE(OFFSET($CX$3,0,0,'Données projet'!$E$13+1,1))-AVERAGE(OFFSET($H$3,0,0,'Données projet'!$E$13+1,1))</f>
        <v>178.12968684094687</v>
      </c>
      <c r="CZ189" s="59">
        <f t="shared" si="150"/>
        <v>219.36004077210373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0.10172130820958218</v>
      </c>
      <c r="DH189" s="21">
        <f>EXP(-LN(2)/2)*DH188+(1-EXP(-LN(2)/2))/(LN(2)/2)*DB189*DE189*VLOOKUP('Données projet'!$B$13,Paramètres!$A$1:$I$89,3,0)*0.475*44/12</f>
        <v>3.2814303199628728E-23</v>
      </c>
      <c r="DI189" s="22">
        <f t="shared" si="175"/>
        <v>0.10172130820958218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-8.5265128291212022E-14</v>
      </c>
      <c r="DP189" s="17">
        <f>DO189*VLOOKUP('Données projet'!$B$14,Paramètres!$A$1:$I$89,3,0)*VLOOKUP('Données projet'!$B$14,Paramètres!$A$1:$I$89,5,0)</f>
        <v>-7.7147888077888636E-14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225.28075317732998</v>
      </c>
      <c r="DU189" s="59">
        <f t="shared" si="152"/>
        <v>358.43407531256207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0.10214027934039645</v>
      </c>
      <c r="EB189" s="21">
        <f>EXP(-LN(2)/25)*EB188+(1-EXP(-LN(2)/25))/(LN(2)/25)*Calculateur!DW189*Calculateur!DY189*VLOOKUP('Données projet'!$B$14,Paramètres!$A$1:$I$89,3,0)*0.475*44/12</f>
        <v>0.10944258152248404</v>
      </c>
      <c r="EC189" s="21">
        <f>EXP(-LN(2)/2)*EC188+(1-EXP(-LN(2)/2))/(LN(2)/2)*DW189*DZ189*VLOOKUP('Données projet'!$B$14,Paramètres!$A$1:$I$89,3,0)*0.475*44/12</f>
        <v>1.4604770758809955E-23</v>
      </c>
      <c r="ED189" s="22">
        <f t="shared" si="178"/>
        <v>0.21158286086288047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-7.3896444519050419E-13</v>
      </c>
      <c r="EK189" s="17">
        <f>EJ189*VLOOKUP('Données projet'!$B$15,Paramètres!$A$1:$I$89,3,0)*VLOOKUP('Données projet'!$B$15,Paramètres!$A$1:$I$89,5,0)</f>
        <v>-7.4930994742317137E-13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363.98308691765931</v>
      </c>
      <c r="EP189" s="59">
        <f t="shared" si="154"/>
        <v>181.47089407988187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-7.3896444519050419E-13</v>
      </c>
      <c r="FF189" s="17">
        <f>FE189*VLOOKUP('Données projet'!$B$16,Paramètres!$A$1:$I$89,3,0)*VLOOKUP('Données projet'!$B$16,Paramètres!$A$1:$I$89,5,0)</f>
        <v>-7.954213288030586E-13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395.30533160963489</v>
      </c>
      <c r="FK189" s="59">
        <f t="shared" si="156"/>
        <v>196.02102977695085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227.99999999999986</v>
      </c>
      <c r="GA189" s="17">
        <f>FZ189*VLOOKUP('Données projet'!$B$17,Paramètres!$A$1:$I$89,3,0)*VLOOKUP('Données projet'!$B$17,Paramètres!$A$1:$I$89,5,0)</f>
        <v>238.30559999999986</v>
      </c>
      <c r="GB189" s="13">
        <f t="shared" si="185"/>
        <v>58.074821878967043</v>
      </c>
      <c r="GC189" s="20">
        <f t="shared" si="186"/>
        <v>516.19590143920061</v>
      </c>
      <c r="GD189" s="59">
        <f t="shared" si="134"/>
        <v>809.52923477253398</v>
      </c>
      <c r="GE189" s="59">
        <f ca="1">AVERAGE(OFFSET($GD$3,0,0,'Données projet'!$E$17+1,1))-AVERAGE(OFFSET($H$3,0,0,'Données projet'!$E$17+1,1))</f>
        <v>269.41185214595805</v>
      </c>
      <c r="GF189" s="59">
        <f t="shared" si="158"/>
        <v>299.70148160580993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0.28870001078067642</v>
      </c>
      <c r="GM189" s="21">
        <f>EXP(-LN(2)/25)*GM188+(1-EXP(-LN(2)/25))/(LN(2)/25)*Calculateur!GH189*Calculateur!GJ189*VLOOKUP('Données projet'!$B$17,Paramètres!$A$1:$I$89,3,0)*0.475*44/12</f>
        <v>0.21464279326900296</v>
      </c>
      <c r="GN189" s="21">
        <f>EXP(-LN(2)/2)*GN188+(1-EXP(-LN(2)/2))/(LN(2)/2)*GH189*GK189*VLOOKUP('Données projet'!$B$17,Paramètres!$A$1:$I$89,3,0)*0.475*44/12</f>
        <v>6.3225280669177171E-23</v>
      </c>
      <c r="GO189" s="21">
        <f t="shared" si="187"/>
        <v>0.50334280404967935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5.6843418860808015E-14</v>
      </c>
      <c r="GV189" s="17">
        <f>GU189*VLOOKUP('Données projet'!$B$18,Paramètres!$A$1:$I$89,3,0)*VLOOKUP('Données projet'!$B$18,Paramètres!$A$1:$I$89,5,0)</f>
        <v>4.9658410716801891E-14</v>
      </c>
      <c r="GW189" s="13">
        <f t="shared" si="188"/>
        <v>8.0934058173791862E-13</v>
      </c>
      <c r="GX189" s="20">
        <f t="shared" si="189"/>
        <v>1.4960899118586383E-12</v>
      </c>
      <c r="GY189" s="59">
        <f t="shared" si="137"/>
        <v>293.33333333333479</v>
      </c>
      <c r="GZ189" s="59">
        <f ca="1">AVERAGE(OFFSET($GY$3,0,0,'Données projet'!$E$18+1,1))-AVERAGE(OFFSET($H$3,0,0,'Données projet'!$E$18+1,1))</f>
        <v>226.35975611953359</v>
      </c>
      <c r="HA189" s="59">
        <f t="shared" si="160"/>
        <v>271.65876694892461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0.14938586975063833</v>
      </c>
      <c r="HI189" s="21">
        <f>EXP(-LN(2)/2)*HI188+(1-EXP(-LN(2)/2))/(LN(2)/2)*HC189*HF189*VLOOKUP('Données projet'!$B$18,Paramètres!$A$1:$I$89,3,0)*0.475*44/12</f>
        <v>3.909789317402571E-23</v>
      </c>
      <c r="HJ189" s="22">
        <f t="shared" si="190"/>
        <v>0.14938586975063833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-7.3896444519050419E-13</v>
      </c>
      <c r="O190" s="13">
        <f>N190*VLOOKUP('Données projet'!$B$9,Paramètres!$A$1:$I$89,3,0)*VLOOKUP('Données projet'!$B$9,Paramètres!$A$1:$I$89,5,0)</f>
        <v>-6.6861503000836817E-13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309.07357540707869</v>
      </c>
      <c r="T190" s="59">
        <f t="shared" si="142"/>
        <v>155.9593924683299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227.99999999999986</v>
      </c>
      <c r="AJ190" s="13">
        <f>AI190*VLOOKUP('Données projet'!$B$10,Paramètres!$A$1:$I$89,3,0)*VLOOKUP('Données projet'!$B$10,Paramètres!$A$1:$I$89,5,0)</f>
        <v>199.18079999999992</v>
      </c>
      <c r="AK190" s="13">
        <f t="shared" si="164"/>
        <v>49.564089376413683</v>
      </c>
      <c r="AL190" s="20">
        <f t="shared" si="165"/>
        <v>433.23068233058694</v>
      </c>
      <c r="AM190" s="59">
        <f t="shared" si="113"/>
        <v>726.56401566392026</v>
      </c>
      <c r="AN190" s="59">
        <f ca="1">AVERAGE(OFFSET($AM$3,0,0,'Données projet'!$E$10+1,1))-AVERAGE(OFFSET($H$3,0,0,'Données projet'!$E$10+1,1))</f>
        <v>210.07838338464626</v>
      </c>
      <c r="AO190" s="59">
        <f t="shared" si="144"/>
        <v>241.76003724236273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0.23656972628205464</v>
      </c>
      <c r="AV190" s="21">
        <f>EXP(-LN(2)/25)*AV189+(1-EXP(-LN(2)/25))/(LN(2)/25)*Calculateur!AQ190*Calculateur!AS190*VLOOKUP('Données projet'!$B$10,Paramètres!$A$1:$I$89,3,0)*0.475*44/12</f>
        <v>0.17449714908613936</v>
      </c>
      <c r="AW190" s="21">
        <f>EXP(-LN(2)/2)*AW189+(1-EXP(-LN(2)/2))/(LN(2)/2)*AQ190*AT190*VLOOKUP('Données projet'!$B$10,Paramètres!$A$1:$I$89,3,0)*0.475*44/12</f>
        <v>3.7367065423903166E-23</v>
      </c>
      <c r="AX190" s="21">
        <f t="shared" si="166"/>
        <v>0.41106687536819397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1.2414602679200471E-13</v>
      </c>
      <c r="BF190" s="13">
        <f t="shared" si="167"/>
        <v>1.8186582995804361E-12</v>
      </c>
      <c r="BG190" s="20">
        <f t="shared" si="168"/>
        <v>3.3837175350986671E-12</v>
      </c>
      <c r="BH190" s="59">
        <f t="shared" si="116"/>
        <v>293.33333333333672</v>
      </c>
      <c r="BI190" s="59">
        <f ca="1">AVERAGE(OFFSET($BH$3,0,0,'Données projet'!$E$11+1,1))-AVERAGE(OFFSET($H$3,0,0,'Données projet'!$E$11+1,1))</f>
        <v>168.72306536277267</v>
      </c>
      <c r="BJ190" s="59">
        <f t="shared" si="146"/>
        <v>203.35476578922339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0.13577997912275117</v>
      </c>
      <c r="BQ190" s="21">
        <f>EXP(-LN(2)/25)*BQ189+(1-EXP(-LN(2)/25))/(LN(2)/25)*Calculateur!BL190*Calculateur!BN190*VLOOKUP('Données projet'!$B$11,Paramètres!$A$1:$I$89,3,0)*0.475*44/12</f>
        <v>0.29578526995791871</v>
      </c>
      <c r="BR190" s="21">
        <f>EXP(-LN(2)/2)*BR189+(1-EXP(-LN(2)/2))/(LN(2)/2)*BL190*BO190*VLOOKUP('Données projet'!$B$11,Paramètres!$A$1:$I$89,3,0)*0.475*44/12</f>
        <v>4.6848193668101639E-23</v>
      </c>
      <c r="BS190" s="22">
        <f t="shared" si="169"/>
        <v>0.43156524908066984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3.4106051316484809E-13</v>
      </c>
      <c r="BZ190" s="13">
        <f>BY190*VLOOKUP('Données projet'!$B$12,Paramètres!$A$1:$I$89,3,0)*VLOOKUP('Données projet'!$B$12,Paramètres!$A$1:$I$89,5,0)</f>
        <v>1.5961632016114892E-13</v>
      </c>
      <c r="CA190" s="13">
        <f t="shared" si="170"/>
        <v>2.2708641912150958E-12</v>
      </c>
      <c r="CB190" s="20">
        <f t="shared" si="171"/>
        <v>4.2330868906469593E-12</v>
      </c>
      <c r="CC190" s="59">
        <f t="shared" si="119"/>
        <v>293.33333333333752</v>
      </c>
      <c r="CD190" s="59">
        <f ca="1">AVERAGE(OFFSET($CC$3,0,0,'Données projet'!$E$12+1,1))-AVERAGE(OFFSET($H$3,0,0,'Données projet'!$E$12+1,1))</f>
        <v>158.58786357608489</v>
      </c>
      <c r="CE190" s="59">
        <f t="shared" si="148"/>
        <v>163.20074068819849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4.1677594708744434E-14</v>
      </c>
      <c r="CV190" s="13">
        <f t="shared" si="173"/>
        <v>6.9326303456159188E-13</v>
      </c>
      <c r="CW190" s="20">
        <f t="shared" si="174"/>
        <v>1.2800215959791691E-12</v>
      </c>
      <c r="CX190" s="59">
        <f t="shared" si="122"/>
        <v>293.33333333333462</v>
      </c>
      <c r="CY190" s="59">
        <f ca="1">AVERAGE(OFFSET($CX$3,0,0,'Données projet'!$E$13+1,1))-AVERAGE(OFFSET($H$3,0,0,'Données projet'!$E$13+1,1))</f>
        <v>178.12968684094687</v>
      </c>
      <c r="CZ190" s="59">
        <f t="shared" si="150"/>
        <v>219.36004077210373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9.8939733687300038E-2</v>
      </c>
      <c r="DH190" s="21">
        <f>EXP(-LN(2)/2)*DH189+(1-EXP(-LN(2)/2))/(LN(2)/2)*DB190*DE190*VLOOKUP('Données projet'!$B$13,Paramètres!$A$1:$I$89,3,0)*0.475*44/12</f>
        <v>2.3203216312368898E-23</v>
      </c>
      <c r="DI190" s="22">
        <f t="shared" si="175"/>
        <v>9.8939733687300038E-2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-8.5265128291212022E-14</v>
      </c>
      <c r="DP190" s="17">
        <f>DO190*VLOOKUP('Données projet'!$B$14,Paramètres!$A$1:$I$89,3,0)*VLOOKUP('Données projet'!$B$14,Paramètres!$A$1:$I$89,5,0)</f>
        <v>-7.7147888077888636E-14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225.28075317732998</v>
      </c>
      <c r="DU190" s="59">
        <f t="shared" si="152"/>
        <v>358.43407531256207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0.10013737076195012</v>
      </c>
      <c r="EB190" s="21">
        <f>EXP(-LN(2)/25)*EB189+(1-EXP(-LN(2)/25))/(LN(2)/25)*Calculateur!DW190*Calculateur!DY190*VLOOKUP('Données projet'!$B$14,Paramètres!$A$1:$I$89,3,0)*0.475*44/12</f>
        <v>0.10644986837541648</v>
      </c>
      <c r="EC190" s="21">
        <f>EXP(-LN(2)/2)*EC189+(1-EXP(-LN(2)/2))/(LN(2)/2)*DW190*DZ190*VLOOKUP('Données projet'!$B$14,Paramètres!$A$1:$I$89,3,0)*0.475*44/12</f>
        <v>1.0327132441229519E-23</v>
      </c>
      <c r="ED190" s="22">
        <f t="shared" si="178"/>
        <v>0.2065872391373666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-7.3896444519050419E-13</v>
      </c>
      <c r="EK190" s="17">
        <f>EJ190*VLOOKUP('Données projet'!$B$15,Paramètres!$A$1:$I$89,3,0)*VLOOKUP('Données projet'!$B$15,Paramètres!$A$1:$I$89,5,0)</f>
        <v>-7.4930994742317137E-13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363.98308691765931</v>
      </c>
      <c r="EP190" s="59">
        <f t="shared" si="154"/>
        <v>181.47089407988187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-7.3896444519050419E-13</v>
      </c>
      <c r="FF190" s="17">
        <f>FE190*VLOOKUP('Données projet'!$B$16,Paramètres!$A$1:$I$89,3,0)*VLOOKUP('Données projet'!$B$16,Paramètres!$A$1:$I$89,5,0)</f>
        <v>-7.954213288030586E-13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395.30533160963489</v>
      </c>
      <c r="FK190" s="59">
        <f t="shared" si="156"/>
        <v>196.02102977695085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227.99999999999986</v>
      </c>
      <c r="GA190" s="17">
        <f>FZ190*VLOOKUP('Données projet'!$B$17,Paramètres!$A$1:$I$89,3,0)*VLOOKUP('Données projet'!$B$17,Paramètres!$A$1:$I$89,5,0)</f>
        <v>238.30559999999986</v>
      </c>
      <c r="GB190" s="13">
        <f t="shared" si="185"/>
        <v>58.074821878967043</v>
      </c>
      <c r="GC190" s="20">
        <f t="shared" si="186"/>
        <v>516.19590143920061</v>
      </c>
      <c r="GD190" s="59">
        <f t="shared" si="134"/>
        <v>809.52923477253398</v>
      </c>
      <c r="GE190" s="59">
        <f ca="1">AVERAGE(OFFSET($GD$3,0,0,'Données projet'!$E$17+1,1))-AVERAGE(OFFSET($H$3,0,0,'Données projet'!$E$17+1,1))</f>
        <v>269.41185214595805</v>
      </c>
      <c r="GF190" s="59">
        <f t="shared" si="158"/>
        <v>299.70148160580993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0.28303877965888652</v>
      </c>
      <c r="GM190" s="21">
        <f>EXP(-LN(2)/25)*GM189+(1-EXP(-LN(2)/25))/(LN(2)/25)*Calculateur!GH190*Calculateur!GJ190*VLOOKUP('Données projet'!$B$17,Paramètres!$A$1:$I$89,3,0)*0.475*44/12</f>
        <v>0.20877337479948815</v>
      </c>
      <c r="GN190" s="21">
        <f>EXP(-LN(2)/2)*GN189+(1-EXP(-LN(2)/2))/(LN(2)/2)*GH190*GK190*VLOOKUP('Données projet'!$B$17,Paramètres!$A$1:$I$89,3,0)*0.475*44/12</f>
        <v>4.4707024703597915E-23</v>
      </c>
      <c r="GO190" s="21">
        <f t="shared" si="187"/>
        <v>0.49181215445837467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5.6843418860808015E-14</v>
      </c>
      <c r="GV190" s="17">
        <f>GU190*VLOOKUP('Données projet'!$B$18,Paramètres!$A$1:$I$89,3,0)*VLOOKUP('Données projet'!$B$18,Paramètres!$A$1:$I$89,5,0)</f>
        <v>4.9658410716801891E-14</v>
      </c>
      <c r="GW190" s="13">
        <f t="shared" si="188"/>
        <v>8.0934058173791862E-13</v>
      </c>
      <c r="GX190" s="20">
        <f t="shared" si="189"/>
        <v>1.4960899118586383E-12</v>
      </c>
      <c r="GY190" s="59">
        <f t="shared" si="137"/>
        <v>293.33333333333479</v>
      </c>
      <c r="GZ190" s="59">
        <f ca="1">AVERAGE(OFFSET($GY$3,0,0,'Données projet'!$E$18+1,1))-AVERAGE(OFFSET($H$3,0,0,'Données projet'!$E$18+1,1))</f>
        <v>226.35975611953359</v>
      </c>
      <c r="HA190" s="59">
        <f t="shared" si="160"/>
        <v>271.65876694892461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0.14530090528644565</v>
      </c>
      <c r="HI190" s="21">
        <f>EXP(-LN(2)/2)*HI189+(1-EXP(-LN(2)/2))/(LN(2)/2)*HC190*HF190*VLOOKUP('Données projet'!$B$18,Paramètres!$A$1:$I$89,3,0)*0.475*44/12</f>
        <v>2.7646385393460807E-23</v>
      </c>
      <c r="HJ190" s="22">
        <f t="shared" si="190"/>
        <v>0.14530090528644565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-7.3896444519050419E-13</v>
      </c>
      <c r="O191" s="13">
        <f>N191*VLOOKUP('Données projet'!$B$9,Paramètres!$A$1:$I$89,3,0)*VLOOKUP('Données projet'!$B$9,Paramètres!$A$1:$I$89,5,0)</f>
        <v>-6.6861503000836817E-13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309.07357540707869</v>
      </c>
      <c r="T191" s="59">
        <f t="shared" si="142"/>
        <v>155.9593924683299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227.99999999999986</v>
      </c>
      <c r="AJ191" s="13">
        <f>AI191*VLOOKUP('Données projet'!$B$10,Paramètres!$A$1:$I$89,3,0)*VLOOKUP('Données projet'!$B$10,Paramètres!$A$1:$I$89,5,0)</f>
        <v>199.18079999999992</v>
      </c>
      <c r="AK191" s="13">
        <f t="shared" si="164"/>
        <v>49.564089376413683</v>
      </c>
      <c r="AL191" s="20">
        <f t="shared" si="165"/>
        <v>433.23068233058694</v>
      </c>
      <c r="AM191" s="59">
        <f t="shared" si="113"/>
        <v>726.56401566392026</v>
      </c>
      <c r="AN191" s="59">
        <f ca="1">AVERAGE(OFFSET($AM$3,0,0,'Données projet'!$E$10+1,1))-AVERAGE(OFFSET($H$3,0,0,'Données projet'!$E$10+1,1))</f>
        <v>210.07838338464626</v>
      </c>
      <c r="AO191" s="59">
        <f t="shared" si="144"/>
        <v>241.76003724236273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0.2319307382429488</v>
      </c>
      <c r="AV191" s="21">
        <f>EXP(-LN(2)/25)*AV190+(1-EXP(-LN(2)/25))/(LN(2)/25)*Calculateur!AQ191*Calculateur!AS191*VLOOKUP('Données projet'!$B$10,Paramètres!$A$1:$I$89,3,0)*0.475*44/12</f>
        <v>0.16972551536797262</v>
      </c>
      <c r="AW191" s="21">
        <f>EXP(-LN(2)/2)*AW190+(1-EXP(-LN(2)/2))/(LN(2)/2)*AQ191*AT191*VLOOKUP('Données projet'!$B$10,Paramètres!$A$1:$I$89,3,0)*0.475*44/12</f>
        <v>2.6422505354283303E-23</v>
      </c>
      <c r="AX191" s="21">
        <f t="shared" si="166"/>
        <v>0.40165625361092139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1.2414602679200471E-13</v>
      </c>
      <c r="BF191" s="13">
        <f t="shared" si="167"/>
        <v>1.8186582995804361E-12</v>
      </c>
      <c r="BG191" s="20">
        <f t="shared" si="168"/>
        <v>3.3837175350986671E-12</v>
      </c>
      <c r="BH191" s="59">
        <f t="shared" si="116"/>
        <v>293.33333333333672</v>
      </c>
      <c r="BI191" s="59">
        <f ca="1">AVERAGE(OFFSET($BH$3,0,0,'Données projet'!$E$11+1,1))-AVERAGE(OFFSET($H$3,0,0,'Données projet'!$E$11+1,1))</f>
        <v>168.72306536277267</v>
      </c>
      <c r="BJ191" s="59">
        <f t="shared" si="146"/>
        <v>203.35476578922339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0.13311741654976372</v>
      </c>
      <c r="BQ191" s="21">
        <f>EXP(-LN(2)/25)*BQ190+(1-EXP(-LN(2)/25))/(LN(2)/25)*Calculateur!BL191*Calculateur!BN191*VLOOKUP('Données projet'!$B$11,Paramètres!$A$1:$I$89,3,0)*0.475*44/12</f>
        <v>0.28769700619624811</v>
      </c>
      <c r="BR191" s="21">
        <f>EXP(-LN(2)/2)*BR190+(1-EXP(-LN(2)/2))/(LN(2)/2)*BL191*BO191*VLOOKUP('Données projet'!$B$11,Paramètres!$A$1:$I$89,3,0)*0.475*44/12</f>
        <v>3.3126675429055346E-23</v>
      </c>
      <c r="BS191" s="22">
        <f t="shared" si="169"/>
        <v>0.42081442274601183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3.4106051316484809E-13</v>
      </c>
      <c r="BZ191" s="13">
        <f>BY191*VLOOKUP('Données projet'!$B$12,Paramètres!$A$1:$I$89,3,0)*VLOOKUP('Données projet'!$B$12,Paramètres!$A$1:$I$89,5,0)</f>
        <v>1.5961632016114892E-13</v>
      </c>
      <c r="CA191" s="13">
        <f t="shared" si="170"/>
        <v>2.2708641912150958E-12</v>
      </c>
      <c r="CB191" s="20">
        <f t="shared" si="171"/>
        <v>4.2330868906469593E-12</v>
      </c>
      <c r="CC191" s="59">
        <f t="shared" si="119"/>
        <v>293.33333333333752</v>
      </c>
      <c r="CD191" s="59">
        <f ca="1">AVERAGE(OFFSET($CC$3,0,0,'Données projet'!$E$12+1,1))-AVERAGE(OFFSET($H$3,0,0,'Données projet'!$E$12+1,1))</f>
        <v>158.58786357608489</v>
      </c>
      <c r="CE191" s="59">
        <f t="shared" si="148"/>
        <v>163.20074068819849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4.1677594708744434E-14</v>
      </c>
      <c r="CV191" s="13">
        <f t="shared" si="173"/>
        <v>6.9326303456159188E-13</v>
      </c>
      <c r="CW191" s="20">
        <f t="shared" si="174"/>
        <v>1.2800215959791691E-12</v>
      </c>
      <c r="CX191" s="59">
        <f t="shared" si="122"/>
        <v>293.33333333333462</v>
      </c>
      <c r="CY191" s="59">
        <f ca="1">AVERAGE(OFFSET($CX$3,0,0,'Données projet'!$E$13+1,1))-AVERAGE(OFFSET($H$3,0,0,'Données projet'!$E$13+1,1))</f>
        <v>178.12968684094687</v>
      </c>
      <c r="CZ191" s="59">
        <f t="shared" si="150"/>
        <v>219.36004077210373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9.6234221466606359E-2</v>
      </c>
      <c r="DH191" s="21">
        <f>EXP(-LN(2)/2)*DH190+(1-EXP(-LN(2)/2))/(LN(2)/2)*DB191*DE191*VLOOKUP('Données projet'!$B$13,Paramètres!$A$1:$I$89,3,0)*0.475*44/12</f>
        <v>1.6407151599814364E-23</v>
      </c>
      <c r="DI191" s="22">
        <f t="shared" si="175"/>
        <v>9.6234221466606359E-2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-8.5265128291212022E-14</v>
      </c>
      <c r="DP191" s="17">
        <f>DO191*VLOOKUP('Données projet'!$B$14,Paramètres!$A$1:$I$89,3,0)*VLOOKUP('Données projet'!$B$14,Paramètres!$A$1:$I$89,5,0)</f>
        <v>-7.7147888077888636E-14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225.28075317732998</v>
      </c>
      <c r="DU191" s="59">
        <f t="shared" si="152"/>
        <v>358.43407531256207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9.8173737999073515E-2</v>
      </c>
      <c r="EB191" s="21">
        <f>EXP(-LN(2)/25)*EB190+(1-EXP(-LN(2)/25))/(LN(2)/25)*Calculateur!DW191*Calculateur!DY191*VLOOKUP('Données projet'!$B$14,Paramètres!$A$1:$I$89,3,0)*0.475*44/12</f>
        <v>0.10353899112673544</v>
      </c>
      <c r="EC191" s="21">
        <f>EXP(-LN(2)/2)*EC190+(1-EXP(-LN(2)/2))/(LN(2)/2)*DW191*DZ191*VLOOKUP('Données projet'!$B$14,Paramètres!$A$1:$I$89,3,0)*0.475*44/12</f>
        <v>7.3023853794049775E-24</v>
      </c>
      <c r="ED191" s="22">
        <f t="shared" si="178"/>
        <v>0.20171272912580895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-7.3896444519050419E-13</v>
      </c>
      <c r="EK191" s="17">
        <f>EJ191*VLOOKUP('Données projet'!$B$15,Paramètres!$A$1:$I$89,3,0)*VLOOKUP('Données projet'!$B$15,Paramètres!$A$1:$I$89,5,0)</f>
        <v>-7.4930994742317137E-13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363.98308691765931</v>
      </c>
      <c r="EP191" s="59">
        <f t="shared" si="154"/>
        <v>181.47089407988187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-7.3896444519050419E-13</v>
      </c>
      <c r="FF191" s="17">
        <f>FE191*VLOOKUP('Données projet'!$B$16,Paramètres!$A$1:$I$89,3,0)*VLOOKUP('Données projet'!$B$16,Paramètres!$A$1:$I$89,5,0)</f>
        <v>-7.954213288030586E-13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395.30533160963489</v>
      </c>
      <c r="FK191" s="59">
        <f t="shared" si="156"/>
        <v>196.02102977695085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227.99999999999986</v>
      </c>
      <c r="GA191" s="17">
        <f>FZ191*VLOOKUP('Données projet'!$B$17,Paramètres!$A$1:$I$89,3,0)*VLOOKUP('Données projet'!$B$17,Paramètres!$A$1:$I$89,5,0)</f>
        <v>238.30559999999986</v>
      </c>
      <c r="GB191" s="13">
        <f t="shared" si="185"/>
        <v>58.074821878967043</v>
      </c>
      <c r="GC191" s="20">
        <f t="shared" si="186"/>
        <v>516.19590143920061</v>
      </c>
      <c r="GD191" s="59">
        <f t="shared" si="134"/>
        <v>809.52923477253398</v>
      </c>
      <c r="GE191" s="59">
        <f ca="1">AVERAGE(OFFSET($GD$3,0,0,'Données projet'!$E$17+1,1))-AVERAGE(OFFSET($H$3,0,0,'Données projet'!$E$17+1,1))</f>
        <v>269.41185214595805</v>
      </c>
      <c r="GF191" s="59">
        <f t="shared" si="158"/>
        <v>299.70148160580993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0.27748856182638487</v>
      </c>
      <c r="GM191" s="21">
        <f>EXP(-LN(2)/25)*GM190+(1-EXP(-LN(2)/25))/(LN(2)/25)*Calculateur!GH191*Calculateur!GJ191*VLOOKUP('Données projet'!$B$17,Paramètres!$A$1:$I$89,3,0)*0.475*44/12</f>
        <v>0.20306445588668154</v>
      </c>
      <c r="GN191" s="21">
        <f>EXP(-LN(2)/2)*GN190+(1-EXP(-LN(2)/2))/(LN(2)/2)*GH191*GK191*VLOOKUP('Données projet'!$B$17,Paramètres!$A$1:$I$89,3,0)*0.475*44/12</f>
        <v>3.1612640334588586E-23</v>
      </c>
      <c r="GO191" s="21">
        <f t="shared" si="187"/>
        <v>0.48055301771306641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5.6843418860808015E-14</v>
      </c>
      <c r="GV191" s="17">
        <f>GU191*VLOOKUP('Données projet'!$B$18,Paramètres!$A$1:$I$89,3,0)*VLOOKUP('Données projet'!$B$18,Paramètres!$A$1:$I$89,5,0)</f>
        <v>4.9658410716801891E-14</v>
      </c>
      <c r="GW191" s="13">
        <f t="shared" si="188"/>
        <v>8.0934058173791862E-13</v>
      </c>
      <c r="GX191" s="20">
        <f t="shared" si="189"/>
        <v>1.4960899118586383E-12</v>
      </c>
      <c r="GY191" s="59">
        <f t="shared" si="137"/>
        <v>293.33333333333479</v>
      </c>
      <c r="GZ191" s="59">
        <f ca="1">AVERAGE(OFFSET($GY$3,0,0,'Données projet'!$E$18+1,1))-AVERAGE(OFFSET($H$3,0,0,'Données projet'!$E$18+1,1))</f>
        <v>226.35975611953359</v>
      </c>
      <c r="HA191" s="59">
        <f t="shared" si="160"/>
        <v>271.65876694892461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0.14132764439034529</v>
      </c>
      <c r="HI191" s="21">
        <f>EXP(-LN(2)/2)*HI190+(1-EXP(-LN(2)/2))/(LN(2)/2)*HC191*HF191*VLOOKUP('Données projet'!$B$18,Paramètres!$A$1:$I$89,3,0)*0.475*44/12</f>
        <v>1.9548946587012855E-23</v>
      </c>
      <c r="HJ191" s="22">
        <f t="shared" si="190"/>
        <v>0.14132764439034529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-7.3896444519050419E-13</v>
      </c>
      <c r="O192" s="13">
        <f>N192*VLOOKUP('Données projet'!$B$9,Paramètres!$A$1:$I$89,3,0)*VLOOKUP('Données projet'!$B$9,Paramètres!$A$1:$I$89,5,0)</f>
        <v>-6.6861503000836817E-13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309.07357540707869</v>
      </c>
      <c r="T192" s="59">
        <f t="shared" si="142"/>
        <v>155.9593924683299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227.99999999999986</v>
      </c>
      <c r="AJ192" s="13">
        <f>AI192*VLOOKUP('Données projet'!$B$10,Paramètres!$A$1:$I$89,3,0)*VLOOKUP('Données projet'!$B$10,Paramètres!$A$1:$I$89,5,0)</f>
        <v>199.18079999999992</v>
      </c>
      <c r="AK192" s="13">
        <f t="shared" si="164"/>
        <v>49.564089376413683</v>
      </c>
      <c r="AL192" s="20">
        <f t="shared" si="165"/>
        <v>433.23068233058694</v>
      </c>
      <c r="AM192" s="59">
        <f t="shared" si="113"/>
        <v>726.56401566392026</v>
      </c>
      <c r="AN192" s="59">
        <f ca="1">AVERAGE(OFFSET($AM$3,0,0,'Données projet'!$E$10+1,1))-AVERAGE(OFFSET($H$3,0,0,'Données projet'!$E$10+1,1))</f>
        <v>210.07838338464626</v>
      </c>
      <c r="AO192" s="59">
        <f t="shared" si="144"/>
        <v>241.76003724236273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0.22738271792978651</v>
      </c>
      <c r="AV192" s="21">
        <f>EXP(-LN(2)/25)*AV191+(1-EXP(-LN(2)/25))/(LN(2)/25)*Calculateur!AQ192*Calculateur!AS192*VLOOKUP('Données projet'!$B$10,Paramètres!$A$1:$I$89,3,0)*0.475*44/12</f>
        <v>0.16508436222475847</v>
      </c>
      <c r="AW192" s="21">
        <f>EXP(-LN(2)/2)*AW191+(1-EXP(-LN(2)/2))/(LN(2)/2)*AQ192*AT192*VLOOKUP('Données projet'!$B$10,Paramètres!$A$1:$I$89,3,0)*0.475*44/12</f>
        <v>1.8683532711951586E-23</v>
      </c>
      <c r="AX192" s="21">
        <f t="shared" si="166"/>
        <v>0.39246708015454501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1.2414602679200471E-13</v>
      </c>
      <c r="BF192" s="13">
        <f t="shared" si="167"/>
        <v>1.8186582995804361E-12</v>
      </c>
      <c r="BG192" s="20">
        <f t="shared" si="168"/>
        <v>3.3837175350986671E-12</v>
      </c>
      <c r="BH192" s="59">
        <f t="shared" si="116"/>
        <v>293.33333333333672</v>
      </c>
      <c r="BI192" s="59">
        <f ca="1">AVERAGE(OFFSET($BH$3,0,0,'Données projet'!$E$11+1,1))-AVERAGE(OFFSET($H$3,0,0,'Données projet'!$E$11+1,1))</f>
        <v>168.72306536277267</v>
      </c>
      <c r="BJ192" s="59">
        <f t="shared" si="146"/>
        <v>203.35476578922339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0.13050706520482974</v>
      </c>
      <c r="BQ192" s="21">
        <f>EXP(-LN(2)/25)*BQ191+(1-EXP(-LN(2)/25))/(LN(2)/25)*Calculateur!BL192*Calculateur!BN192*VLOOKUP('Données projet'!$B$11,Paramètres!$A$1:$I$89,3,0)*0.475*44/12</f>
        <v>0.27982991643248367</v>
      </c>
      <c r="BR192" s="21">
        <f>EXP(-LN(2)/2)*BR191+(1-EXP(-LN(2)/2))/(LN(2)/2)*BL192*BO192*VLOOKUP('Données projet'!$B$11,Paramètres!$A$1:$I$89,3,0)*0.475*44/12</f>
        <v>2.342409683405082E-23</v>
      </c>
      <c r="BS192" s="22">
        <f t="shared" si="169"/>
        <v>0.41033698163731341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3.4106051316484809E-13</v>
      </c>
      <c r="BZ192" s="13">
        <f>BY192*VLOOKUP('Données projet'!$B$12,Paramètres!$A$1:$I$89,3,0)*VLOOKUP('Données projet'!$B$12,Paramètres!$A$1:$I$89,5,0)</f>
        <v>1.5961632016114892E-13</v>
      </c>
      <c r="CA192" s="13">
        <f t="shared" si="170"/>
        <v>2.2708641912150958E-12</v>
      </c>
      <c r="CB192" s="20">
        <f t="shared" si="171"/>
        <v>4.2330868906469593E-12</v>
      </c>
      <c r="CC192" s="59">
        <f t="shared" si="119"/>
        <v>293.33333333333752</v>
      </c>
      <c r="CD192" s="59">
        <f ca="1">AVERAGE(OFFSET($CC$3,0,0,'Données projet'!$E$12+1,1))-AVERAGE(OFFSET($H$3,0,0,'Données projet'!$E$12+1,1))</f>
        <v>158.58786357608489</v>
      </c>
      <c r="CE192" s="59">
        <f t="shared" si="148"/>
        <v>163.20074068819849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4.1677594708744434E-14</v>
      </c>
      <c r="CV192" s="13">
        <f t="shared" si="173"/>
        <v>6.9326303456159188E-13</v>
      </c>
      <c r="CW192" s="20">
        <f t="shared" si="174"/>
        <v>1.2800215959791691E-12</v>
      </c>
      <c r="CX192" s="59">
        <f t="shared" si="122"/>
        <v>293.33333333333462</v>
      </c>
      <c r="CY192" s="59">
        <f ca="1">AVERAGE(OFFSET($CX$3,0,0,'Données projet'!$E$13+1,1))-AVERAGE(OFFSET($H$3,0,0,'Données projet'!$E$13+1,1))</f>
        <v>178.12968684094687</v>
      </c>
      <c r="CZ192" s="59">
        <f t="shared" si="150"/>
        <v>219.36004077210373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9.3602691619864245E-2</v>
      </c>
      <c r="DH192" s="21">
        <f>EXP(-LN(2)/2)*DH191+(1-EXP(-LN(2)/2))/(LN(2)/2)*DB192*DE192*VLOOKUP('Données projet'!$B$13,Paramètres!$A$1:$I$89,3,0)*0.475*44/12</f>
        <v>1.1601608156184449E-23</v>
      </c>
      <c r="DI192" s="22">
        <f t="shared" si="175"/>
        <v>9.3602691619864245E-2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-8.5265128291212022E-14</v>
      </c>
      <c r="DP192" s="17">
        <f>DO192*VLOOKUP('Données projet'!$B$14,Paramètres!$A$1:$I$89,3,0)*VLOOKUP('Données projet'!$B$14,Paramètres!$A$1:$I$89,5,0)</f>
        <v>-7.7147888077888636E-14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225.28075317732998</v>
      </c>
      <c r="DU192" s="59">
        <f t="shared" si="152"/>
        <v>358.43407531256207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9.6248610876979196E-2</v>
      </c>
      <c r="EB192" s="21">
        <f>EXP(-LN(2)/25)*EB191+(1-EXP(-LN(2)/25))/(LN(2)/25)*Calculateur!DW192*Calculateur!DY192*VLOOKUP('Données projet'!$B$14,Paramètres!$A$1:$I$89,3,0)*0.475*44/12</f>
        <v>0.10070771196949596</v>
      </c>
      <c r="EC192" s="21">
        <f>EXP(-LN(2)/2)*EC191+(1-EXP(-LN(2)/2))/(LN(2)/2)*DW192*DZ192*VLOOKUP('Données projet'!$B$14,Paramètres!$A$1:$I$89,3,0)*0.475*44/12</f>
        <v>5.1635662206147593E-24</v>
      </c>
      <c r="ED192" s="22">
        <f t="shared" si="178"/>
        <v>0.19695632284647516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-7.3896444519050419E-13</v>
      </c>
      <c r="EK192" s="17">
        <f>EJ192*VLOOKUP('Données projet'!$B$15,Paramètres!$A$1:$I$89,3,0)*VLOOKUP('Données projet'!$B$15,Paramètres!$A$1:$I$89,5,0)</f>
        <v>-7.4930994742317137E-13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363.98308691765931</v>
      </c>
      <c r="EP192" s="59">
        <f t="shared" si="154"/>
        <v>181.47089407988187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-7.3896444519050419E-13</v>
      </c>
      <c r="FF192" s="17">
        <f>FE192*VLOOKUP('Données projet'!$B$16,Paramètres!$A$1:$I$89,3,0)*VLOOKUP('Données projet'!$B$16,Paramètres!$A$1:$I$89,5,0)</f>
        <v>-7.954213288030586E-13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395.30533160963489</v>
      </c>
      <c r="FK192" s="59">
        <f t="shared" si="156"/>
        <v>196.02102977695085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227.99999999999986</v>
      </c>
      <c r="GA192" s="17">
        <f>FZ192*VLOOKUP('Données projet'!$B$17,Paramètres!$A$1:$I$89,3,0)*VLOOKUP('Données projet'!$B$17,Paramètres!$A$1:$I$89,5,0)</f>
        <v>238.30559999999986</v>
      </c>
      <c r="GB192" s="13">
        <f t="shared" si="185"/>
        <v>58.074821878967043</v>
      </c>
      <c r="GC192" s="20">
        <f t="shared" si="186"/>
        <v>516.19590143920061</v>
      </c>
      <c r="GD192" s="59">
        <f t="shared" si="134"/>
        <v>809.52923477253398</v>
      </c>
      <c r="GE192" s="59">
        <f ca="1">AVERAGE(OFFSET($GD$3,0,0,'Données projet'!$E$17+1,1))-AVERAGE(OFFSET($H$3,0,0,'Données projet'!$E$17+1,1))</f>
        <v>269.41185214595805</v>
      </c>
      <c r="GF192" s="59">
        <f t="shared" si="158"/>
        <v>299.70148160580993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0.27204718038027997</v>
      </c>
      <c r="GM192" s="21">
        <f>EXP(-LN(2)/25)*GM191+(1-EXP(-LN(2)/25))/(LN(2)/25)*Calculateur!GH192*Calculateur!GJ192*VLOOKUP('Données projet'!$B$17,Paramètres!$A$1:$I$89,3,0)*0.475*44/12</f>
        <v>0.1975116476617646</v>
      </c>
      <c r="GN192" s="21">
        <f>EXP(-LN(2)/2)*GN191+(1-EXP(-LN(2)/2))/(LN(2)/2)*GH192*GK192*VLOOKUP('Données projet'!$B$17,Paramètres!$A$1:$I$89,3,0)*0.475*44/12</f>
        <v>2.2353512351798958E-23</v>
      </c>
      <c r="GO192" s="21">
        <f t="shared" si="187"/>
        <v>0.46955882804204457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5.6843418860808015E-14</v>
      </c>
      <c r="GV192" s="17">
        <f>GU192*VLOOKUP('Données projet'!$B$18,Paramètres!$A$1:$I$89,3,0)*VLOOKUP('Données projet'!$B$18,Paramètres!$A$1:$I$89,5,0)</f>
        <v>4.9658410716801891E-14</v>
      </c>
      <c r="GW192" s="13">
        <f t="shared" si="188"/>
        <v>8.0934058173791862E-13</v>
      </c>
      <c r="GX192" s="20">
        <f t="shared" si="189"/>
        <v>1.4960899118586383E-12</v>
      </c>
      <c r="GY192" s="59">
        <f t="shared" si="137"/>
        <v>293.33333333333479</v>
      </c>
      <c r="GZ192" s="59">
        <f ca="1">AVERAGE(OFFSET($GY$3,0,0,'Données projet'!$E$18+1,1))-AVERAGE(OFFSET($H$3,0,0,'Données projet'!$E$18+1,1))</f>
        <v>226.35975611953359</v>
      </c>
      <c r="HA192" s="59">
        <f t="shared" si="160"/>
        <v>271.65876694892461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0.13746303252239347</v>
      </c>
      <c r="HI192" s="21">
        <f>EXP(-LN(2)/2)*HI191+(1-EXP(-LN(2)/2))/(LN(2)/2)*HC192*HF192*VLOOKUP('Données projet'!$B$18,Paramètres!$A$1:$I$89,3,0)*0.475*44/12</f>
        <v>1.3823192696730403E-23</v>
      </c>
      <c r="HJ192" s="22">
        <f t="shared" si="190"/>
        <v>0.13746303252239347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-7.3896444519050419E-13</v>
      </c>
      <c r="O193" s="13">
        <f>N193*VLOOKUP('Données projet'!$B$9,Paramètres!$A$1:$I$89,3,0)*VLOOKUP('Données projet'!$B$9,Paramètres!$A$1:$I$89,5,0)</f>
        <v>-6.6861503000836817E-13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309.07357540707869</v>
      </c>
      <c r="T193" s="59">
        <f t="shared" si="142"/>
        <v>155.9593924683299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227.99999999999986</v>
      </c>
      <c r="AJ193" s="13">
        <f>AI193*VLOOKUP('Données projet'!$B$10,Paramètres!$A$1:$I$89,3,0)*VLOOKUP('Données projet'!$B$10,Paramètres!$A$1:$I$89,5,0)</f>
        <v>199.18079999999992</v>
      </c>
      <c r="AK193" s="13">
        <f t="shared" si="164"/>
        <v>49.564089376413683</v>
      </c>
      <c r="AL193" s="20">
        <f t="shared" si="165"/>
        <v>433.23068233058694</v>
      </c>
      <c r="AM193" s="59">
        <f t="shared" si="113"/>
        <v>726.56401566392026</v>
      </c>
      <c r="AN193" s="59">
        <f ca="1">AVERAGE(OFFSET($AM$3,0,0,'Données projet'!$E$10+1,1))-AVERAGE(OFFSET($H$3,0,0,'Données projet'!$E$10+1,1))</f>
        <v>210.07838338464626</v>
      </c>
      <c r="AO193" s="59">
        <f t="shared" si="144"/>
        <v>241.76003724236273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0.22292388152094686</v>
      </c>
      <c r="AV193" s="21">
        <f>EXP(-LN(2)/25)*AV192+(1-EXP(-LN(2)/25))/(LN(2)/25)*Calculateur!AQ193*Calculateur!AS193*VLOOKUP('Données projet'!$B$10,Paramètres!$A$1:$I$89,3,0)*0.475*44/12</f>
        <v>0.16057012165831314</v>
      </c>
      <c r="AW193" s="21">
        <f>EXP(-LN(2)/2)*AW192+(1-EXP(-LN(2)/2))/(LN(2)/2)*AQ193*AT193*VLOOKUP('Données projet'!$B$10,Paramètres!$A$1:$I$89,3,0)*0.475*44/12</f>
        <v>1.3211252677141654E-23</v>
      </c>
      <c r="AX193" s="21">
        <f t="shared" si="166"/>
        <v>0.38349400317925997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1.2414602679200471E-13</v>
      </c>
      <c r="BF193" s="13">
        <f t="shared" si="167"/>
        <v>1.8186582995804361E-12</v>
      </c>
      <c r="BG193" s="20">
        <f t="shared" si="168"/>
        <v>3.3837175350986671E-12</v>
      </c>
      <c r="BH193" s="59">
        <f t="shared" si="116"/>
        <v>293.33333333333672</v>
      </c>
      <c r="BI193" s="59">
        <f ca="1">AVERAGE(OFFSET($BH$3,0,0,'Données projet'!$E$11+1,1))-AVERAGE(OFFSET($H$3,0,0,'Données projet'!$E$11+1,1))</f>
        <v>168.72306536277267</v>
      </c>
      <c r="BJ193" s="59">
        <f t="shared" si="146"/>
        <v>203.35476578922339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0.12794790125761282</v>
      </c>
      <c r="BQ193" s="21">
        <f>EXP(-LN(2)/25)*BQ192+(1-EXP(-LN(2)/25))/(LN(2)/25)*Calculateur!BL193*Calculateur!BN193*VLOOKUP('Données projet'!$B$11,Paramètres!$A$1:$I$89,3,0)*0.475*44/12</f>
        <v>0.27217795265202166</v>
      </c>
      <c r="BR193" s="21">
        <f>EXP(-LN(2)/2)*BR192+(1-EXP(-LN(2)/2))/(LN(2)/2)*BL193*BO193*VLOOKUP('Données projet'!$B$11,Paramètres!$A$1:$I$89,3,0)*0.475*44/12</f>
        <v>1.6563337714527673E-23</v>
      </c>
      <c r="BS193" s="22">
        <f t="shared" si="169"/>
        <v>0.40012585390963451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3.4106051316484809E-13</v>
      </c>
      <c r="BZ193" s="13">
        <f>BY193*VLOOKUP('Données projet'!$B$12,Paramètres!$A$1:$I$89,3,0)*VLOOKUP('Données projet'!$B$12,Paramètres!$A$1:$I$89,5,0)</f>
        <v>1.5961632016114892E-13</v>
      </c>
      <c r="CA193" s="13">
        <f t="shared" si="170"/>
        <v>2.2708641912150958E-12</v>
      </c>
      <c r="CB193" s="20">
        <f t="shared" si="171"/>
        <v>4.2330868906469593E-12</v>
      </c>
      <c r="CC193" s="59">
        <f t="shared" si="119"/>
        <v>293.33333333333752</v>
      </c>
      <c r="CD193" s="59">
        <f ca="1">AVERAGE(OFFSET($CC$3,0,0,'Données projet'!$E$12+1,1))-AVERAGE(OFFSET($H$3,0,0,'Données projet'!$E$12+1,1))</f>
        <v>158.58786357608489</v>
      </c>
      <c r="CE193" s="59">
        <f t="shared" si="148"/>
        <v>163.20074068819849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4.1677594708744434E-14</v>
      </c>
      <c r="CV193" s="13">
        <f t="shared" si="173"/>
        <v>6.9326303456159188E-13</v>
      </c>
      <c r="CW193" s="20">
        <f t="shared" si="174"/>
        <v>1.2800215959791691E-12</v>
      </c>
      <c r="CX193" s="59">
        <f t="shared" si="122"/>
        <v>293.33333333333462</v>
      </c>
      <c r="CY193" s="59">
        <f ca="1">AVERAGE(OFFSET($CX$3,0,0,'Données projet'!$E$13+1,1))-AVERAGE(OFFSET($H$3,0,0,'Données projet'!$E$13+1,1))</f>
        <v>178.12968684094687</v>
      </c>
      <c r="CZ193" s="59">
        <f t="shared" si="150"/>
        <v>219.36004077210373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9.1043121095167434E-2</v>
      </c>
      <c r="DH193" s="21">
        <f>EXP(-LN(2)/2)*DH192+(1-EXP(-LN(2)/2))/(LN(2)/2)*DB193*DE193*VLOOKUP('Données projet'!$B$13,Paramètres!$A$1:$I$89,3,0)*0.475*44/12</f>
        <v>8.2035757999071821E-24</v>
      </c>
      <c r="DI193" s="22">
        <f t="shared" si="175"/>
        <v>9.1043121095167434E-2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-8.5265128291212022E-14</v>
      </c>
      <c r="DP193" s="17">
        <f>DO193*VLOOKUP('Données projet'!$B$14,Paramètres!$A$1:$I$89,3,0)*VLOOKUP('Données projet'!$B$14,Paramètres!$A$1:$I$89,5,0)</f>
        <v>-7.7147888077888636E-14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225.28075317732998</v>
      </c>
      <c r="DU193" s="59">
        <f t="shared" si="152"/>
        <v>358.43407531256207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9.4361234323537546E-2</v>
      </c>
      <c r="EB193" s="21">
        <f>EXP(-LN(2)/25)*EB192+(1-EXP(-LN(2)/25))/(LN(2)/25)*Calculateur!DW193*Calculateur!DY193*VLOOKUP('Données projet'!$B$14,Paramètres!$A$1:$I$89,3,0)*0.475*44/12</f>
        <v>9.7953854289701686E-2</v>
      </c>
      <c r="EC193" s="21">
        <f>EXP(-LN(2)/2)*EC192+(1-EXP(-LN(2)/2))/(LN(2)/2)*DW193*DZ193*VLOOKUP('Données projet'!$B$14,Paramètres!$A$1:$I$89,3,0)*0.475*44/12</f>
        <v>3.6511926897024888E-24</v>
      </c>
      <c r="ED193" s="22">
        <f t="shared" si="178"/>
        <v>0.19231508861323923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-7.3896444519050419E-13</v>
      </c>
      <c r="EK193" s="17">
        <f>EJ193*VLOOKUP('Données projet'!$B$15,Paramètres!$A$1:$I$89,3,0)*VLOOKUP('Données projet'!$B$15,Paramètres!$A$1:$I$89,5,0)</f>
        <v>-7.4930994742317137E-13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363.98308691765931</v>
      </c>
      <c r="EP193" s="59">
        <f t="shared" si="154"/>
        <v>181.47089407988187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-7.3896444519050419E-13</v>
      </c>
      <c r="FF193" s="17">
        <f>FE193*VLOOKUP('Données projet'!$B$16,Paramètres!$A$1:$I$89,3,0)*VLOOKUP('Données projet'!$B$16,Paramètres!$A$1:$I$89,5,0)</f>
        <v>-7.954213288030586E-13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395.30533160963489</v>
      </c>
      <c r="FK193" s="59">
        <f t="shared" si="156"/>
        <v>196.02102977695085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227.99999999999986</v>
      </c>
      <c r="GA193" s="17">
        <f>FZ193*VLOOKUP('Données projet'!$B$17,Paramètres!$A$1:$I$89,3,0)*VLOOKUP('Données projet'!$B$17,Paramètres!$A$1:$I$89,5,0)</f>
        <v>238.30559999999986</v>
      </c>
      <c r="GB193" s="13">
        <f t="shared" si="185"/>
        <v>58.074821878967043</v>
      </c>
      <c r="GC193" s="20">
        <f t="shared" si="186"/>
        <v>516.19590143920061</v>
      </c>
      <c r="GD193" s="59">
        <f t="shared" si="134"/>
        <v>809.52923477253398</v>
      </c>
      <c r="GE193" s="59">
        <f ca="1">AVERAGE(OFFSET($GD$3,0,0,'Données projet'!$E$17+1,1))-AVERAGE(OFFSET($H$3,0,0,'Données projet'!$E$17+1,1))</f>
        <v>269.41185214595805</v>
      </c>
      <c r="GF193" s="59">
        <f t="shared" si="158"/>
        <v>299.70148160580993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0.26671250110541828</v>
      </c>
      <c r="GM193" s="21">
        <f>EXP(-LN(2)/25)*GM192+(1-EXP(-LN(2)/25))/(LN(2)/25)*Calculateur!GH193*Calculateur!GJ193*VLOOKUP('Données projet'!$B$17,Paramètres!$A$1:$I$89,3,0)*0.475*44/12</f>
        <v>0.19211068126976752</v>
      </c>
      <c r="GN193" s="21">
        <f>EXP(-LN(2)/2)*GN192+(1-EXP(-LN(2)/2))/(LN(2)/2)*GH193*GK193*VLOOKUP('Données projet'!$B$17,Paramètres!$A$1:$I$89,3,0)*0.475*44/12</f>
        <v>1.5806320167294293E-23</v>
      </c>
      <c r="GO193" s="21">
        <f t="shared" si="187"/>
        <v>0.45882318237518582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5.6843418860808015E-14</v>
      </c>
      <c r="GV193" s="17">
        <f>GU193*VLOOKUP('Données projet'!$B$18,Paramètres!$A$1:$I$89,3,0)*VLOOKUP('Données projet'!$B$18,Paramètres!$A$1:$I$89,5,0)</f>
        <v>4.9658410716801891E-14</v>
      </c>
      <c r="GW193" s="13">
        <f t="shared" si="188"/>
        <v>8.0934058173791862E-13</v>
      </c>
      <c r="GX193" s="20">
        <f t="shared" si="189"/>
        <v>1.4960899118586383E-12</v>
      </c>
      <c r="GY193" s="59">
        <f t="shared" si="137"/>
        <v>293.33333333333479</v>
      </c>
      <c r="GZ193" s="59">
        <f ca="1">AVERAGE(OFFSET($GY$3,0,0,'Données projet'!$E$18+1,1))-AVERAGE(OFFSET($H$3,0,0,'Données projet'!$E$18+1,1))</f>
        <v>226.35975611953359</v>
      </c>
      <c r="HA193" s="59">
        <f t="shared" si="160"/>
        <v>271.65876694892461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0.13370409866920191</v>
      </c>
      <c r="HI193" s="21">
        <f>EXP(-LN(2)/2)*HI192+(1-EXP(-LN(2)/2))/(LN(2)/2)*HC193*HF193*VLOOKUP('Données projet'!$B$18,Paramètres!$A$1:$I$89,3,0)*0.475*44/12</f>
        <v>9.7744732935064275E-24</v>
      </c>
      <c r="HJ193" s="22">
        <f t="shared" si="190"/>
        <v>0.13370409866920191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-7.3896444519050419E-13</v>
      </c>
      <c r="O194" s="13">
        <f>N194*VLOOKUP('Données projet'!$B$9,Paramètres!$A$1:$I$89,3,0)*VLOOKUP('Données projet'!$B$9,Paramètres!$A$1:$I$89,5,0)</f>
        <v>-6.6861503000836817E-13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309.07357540707869</v>
      </c>
      <c r="T194" s="59">
        <f t="shared" si="142"/>
        <v>155.9593924683299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227.99999999999986</v>
      </c>
      <c r="AJ194" s="13">
        <f>AI194*VLOOKUP('Données projet'!$B$10,Paramètres!$A$1:$I$89,3,0)*VLOOKUP('Données projet'!$B$10,Paramètres!$A$1:$I$89,5,0)</f>
        <v>199.18079999999992</v>
      </c>
      <c r="AK194" s="13">
        <f t="shared" si="164"/>
        <v>49.564089376413683</v>
      </c>
      <c r="AL194" s="20">
        <f t="shared" si="165"/>
        <v>433.23068233058694</v>
      </c>
      <c r="AM194" s="59">
        <f t="shared" si="113"/>
        <v>726.56401566392026</v>
      </c>
      <c r="AN194" s="59">
        <f ca="1">AVERAGE(OFFSET($AM$3,0,0,'Données projet'!$E$10+1,1))-AVERAGE(OFFSET($H$3,0,0,'Données projet'!$E$10+1,1))</f>
        <v>210.07838338464626</v>
      </c>
      <c r="AO194" s="59">
        <f t="shared" si="144"/>
        <v>241.76003724236273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0.21855248017446288</v>
      </c>
      <c r="AV194" s="21">
        <f>EXP(-LN(2)/25)*AV193+(1-EXP(-LN(2)/25))/(LN(2)/25)*Calculateur!AQ194*Calculateur!AS194*VLOOKUP('Données projet'!$B$10,Paramètres!$A$1:$I$89,3,0)*0.475*44/12</f>
        <v>0.15617932323755085</v>
      </c>
      <c r="AW194" s="21">
        <f>EXP(-LN(2)/2)*AW193+(1-EXP(-LN(2)/2))/(LN(2)/2)*AQ194*AT194*VLOOKUP('Données projet'!$B$10,Paramètres!$A$1:$I$89,3,0)*0.475*44/12</f>
        <v>9.3417663559757944E-24</v>
      </c>
      <c r="AX194" s="21">
        <f t="shared" si="166"/>
        <v>0.37473180341201373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1.2414602679200471E-13</v>
      </c>
      <c r="BF194" s="13">
        <f t="shared" si="167"/>
        <v>1.8186582995804361E-12</v>
      </c>
      <c r="BG194" s="20">
        <f t="shared" si="168"/>
        <v>3.3837175350986671E-12</v>
      </c>
      <c r="BH194" s="59">
        <f t="shared" si="116"/>
        <v>293.33333333333672</v>
      </c>
      <c r="BI194" s="59">
        <f ca="1">AVERAGE(OFFSET($BH$3,0,0,'Données projet'!$E$11+1,1))-AVERAGE(OFFSET($H$3,0,0,'Données projet'!$E$11+1,1))</f>
        <v>168.72306536277267</v>
      </c>
      <c r="BJ194" s="59">
        <f t="shared" si="146"/>
        <v>203.35476578922339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0.12543892095446493</v>
      </c>
      <c r="BQ194" s="21">
        <f>EXP(-LN(2)/25)*BQ193+(1-EXP(-LN(2)/25))/(LN(2)/25)*Calculateur!BL194*Calculateur!BN194*VLOOKUP('Données projet'!$B$11,Paramètres!$A$1:$I$89,3,0)*0.475*44/12</f>
        <v>0.26473523222353568</v>
      </c>
      <c r="BR194" s="21">
        <f>EXP(-LN(2)/2)*BR193+(1-EXP(-LN(2)/2))/(LN(2)/2)*BL194*BO194*VLOOKUP('Données projet'!$B$11,Paramètres!$A$1:$I$89,3,0)*0.475*44/12</f>
        <v>1.171204841702541E-23</v>
      </c>
      <c r="BS194" s="22">
        <f t="shared" si="169"/>
        <v>0.39017415317800064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3.4106051316484809E-13</v>
      </c>
      <c r="BZ194" s="13">
        <f>BY194*VLOOKUP('Données projet'!$B$12,Paramètres!$A$1:$I$89,3,0)*VLOOKUP('Données projet'!$B$12,Paramètres!$A$1:$I$89,5,0)</f>
        <v>1.5961632016114892E-13</v>
      </c>
      <c r="CA194" s="13">
        <f t="shared" si="170"/>
        <v>2.2708641912150958E-12</v>
      </c>
      <c r="CB194" s="20">
        <f t="shared" si="171"/>
        <v>4.2330868906469593E-12</v>
      </c>
      <c r="CC194" s="59">
        <f t="shared" si="119"/>
        <v>293.33333333333752</v>
      </c>
      <c r="CD194" s="59">
        <f ca="1">AVERAGE(OFFSET($CC$3,0,0,'Données projet'!$E$12+1,1))-AVERAGE(OFFSET($H$3,0,0,'Données projet'!$E$12+1,1))</f>
        <v>158.58786357608489</v>
      </c>
      <c r="CE194" s="59">
        <f t="shared" si="148"/>
        <v>163.20074068819849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4.1677594708744434E-14</v>
      </c>
      <c r="CV194" s="13">
        <f t="shared" si="173"/>
        <v>6.9326303456159188E-13</v>
      </c>
      <c r="CW194" s="20">
        <f t="shared" si="174"/>
        <v>1.2800215959791691E-12</v>
      </c>
      <c r="CX194" s="59">
        <f t="shared" si="122"/>
        <v>293.33333333333462</v>
      </c>
      <c r="CY194" s="59">
        <f ca="1">AVERAGE(OFFSET($CX$3,0,0,'Données projet'!$E$13+1,1))-AVERAGE(OFFSET($H$3,0,0,'Données projet'!$E$13+1,1))</f>
        <v>178.12968684094687</v>
      </c>
      <c r="CZ194" s="59">
        <f t="shared" si="150"/>
        <v>219.36004077210373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8.855354216107042E-2</v>
      </c>
      <c r="DH194" s="21">
        <f>EXP(-LN(2)/2)*DH193+(1-EXP(-LN(2)/2))/(LN(2)/2)*DB194*DE194*VLOOKUP('Données projet'!$B$13,Paramètres!$A$1:$I$89,3,0)*0.475*44/12</f>
        <v>5.8008040780922245E-24</v>
      </c>
      <c r="DI194" s="22">
        <f t="shared" si="175"/>
        <v>8.855354216107042E-2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-8.5265128291212022E-14</v>
      </c>
      <c r="DP194" s="17">
        <f>DO194*VLOOKUP('Données projet'!$B$14,Paramètres!$A$1:$I$89,3,0)*VLOOKUP('Données projet'!$B$14,Paramètres!$A$1:$I$89,5,0)</f>
        <v>-7.7147888077888636E-14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225.28075317732998</v>
      </c>
      <c r="DU194" s="59">
        <f t="shared" si="152"/>
        <v>358.43407531256207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9.2510868073122865E-2</v>
      </c>
      <c r="EB194" s="21">
        <f>EXP(-LN(2)/25)*EB193+(1-EXP(-LN(2)/25))/(LN(2)/25)*Calculateur!DW194*Calculateur!DY194*VLOOKUP('Données projet'!$B$14,Paramètres!$A$1:$I$89,3,0)*0.475*44/12</f>
        <v>9.5275300992980469E-2</v>
      </c>
      <c r="EC194" s="21">
        <f>EXP(-LN(2)/2)*EC193+(1-EXP(-LN(2)/2))/(LN(2)/2)*DW194*DZ194*VLOOKUP('Données projet'!$B$14,Paramètres!$A$1:$I$89,3,0)*0.475*44/12</f>
        <v>2.5817831103073796E-24</v>
      </c>
      <c r="ED194" s="22">
        <f t="shared" si="178"/>
        <v>0.18778616906610335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-7.3896444519050419E-13</v>
      </c>
      <c r="EK194" s="17">
        <f>EJ194*VLOOKUP('Données projet'!$B$15,Paramètres!$A$1:$I$89,3,0)*VLOOKUP('Données projet'!$B$15,Paramètres!$A$1:$I$89,5,0)</f>
        <v>-7.4930994742317137E-13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363.98308691765931</v>
      </c>
      <c r="EP194" s="59">
        <f t="shared" si="154"/>
        <v>181.47089407988187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-7.3896444519050419E-13</v>
      </c>
      <c r="FF194" s="17">
        <f>FE194*VLOOKUP('Données projet'!$B$16,Paramètres!$A$1:$I$89,3,0)*VLOOKUP('Données projet'!$B$16,Paramètres!$A$1:$I$89,5,0)</f>
        <v>-7.954213288030586E-13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395.30533160963489</v>
      </c>
      <c r="FK194" s="59">
        <f t="shared" si="156"/>
        <v>196.02102977695085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227.99999999999986</v>
      </c>
      <c r="GA194" s="17">
        <f>FZ194*VLOOKUP('Données projet'!$B$17,Paramètres!$A$1:$I$89,3,0)*VLOOKUP('Données projet'!$B$17,Paramètres!$A$1:$I$89,5,0)</f>
        <v>238.30559999999986</v>
      </c>
      <c r="GB194" s="13">
        <f t="shared" si="185"/>
        <v>58.074821878967043</v>
      </c>
      <c r="GC194" s="20">
        <f t="shared" si="186"/>
        <v>516.19590143920061</v>
      </c>
      <c r="GD194" s="59">
        <f t="shared" si="134"/>
        <v>809.52923477253398</v>
      </c>
      <c r="GE194" s="59">
        <f ca="1">AVERAGE(OFFSET($GD$3,0,0,'Données projet'!$E$17+1,1))-AVERAGE(OFFSET($H$3,0,0,'Données projet'!$E$17+1,1))</f>
        <v>269.41185214595805</v>
      </c>
      <c r="GF194" s="59">
        <f t="shared" si="158"/>
        <v>299.70148160580993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0.2614824316373035</v>
      </c>
      <c r="GM194" s="21">
        <f>EXP(-LN(2)/25)*GM193+(1-EXP(-LN(2)/25))/(LN(2)/25)*Calculateur!GH194*Calculateur!GJ194*VLOOKUP('Données projet'!$B$17,Paramètres!$A$1:$I$89,3,0)*0.475*44/12</f>
        <v>0.18685740458778408</v>
      </c>
      <c r="GN194" s="21">
        <f>EXP(-LN(2)/2)*GN193+(1-EXP(-LN(2)/2))/(LN(2)/2)*GH194*GK194*VLOOKUP('Données projet'!$B$17,Paramètres!$A$1:$I$89,3,0)*0.475*44/12</f>
        <v>1.1176756175899479E-23</v>
      </c>
      <c r="GO194" s="21">
        <f t="shared" si="187"/>
        <v>0.44833983622508755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5.6843418860808015E-14</v>
      </c>
      <c r="GV194" s="17">
        <f>GU194*VLOOKUP('Données projet'!$B$18,Paramètres!$A$1:$I$89,3,0)*VLOOKUP('Données projet'!$B$18,Paramètres!$A$1:$I$89,5,0)</f>
        <v>4.9658410716801891E-14</v>
      </c>
      <c r="GW194" s="13">
        <f t="shared" si="188"/>
        <v>8.0934058173791862E-13</v>
      </c>
      <c r="GX194" s="20">
        <f t="shared" si="189"/>
        <v>1.4960899118586383E-12</v>
      </c>
      <c r="GY194" s="59">
        <f t="shared" si="137"/>
        <v>293.33333333333479</v>
      </c>
      <c r="GZ194" s="59">
        <f ca="1">AVERAGE(OFFSET($GY$3,0,0,'Données projet'!$E$18+1,1))-AVERAGE(OFFSET($H$3,0,0,'Données projet'!$E$18+1,1))</f>
        <v>226.35975611953359</v>
      </c>
      <c r="HA194" s="59">
        <f t="shared" si="160"/>
        <v>271.65876694892461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0.13004795305989961</v>
      </c>
      <c r="HI194" s="21">
        <f>EXP(-LN(2)/2)*HI193+(1-EXP(-LN(2)/2))/(LN(2)/2)*HC194*HF194*VLOOKUP('Données projet'!$B$18,Paramètres!$A$1:$I$89,3,0)*0.475*44/12</f>
        <v>6.9115963483652017E-24</v>
      </c>
      <c r="HJ194" s="22">
        <f t="shared" si="190"/>
        <v>0.13004795305989961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-7.3896444519050419E-13</v>
      </c>
      <c r="O195" s="13">
        <f>N195*VLOOKUP('Données projet'!$B$9,Paramètres!$A$1:$I$89,3,0)*VLOOKUP('Données projet'!$B$9,Paramètres!$A$1:$I$89,5,0)</f>
        <v>-6.6861503000836817E-13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309.07357540707869</v>
      </c>
      <c r="T195" s="59">
        <f t="shared" si="142"/>
        <v>155.9593924683299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227.99999999999986</v>
      </c>
      <c r="AJ195" s="13">
        <f>AI195*VLOOKUP('Données projet'!$B$10,Paramètres!$A$1:$I$89,3,0)*VLOOKUP('Données projet'!$B$10,Paramètres!$A$1:$I$89,5,0)</f>
        <v>199.18079999999992</v>
      </c>
      <c r="AK195" s="13">
        <f t="shared" si="164"/>
        <v>49.564089376413683</v>
      </c>
      <c r="AL195" s="20">
        <f t="shared" si="165"/>
        <v>433.23068233058694</v>
      </c>
      <c r="AM195" s="59">
        <f t="shared" si="113"/>
        <v>726.56401566392026</v>
      </c>
      <c r="AN195" s="59">
        <f ca="1">AVERAGE(OFFSET($AM$3,0,0,'Données projet'!$E$10+1,1))-AVERAGE(OFFSET($H$3,0,0,'Données projet'!$E$10+1,1))</f>
        <v>210.07838338464626</v>
      </c>
      <c r="AO195" s="59">
        <f t="shared" si="144"/>
        <v>241.76003724236273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0.21426679934209192</v>
      </c>
      <c r="AV195" s="21">
        <f>EXP(-LN(2)/25)*AV194+(1-EXP(-LN(2)/25))/(LN(2)/25)*Calculateur!AQ195*Calculateur!AS195*VLOOKUP('Données projet'!$B$10,Paramètres!$A$1:$I$89,3,0)*0.475*44/12</f>
        <v>0.15190859143050636</v>
      </c>
      <c r="AW195" s="21">
        <f>EXP(-LN(2)/2)*AW194+(1-EXP(-LN(2)/2))/(LN(2)/2)*AQ195*AT195*VLOOKUP('Données projet'!$B$10,Paramètres!$A$1:$I$89,3,0)*0.475*44/12</f>
        <v>6.6056263385708279E-24</v>
      </c>
      <c r="AX195" s="21">
        <f t="shared" si="166"/>
        <v>0.36617539077259831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1.2414602679200471E-13</v>
      </c>
      <c r="BF195" s="13">
        <f t="shared" si="167"/>
        <v>1.8186582995804361E-12</v>
      </c>
      <c r="BG195" s="20">
        <f t="shared" si="168"/>
        <v>3.3837175350986671E-12</v>
      </c>
      <c r="BH195" s="59">
        <f t="shared" si="116"/>
        <v>293.33333333333672</v>
      </c>
      <c r="BI195" s="59">
        <f ca="1">AVERAGE(OFFSET($BH$3,0,0,'Données projet'!$E$11+1,1))-AVERAGE(OFFSET($H$3,0,0,'Données projet'!$E$11+1,1))</f>
        <v>168.72306536277267</v>
      </c>
      <c r="BJ195" s="59">
        <f t="shared" si="146"/>
        <v>203.35476578922339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0.1229791402247349</v>
      </c>
      <c r="BQ195" s="21">
        <f>EXP(-LN(2)/25)*BQ194+(1-EXP(-LN(2)/25))/(LN(2)/25)*Calculateur!BL195*Calculateur!BN195*VLOOKUP('Données projet'!$B$11,Paramètres!$A$1:$I$89,3,0)*0.475*44/12</f>
        <v>0.25749603337656229</v>
      </c>
      <c r="BR195" s="21">
        <f>EXP(-LN(2)/2)*BR194+(1-EXP(-LN(2)/2))/(LN(2)/2)*BL195*BO195*VLOOKUP('Données projet'!$B$11,Paramètres!$A$1:$I$89,3,0)*0.475*44/12</f>
        <v>8.2816688572638366E-24</v>
      </c>
      <c r="BS195" s="22">
        <f t="shared" si="169"/>
        <v>0.38047517360129718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3.4106051316484809E-13</v>
      </c>
      <c r="BZ195" s="13">
        <f>BY195*VLOOKUP('Données projet'!$B$12,Paramètres!$A$1:$I$89,3,0)*VLOOKUP('Données projet'!$B$12,Paramètres!$A$1:$I$89,5,0)</f>
        <v>1.5961632016114892E-13</v>
      </c>
      <c r="CA195" s="13">
        <f t="shared" si="170"/>
        <v>2.2708641912150958E-12</v>
      </c>
      <c r="CB195" s="20">
        <f t="shared" si="171"/>
        <v>4.2330868906469593E-12</v>
      </c>
      <c r="CC195" s="59">
        <f t="shared" si="119"/>
        <v>293.33333333333752</v>
      </c>
      <c r="CD195" s="59">
        <f ca="1">AVERAGE(OFFSET($CC$3,0,0,'Données projet'!$E$12+1,1))-AVERAGE(OFFSET($H$3,0,0,'Données projet'!$E$12+1,1))</f>
        <v>158.58786357608489</v>
      </c>
      <c r="CE195" s="59">
        <f t="shared" si="148"/>
        <v>163.20074068819849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4.1677594708744434E-14</v>
      </c>
      <c r="CV195" s="13">
        <f t="shared" si="173"/>
        <v>6.9326303456159188E-13</v>
      </c>
      <c r="CW195" s="20">
        <f t="shared" si="174"/>
        <v>1.2800215959791691E-12</v>
      </c>
      <c r="CX195" s="59">
        <f t="shared" si="122"/>
        <v>293.33333333333462</v>
      </c>
      <c r="CY195" s="59">
        <f ca="1">AVERAGE(OFFSET($CX$3,0,0,'Données projet'!$E$13+1,1))-AVERAGE(OFFSET($H$3,0,0,'Données projet'!$E$13+1,1))</f>
        <v>178.12968684094687</v>
      </c>
      <c r="CZ195" s="59">
        <f t="shared" si="150"/>
        <v>219.36004077210373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8.6132040893847558E-2</v>
      </c>
      <c r="DH195" s="21">
        <f>EXP(-LN(2)/2)*DH194+(1-EXP(-LN(2)/2))/(LN(2)/2)*DB195*DE195*VLOOKUP('Données projet'!$B$13,Paramètres!$A$1:$I$89,3,0)*0.475*44/12</f>
        <v>4.1017878999535911E-24</v>
      </c>
      <c r="DI195" s="22">
        <f t="shared" si="175"/>
        <v>8.6132040893847558E-2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-8.5265128291212022E-14</v>
      </c>
      <c r="DP195" s="17">
        <f>DO195*VLOOKUP('Données projet'!$B$14,Paramètres!$A$1:$I$89,3,0)*VLOOKUP('Données projet'!$B$14,Paramètres!$A$1:$I$89,5,0)</f>
        <v>-7.7147888077888636E-14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225.28075317732998</v>
      </c>
      <c r="DU195" s="59">
        <f t="shared" si="152"/>
        <v>358.43407531256207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9.0696786376266839E-2</v>
      </c>
      <c r="EB195" s="21">
        <f>EXP(-LN(2)/25)*EB194+(1-EXP(-LN(2)/25))/(LN(2)/25)*Calculateur!DW195*Calculateur!DY195*VLOOKUP('Données projet'!$B$14,Paramètres!$A$1:$I$89,3,0)*0.475*44/12</f>
        <v>9.2669992877017091E-2</v>
      </c>
      <c r="EC195" s="21">
        <f>EXP(-LN(2)/2)*EC194+(1-EXP(-LN(2)/2))/(LN(2)/2)*DW195*DZ195*VLOOKUP('Données projet'!$B$14,Paramètres!$A$1:$I$89,3,0)*0.475*44/12</f>
        <v>1.8255963448512444E-24</v>
      </c>
      <c r="ED195" s="22">
        <f t="shared" si="178"/>
        <v>0.18336677925328393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-7.3896444519050419E-13</v>
      </c>
      <c r="EK195" s="17">
        <f>EJ195*VLOOKUP('Données projet'!$B$15,Paramètres!$A$1:$I$89,3,0)*VLOOKUP('Données projet'!$B$15,Paramètres!$A$1:$I$89,5,0)</f>
        <v>-7.4930994742317137E-13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363.98308691765931</v>
      </c>
      <c r="EP195" s="59">
        <f t="shared" si="154"/>
        <v>181.47089407988187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-7.3896444519050419E-13</v>
      </c>
      <c r="FF195" s="17">
        <f>FE195*VLOOKUP('Données projet'!$B$16,Paramètres!$A$1:$I$89,3,0)*VLOOKUP('Données projet'!$B$16,Paramètres!$A$1:$I$89,5,0)</f>
        <v>-7.954213288030586E-13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395.30533160963489</v>
      </c>
      <c r="FK195" s="59">
        <f t="shared" si="156"/>
        <v>196.02102977695085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227.99999999999986</v>
      </c>
      <c r="GA195" s="17">
        <f>FZ195*VLOOKUP('Données projet'!$B$17,Paramètres!$A$1:$I$89,3,0)*VLOOKUP('Données projet'!$B$17,Paramètres!$A$1:$I$89,5,0)</f>
        <v>238.30559999999986</v>
      </c>
      <c r="GB195" s="13">
        <f t="shared" si="185"/>
        <v>58.074821878967043</v>
      </c>
      <c r="GC195" s="20">
        <f t="shared" si="186"/>
        <v>516.19590143920061</v>
      </c>
      <c r="GD195" s="59">
        <f t="shared" si="134"/>
        <v>809.52923477253398</v>
      </c>
      <c r="GE195" s="59">
        <f ca="1">AVERAGE(OFFSET($GD$3,0,0,'Données projet'!$E$17+1,1))-AVERAGE(OFFSET($H$3,0,0,'Données projet'!$E$17+1,1))</f>
        <v>269.41185214595805</v>
      </c>
      <c r="GF195" s="59">
        <f t="shared" si="158"/>
        <v>299.70148160580993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0.25635492064143112</v>
      </c>
      <c r="GM195" s="21">
        <f>EXP(-LN(2)/25)*GM194+(1-EXP(-LN(2)/25))/(LN(2)/25)*Calculateur!GH195*Calculateur!GJ195*VLOOKUP('Données projet'!$B$17,Paramètres!$A$1:$I$89,3,0)*0.475*44/12</f>
        <v>0.18174777903292727</v>
      </c>
      <c r="GN195" s="21">
        <f>EXP(-LN(2)/2)*GN194+(1-EXP(-LN(2)/2))/(LN(2)/2)*GH195*GK195*VLOOKUP('Données projet'!$B$17,Paramètres!$A$1:$I$89,3,0)*0.475*44/12</f>
        <v>7.9031600836471464E-24</v>
      </c>
      <c r="GO195" s="21">
        <f t="shared" si="187"/>
        <v>0.43810269967435839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5.6843418860808015E-14</v>
      </c>
      <c r="GV195" s="17">
        <f>GU195*VLOOKUP('Données projet'!$B$18,Paramètres!$A$1:$I$89,3,0)*VLOOKUP('Données projet'!$B$18,Paramètres!$A$1:$I$89,5,0)</f>
        <v>4.9658410716801891E-14</v>
      </c>
      <c r="GW195" s="13">
        <f t="shared" si="188"/>
        <v>8.0934058173791862E-13</v>
      </c>
      <c r="GX195" s="20">
        <f t="shared" si="189"/>
        <v>1.4960899118586383E-12</v>
      </c>
      <c r="GY195" s="59">
        <f t="shared" si="137"/>
        <v>293.33333333333479</v>
      </c>
      <c r="GZ195" s="59">
        <f ca="1">AVERAGE(OFFSET($GY$3,0,0,'Données projet'!$E$18+1,1))-AVERAGE(OFFSET($H$3,0,0,'Données projet'!$E$18+1,1))</f>
        <v>226.35975611953359</v>
      </c>
      <c r="HA195" s="59">
        <f t="shared" si="160"/>
        <v>271.65876694892461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0.12649178494455202</v>
      </c>
      <c r="HI195" s="21">
        <f>EXP(-LN(2)/2)*HI194+(1-EXP(-LN(2)/2))/(LN(2)/2)*HC195*HF195*VLOOKUP('Données projet'!$B$18,Paramètres!$A$1:$I$89,3,0)*0.475*44/12</f>
        <v>4.8872366467532137E-24</v>
      </c>
      <c r="HJ195" s="22">
        <f t="shared" si="190"/>
        <v>0.12649178494455202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-7.3896444519050419E-13</v>
      </c>
      <c r="O196" s="13">
        <f>N196*VLOOKUP('Données projet'!$B$9,Paramètres!$A$1:$I$89,3,0)*VLOOKUP('Données projet'!$B$9,Paramètres!$A$1:$I$89,5,0)</f>
        <v>-6.6861503000836817E-13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309.07357540707869</v>
      </c>
      <c r="T196" s="59">
        <f t="shared" si="142"/>
        <v>155.9593924683299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227.99999999999986</v>
      </c>
      <c r="AJ196" s="13">
        <f>AI196*VLOOKUP('Données projet'!$B$10,Paramètres!$A$1:$I$89,3,0)*VLOOKUP('Données projet'!$B$10,Paramètres!$A$1:$I$89,5,0)</f>
        <v>199.18079999999992</v>
      </c>
      <c r="AK196" s="13">
        <f t="shared" si="164"/>
        <v>49.564089376413683</v>
      </c>
      <c r="AL196" s="20">
        <f t="shared" si="165"/>
        <v>433.23068233058694</v>
      </c>
      <c r="AM196" s="59">
        <f t="shared" ref="AM196:AM203" si="193">AL196+(AD196+AE196)*44/12</f>
        <v>726.56401566392026</v>
      </c>
      <c r="AN196" s="59">
        <f ca="1">AVERAGE(OFFSET($AM$3,0,0,'Données projet'!$E$10+1,1))-AVERAGE(OFFSET($H$3,0,0,'Données projet'!$E$10+1,1))</f>
        <v>210.07838338464626</v>
      </c>
      <c r="AO196" s="59">
        <f t="shared" si="144"/>
        <v>241.76003724236273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0.21006515809683654</v>
      </c>
      <c r="AV196" s="21">
        <f>EXP(-LN(2)/25)*AV195+(1-EXP(-LN(2)/25))/(LN(2)/25)*Calculateur!AQ196*Calculateur!AS196*VLOOKUP('Données projet'!$B$10,Paramètres!$A$1:$I$89,3,0)*0.475*44/12</f>
        <v>0.14775464300931354</v>
      </c>
      <c r="AW196" s="21">
        <f>EXP(-LN(2)/2)*AW195+(1-EXP(-LN(2)/2))/(LN(2)/2)*AQ196*AT196*VLOOKUP('Données projet'!$B$10,Paramètres!$A$1:$I$89,3,0)*0.475*44/12</f>
        <v>4.6708831779878979E-24</v>
      </c>
      <c r="AX196" s="21">
        <f t="shared" si="166"/>
        <v>0.35781980110615008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1.2414602679200471E-13</v>
      </c>
      <c r="BF196" s="13">
        <f t="shared" si="167"/>
        <v>1.8186582995804361E-12</v>
      </c>
      <c r="BG196" s="20">
        <f t="shared" si="168"/>
        <v>3.3837175350986671E-12</v>
      </c>
      <c r="BH196" s="59">
        <f t="shared" ref="BH196:BH203" si="194">BG196+(AY196+AZ196)*44/12</f>
        <v>293.33333333333672</v>
      </c>
      <c r="BI196" s="59">
        <f ca="1">AVERAGE(OFFSET($BH$3,0,0,'Données projet'!$E$11+1,1))-AVERAGE(OFFSET($H$3,0,0,'Données projet'!$E$11+1,1))</f>
        <v>168.72306536277267</v>
      </c>
      <c r="BJ196" s="59">
        <f t="shared" si="146"/>
        <v>203.35476578922339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0.12056759429479677</v>
      </c>
      <c r="BQ196" s="21">
        <f>EXP(-LN(2)/25)*BQ195+(1-EXP(-LN(2)/25))/(LN(2)/25)*Calculateur!BL196*Calculateur!BN196*VLOOKUP('Données projet'!$B$11,Paramètres!$A$1:$I$89,3,0)*0.475*44/12</f>
        <v>0.25045479080275229</v>
      </c>
      <c r="BR196" s="21">
        <f>EXP(-LN(2)/2)*BR195+(1-EXP(-LN(2)/2))/(LN(2)/2)*BL196*BO196*VLOOKUP('Données projet'!$B$11,Paramètres!$A$1:$I$89,3,0)*0.475*44/12</f>
        <v>5.8560242085127049E-24</v>
      </c>
      <c r="BS196" s="22">
        <f t="shared" si="169"/>
        <v>0.37102238509754903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3.4106051316484809E-13</v>
      </c>
      <c r="BZ196" s="13">
        <f>BY196*VLOOKUP('Données projet'!$B$12,Paramètres!$A$1:$I$89,3,0)*VLOOKUP('Données projet'!$B$12,Paramètres!$A$1:$I$89,5,0)</f>
        <v>1.5961632016114892E-13</v>
      </c>
      <c r="CA196" s="13">
        <f t="shared" si="170"/>
        <v>2.2708641912150958E-12</v>
      </c>
      <c r="CB196" s="20">
        <f t="shared" si="171"/>
        <v>4.2330868906469593E-12</v>
      </c>
      <c r="CC196" s="59">
        <f t="shared" ref="CC196:CC203" si="195">CB196+(BT196+BU196)*44/12</f>
        <v>293.33333333333752</v>
      </c>
      <c r="CD196" s="59">
        <f ca="1">AVERAGE(OFFSET($CC$3,0,0,'Données projet'!$E$12+1,1))-AVERAGE(OFFSET($H$3,0,0,'Données projet'!$E$12+1,1))</f>
        <v>158.58786357608489</v>
      </c>
      <c r="CE196" s="59">
        <f t="shared" si="148"/>
        <v>163.20074068819849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4.1677594708744434E-14</v>
      </c>
      <c r="CV196" s="13">
        <f t="shared" si="173"/>
        <v>6.9326303456159188E-13</v>
      </c>
      <c r="CW196" s="20">
        <f t="shared" si="174"/>
        <v>1.2800215959791691E-12</v>
      </c>
      <c r="CX196" s="59">
        <f t="shared" ref="CX196:CX203" si="196">CW196+(CO196+CP196)*44/12</f>
        <v>293.33333333333462</v>
      </c>
      <c r="CY196" s="59">
        <f ca="1">AVERAGE(OFFSET($CX$3,0,0,'Données projet'!$E$13+1,1))-AVERAGE(OFFSET($H$3,0,0,'Données projet'!$E$13+1,1))</f>
        <v>178.12968684094687</v>
      </c>
      <c r="CZ196" s="59">
        <f t="shared" si="150"/>
        <v>219.36004077210373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8.3776755706118131E-2</v>
      </c>
      <c r="DH196" s="21">
        <f>EXP(-LN(2)/2)*DH195+(1-EXP(-LN(2)/2))/(LN(2)/2)*DB196*DE196*VLOOKUP('Données projet'!$B$13,Paramètres!$A$1:$I$89,3,0)*0.475*44/12</f>
        <v>2.9004020390461122E-24</v>
      </c>
      <c r="DI196" s="22">
        <f t="shared" si="175"/>
        <v>8.3776755706118131E-2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-8.5265128291212022E-14</v>
      </c>
      <c r="DP196" s="17">
        <f>DO196*VLOOKUP('Données projet'!$B$14,Paramètres!$A$1:$I$89,3,0)*VLOOKUP('Données projet'!$B$14,Paramètres!$A$1:$I$89,5,0)</f>
        <v>-7.7147888077888636E-14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225.28075317732998</v>
      </c>
      <c r="DU196" s="59">
        <f t="shared" si="152"/>
        <v>358.43407531256207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8.8918277715005586E-2</v>
      </c>
      <c r="EB196" s="21">
        <f>EXP(-LN(2)/25)*EB195+(1-EXP(-LN(2)/25))/(LN(2)/25)*Calculateur!DW196*Calculateur!DY196*VLOOKUP('Données projet'!$B$14,Paramètres!$A$1:$I$89,3,0)*0.475*44/12</f>
        <v>9.0135927048491937E-2</v>
      </c>
      <c r="EC196" s="21">
        <f>EXP(-LN(2)/2)*EC195+(1-EXP(-LN(2)/2))/(LN(2)/2)*DW196*DZ196*VLOOKUP('Données projet'!$B$14,Paramètres!$A$1:$I$89,3,0)*0.475*44/12</f>
        <v>1.2908915551536898E-24</v>
      </c>
      <c r="ED196" s="22">
        <f t="shared" si="178"/>
        <v>0.17905420476349754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-7.3896444519050419E-13</v>
      </c>
      <c r="EK196" s="17">
        <f>EJ196*VLOOKUP('Données projet'!$B$15,Paramètres!$A$1:$I$89,3,0)*VLOOKUP('Données projet'!$B$15,Paramètres!$A$1:$I$89,5,0)</f>
        <v>-7.4930994742317137E-13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363.98308691765931</v>
      </c>
      <c r="EP196" s="59">
        <f t="shared" si="154"/>
        <v>181.47089407988187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-7.3896444519050419E-13</v>
      </c>
      <c r="FF196" s="17">
        <f>FE196*VLOOKUP('Données projet'!$B$16,Paramètres!$A$1:$I$89,3,0)*VLOOKUP('Données projet'!$B$16,Paramètres!$A$1:$I$89,5,0)</f>
        <v>-7.954213288030586E-13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395.30533160963489</v>
      </c>
      <c r="FK196" s="59">
        <f t="shared" si="156"/>
        <v>196.02102977695085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227.99999999999986</v>
      </c>
      <c r="GA196" s="17">
        <f>FZ196*VLOOKUP('Données projet'!$B$17,Paramètres!$A$1:$I$89,3,0)*VLOOKUP('Données projet'!$B$17,Paramètres!$A$1:$I$89,5,0)</f>
        <v>238.30559999999986</v>
      </c>
      <c r="GB196" s="13">
        <f t="shared" si="185"/>
        <v>58.074821878967043</v>
      </c>
      <c r="GC196" s="20">
        <f t="shared" si="186"/>
        <v>516.19590143920061</v>
      </c>
      <c r="GD196" s="59">
        <f t="shared" ref="GD196:GD203" si="200">GC196+(FU196+FV196)*44/12</f>
        <v>809.52923477253398</v>
      </c>
      <c r="GE196" s="59">
        <f ca="1">AVERAGE(OFFSET($GD$3,0,0,'Données projet'!$E$17+1,1))-AVERAGE(OFFSET($H$3,0,0,'Données projet'!$E$17+1,1))</f>
        <v>269.41185214595805</v>
      </c>
      <c r="GF196" s="59">
        <f t="shared" si="158"/>
        <v>299.70148160580993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0.25132795700871485</v>
      </c>
      <c r="GM196" s="21">
        <f>EXP(-LN(2)/25)*GM195+(1-EXP(-LN(2)/25))/(LN(2)/25)*Calculateur!GH196*Calculateur!GJ196*VLOOKUP('Données projet'!$B$17,Paramètres!$A$1:$I$89,3,0)*0.475*44/12</f>
        <v>0.17677787645757156</v>
      </c>
      <c r="GN196" s="21">
        <f>EXP(-LN(2)/2)*GN195+(1-EXP(-LN(2)/2))/(LN(2)/2)*GH196*GK196*VLOOKUP('Données projet'!$B$17,Paramètres!$A$1:$I$89,3,0)*0.475*44/12</f>
        <v>5.5883780879497394E-24</v>
      </c>
      <c r="GO196" s="21">
        <f t="shared" si="187"/>
        <v>0.42810583346628639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5.6843418860808015E-14</v>
      </c>
      <c r="GV196" s="17">
        <f>GU196*VLOOKUP('Données projet'!$B$18,Paramètres!$A$1:$I$89,3,0)*VLOOKUP('Données projet'!$B$18,Paramètres!$A$1:$I$89,5,0)</f>
        <v>4.9658410716801891E-14</v>
      </c>
      <c r="GW196" s="13">
        <f t="shared" si="188"/>
        <v>8.0934058173791862E-13</v>
      </c>
      <c r="GX196" s="20">
        <f t="shared" si="189"/>
        <v>1.4960899118586383E-12</v>
      </c>
      <c r="GY196" s="59">
        <f t="shared" ref="GY196:GY203" si="201">GX196+(GP196+GQ196)*44/12</f>
        <v>293.33333333333479</v>
      </c>
      <c r="GZ196" s="59">
        <f ca="1">AVERAGE(OFFSET($GY$3,0,0,'Données projet'!$E$18+1,1))-AVERAGE(OFFSET($H$3,0,0,'Données projet'!$E$18+1,1))</f>
        <v>226.35975611953359</v>
      </c>
      <c r="HA196" s="59">
        <f t="shared" si="160"/>
        <v>271.65876694892461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0.12303286043332937</v>
      </c>
      <c r="HI196" s="21">
        <f>EXP(-LN(2)/2)*HI195+(1-EXP(-LN(2)/2))/(LN(2)/2)*HC196*HF196*VLOOKUP('Données projet'!$B$18,Paramètres!$A$1:$I$89,3,0)*0.475*44/12</f>
        <v>3.4557981741826009E-24</v>
      </c>
      <c r="HJ196" s="22">
        <f t="shared" si="190"/>
        <v>0.12303286043332937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-7.3896444519050419E-13</v>
      </c>
      <c r="O197" s="13">
        <f>N197*VLOOKUP('Données projet'!$B$9,Paramètres!$A$1:$I$89,3,0)*VLOOKUP('Données projet'!$B$9,Paramètres!$A$1:$I$89,5,0)</f>
        <v>-6.6861503000836817E-13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309.07357540707869</v>
      </c>
      <c r="T197" s="59">
        <f t="shared" ref="T197:T203" si="204">$T$3</f>
        <v>155.9593924683299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227.99999999999986</v>
      </c>
      <c r="AJ197" s="13">
        <f>AI197*VLOOKUP('Données projet'!$B$10,Paramètres!$A$1:$I$89,3,0)*VLOOKUP('Données projet'!$B$10,Paramètres!$A$1:$I$89,5,0)</f>
        <v>199.18079999999992</v>
      </c>
      <c r="AK197" s="13">
        <f t="shared" si="164"/>
        <v>49.564089376413683</v>
      </c>
      <c r="AL197" s="20">
        <f t="shared" si="165"/>
        <v>433.23068233058694</v>
      </c>
      <c r="AM197" s="59">
        <f t="shared" si="193"/>
        <v>726.56401566392026</v>
      </c>
      <c r="AN197" s="59">
        <f ca="1">AVERAGE(OFFSET($AM$3,0,0,'Données projet'!$E$10+1,1))-AVERAGE(OFFSET($H$3,0,0,'Données projet'!$E$10+1,1))</f>
        <v>210.07838338464626</v>
      </c>
      <c r="AO197" s="59">
        <f t="shared" ref="AO197:AO203" si="205">$AO$3</f>
        <v>241.76003724236273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0.20594590847365252</v>
      </c>
      <c r="AV197" s="21">
        <f>EXP(-LN(2)/25)*AV196+(1-EXP(-LN(2)/25))/(LN(2)/25)*Calculateur!AQ197*Calculateur!AS197*VLOOKUP('Données projet'!$B$10,Paramètres!$A$1:$I$89,3,0)*0.475*44/12</f>
        <v>0.14371428452614488</v>
      </c>
      <c r="AW197" s="21">
        <f>EXP(-LN(2)/2)*AW196+(1-EXP(-LN(2)/2))/(LN(2)/2)*AQ197*AT197*VLOOKUP('Données projet'!$B$10,Paramètres!$A$1:$I$89,3,0)*0.475*44/12</f>
        <v>3.3028131692854143E-24</v>
      </c>
      <c r="AX197" s="21">
        <f t="shared" si="166"/>
        <v>0.34966019299979739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1.2414602679200471E-13</v>
      </c>
      <c r="BF197" s="13">
        <f t="shared" si="167"/>
        <v>1.8186582995804361E-12</v>
      </c>
      <c r="BG197" s="20">
        <f t="shared" si="168"/>
        <v>3.3837175350986671E-12</v>
      </c>
      <c r="BH197" s="59">
        <f t="shared" si="194"/>
        <v>293.33333333333672</v>
      </c>
      <c r="BI197" s="59">
        <f ca="1">AVERAGE(OFFSET($BH$3,0,0,'Données projet'!$E$11+1,1))-AVERAGE(OFFSET($H$3,0,0,'Données projet'!$E$11+1,1))</f>
        <v>168.72306536277267</v>
      </c>
      <c r="BJ197" s="59">
        <f t="shared" ref="BJ197:BJ203" si="206">$BJ$3</f>
        <v>203.35476578922339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0.11820333730964695</v>
      </c>
      <c r="BQ197" s="21">
        <f>EXP(-LN(2)/25)*BQ196+(1-EXP(-LN(2)/25))/(LN(2)/25)*Calculateur!BL197*Calculateur!BN197*VLOOKUP('Données projet'!$B$11,Paramètres!$A$1:$I$89,3,0)*0.475*44/12</f>
        <v>0.24360609137740599</v>
      </c>
      <c r="BR197" s="21">
        <f>EXP(-LN(2)/2)*BR196+(1-EXP(-LN(2)/2))/(LN(2)/2)*BL197*BO197*VLOOKUP('Données projet'!$B$11,Paramètres!$A$1:$I$89,3,0)*0.475*44/12</f>
        <v>4.1408344286319183E-24</v>
      </c>
      <c r="BS197" s="22">
        <f t="shared" si="169"/>
        <v>0.36180942868705296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3.4106051316484809E-13</v>
      </c>
      <c r="BZ197" s="13">
        <f>BY197*VLOOKUP('Données projet'!$B$12,Paramètres!$A$1:$I$89,3,0)*VLOOKUP('Données projet'!$B$12,Paramètres!$A$1:$I$89,5,0)</f>
        <v>1.5961632016114892E-13</v>
      </c>
      <c r="CA197" s="13">
        <f t="shared" si="170"/>
        <v>2.2708641912150958E-12</v>
      </c>
      <c r="CB197" s="20">
        <f t="shared" si="171"/>
        <v>4.2330868906469593E-12</v>
      </c>
      <c r="CC197" s="59">
        <f t="shared" si="195"/>
        <v>293.33333333333752</v>
      </c>
      <c r="CD197" s="59">
        <f ca="1">AVERAGE(OFFSET($CC$3,0,0,'Données projet'!$E$12+1,1))-AVERAGE(OFFSET($H$3,0,0,'Données projet'!$E$12+1,1))</f>
        <v>158.58786357608489</v>
      </c>
      <c r="CE197" s="59">
        <f t="shared" ref="CE197:CE203" si="207">$CE$3</f>
        <v>163.20074068819849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4.1677594708744434E-14</v>
      </c>
      <c r="CV197" s="13">
        <f t="shared" si="173"/>
        <v>6.9326303456159188E-13</v>
      </c>
      <c r="CW197" s="20">
        <f t="shared" si="174"/>
        <v>1.2800215959791691E-12</v>
      </c>
      <c r="CX197" s="59">
        <f t="shared" si="196"/>
        <v>293.33333333333462</v>
      </c>
      <c r="CY197" s="59">
        <f ca="1">AVERAGE(OFFSET($CX$3,0,0,'Données projet'!$E$13+1,1))-AVERAGE(OFFSET($H$3,0,0,'Données projet'!$E$13+1,1))</f>
        <v>178.12968684094687</v>
      </c>
      <c r="CZ197" s="59">
        <f t="shared" ref="CZ197:CZ203" si="208">$CZ$3</f>
        <v>219.36004077210373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8.1485875915706218E-2</v>
      </c>
      <c r="DH197" s="21">
        <f>EXP(-LN(2)/2)*DH196+(1-EXP(-LN(2)/2))/(LN(2)/2)*DB197*DE197*VLOOKUP('Données projet'!$B$13,Paramètres!$A$1:$I$89,3,0)*0.475*44/12</f>
        <v>2.0508939499767955E-24</v>
      </c>
      <c r="DI197" s="22">
        <f t="shared" si="175"/>
        <v>8.1485875915706218E-2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-8.5265128291212022E-14</v>
      </c>
      <c r="DP197" s="17">
        <f>DO197*VLOOKUP('Données projet'!$B$14,Paramètres!$A$1:$I$89,3,0)*VLOOKUP('Données projet'!$B$14,Paramètres!$A$1:$I$89,5,0)</f>
        <v>-7.7147888077888636E-14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225.28075317732998</v>
      </c>
      <c r="DU197" s="59">
        <f t="shared" ref="DU197:DU203" si="209">$DU$3</f>
        <v>358.43407531256207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8.7174644523808492E-2</v>
      </c>
      <c r="EB197" s="21">
        <f>EXP(-LN(2)/25)*EB196+(1-EXP(-LN(2)/25))/(LN(2)/25)*Calculateur!DW197*Calculateur!DY197*VLOOKUP('Données projet'!$B$14,Paramètres!$A$1:$I$89,3,0)*0.475*44/12</f>
        <v>8.7671155383308524E-2</v>
      </c>
      <c r="EC197" s="21">
        <f>EXP(-LN(2)/2)*EC196+(1-EXP(-LN(2)/2))/(LN(2)/2)*DW197*DZ197*VLOOKUP('Données projet'!$B$14,Paramètres!$A$1:$I$89,3,0)*0.475*44/12</f>
        <v>9.1279817242562219E-25</v>
      </c>
      <c r="ED197" s="22">
        <f t="shared" si="178"/>
        <v>0.17484579990711702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-7.3896444519050419E-13</v>
      </c>
      <c r="EK197" s="17">
        <f>EJ197*VLOOKUP('Données projet'!$B$15,Paramètres!$A$1:$I$89,3,0)*VLOOKUP('Données projet'!$B$15,Paramètres!$A$1:$I$89,5,0)</f>
        <v>-7.4930994742317137E-13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363.98308691765931</v>
      </c>
      <c r="EP197" s="59">
        <f t="shared" ref="EP197:EP203" si="210">$EP$3</f>
        <v>181.47089407988187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-7.3896444519050419E-13</v>
      </c>
      <c r="FF197" s="17">
        <f>FE197*VLOOKUP('Données projet'!$B$16,Paramètres!$A$1:$I$89,3,0)*VLOOKUP('Données projet'!$B$16,Paramètres!$A$1:$I$89,5,0)</f>
        <v>-7.954213288030586E-13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395.30533160963489</v>
      </c>
      <c r="FK197" s="59">
        <f t="shared" ref="FK197:FK203" si="211">$FK$3</f>
        <v>196.02102977695085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227.99999999999986</v>
      </c>
      <c r="GA197" s="17">
        <f>FZ197*VLOOKUP('Données projet'!$B$17,Paramètres!$A$1:$I$89,3,0)*VLOOKUP('Données projet'!$B$17,Paramètres!$A$1:$I$89,5,0)</f>
        <v>238.30559999999986</v>
      </c>
      <c r="GB197" s="13">
        <f t="shared" si="185"/>
        <v>58.074821878967043</v>
      </c>
      <c r="GC197" s="20">
        <f t="shared" si="186"/>
        <v>516.19590143920061</v>
      </c>
      <c r="GD197" s="59">
        <f t="shared" si="200"/>
        <v>809.52923477253398</v>
      </c>
      <c r="GE197" s="59">
        <f ca="1">AVERAGE(OFFSET($GD$3,0,0,'Données projet'!$E$17+1,1))-AVERAGE(OFFSET($H$3,0,0,'Données projet'!$E$17+1,1))</f>
        <v>269.41185214595805</v>
      </c>
      <c r="GF197" s="59">
        <f t="shared" ref="GF197:GF203" si="212">$GF$3</f>
        <v>299.70148160580993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0.24639956906669111</v>
      </c>
      <c r="GM197" s="21">
        <f>EXP(-LN(2)/25)*GM196+(1-EXP(-LN(2)/25))/(LN(2)/25)*Calculateur!GH197*Calculateur!GJ197*VLOOKUP('Données projet'!$B$17,Paramètres!$A$1:$I$89,3,0)*0.475*44/12</f>
        <v>0.17194387612949477</v>
      </c>
      <c r="GN197" s="21">
        <f>EXP(-LN(2)/2)*GN196+(1-EXP(-LN(2)/2))/(LN(2)/2)*GH197*GK197*VLOOKUP('Données projet'!$B$17,Paramètres!$A$1:$I$89,3,0)*0.475*44/12</f>
        <v>3.9515800418235732E-24</v>
      </c>
      <c r="GO197" s="21">
        <f t="shared" si="187"/>
        <v>0.41834344519618588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5.6843418860808015E-14</v>
      </c>
      <c r="GV197" s="17">
        <f>GU197*VLOOKUP('Données projet'!$B$18,Paramètres!$A$1:$I$89,3,0)*VLOOKUP('Données projet'!$B$18,Paramètres!$A$1:$I$89,5,0)</f>
        <v>4.9658410716801891E-14</v>
      </c>
      <c r="GW197" s="13">
        <f t="shared" si="188"/>
        <v>8.0934058173791862E-13</v>
      </c>
      <c r="GX197" s="20">
        <f t="shared" si="189"/>
        <v>1.4960899118586383E-12</v>
      </c>
      <c r="GY197" s="59">
        <f t="shared" si="201"/>
        <v>293.33333333333479</v>
      </c>
      <c r="GZ197" s="59">
        <f ca="1">AVERAGE(OFFSET($GY$3,0,0,'Données projet'!$E$18+1,1))-AVERAGE(OFFSET($H$3,0,0,'Données projet'!$E$18+1,1))</f>
        <v>226.35975611953359</v>
      </c>
      <c r="HA197" s="59">
        <f t="shared" ref="HA197:HA203" si="213">$HA$3</f>
        <v>271.65876694892461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0.11966852039476304</v>
      </c>
      <c r="HI197" s="21">
        <f>EXP(-LN(2)/2)*HI196+(1-EXP(-LN(2)/2))/(LN(2)/2)*HC197*HF197*VLOOKUP('Données projet'!$B$18,Paramètres!$A$1:$I$89,3,0)*0.475*44/12</f>
        <v>2.4436183233766069E-24</v>
      </c>
      <c r="HJ197" s="22">
        <f t="shared" si="190"/>
        <v>0.11966852039476304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-7.3896444519050419E-13</v>
      </c>
      <c r="O198" s="13">
        <f>N198*VLOOKUP('Données projet'!$B$9,Paramètres!$A$1:$I$89,3,0)*VLOOKUP('Données projet'!$B$9,Paramètres!$A$1:$I$89,5,0)</f>
        <v>-6.6861503000836817E-13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309.07357540707869</v>
      </c>
      <c r="T198" s="59">
        <f t="shared" si="204"/>
        <v>155.9593924683299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227.99999999999986</v>
      </c>
      <c r="AJ198" s="13">
        <f>AI198*VLOOKUP('Données projet'!$B$10,Paramètres!$A$1:$I$89,3,0)*VLOOKUP('Données projet'!$B$10,Paramètres!$A$1:$I$89,5,0)</f>
        <v>199.18079999999992</v>
      </c>
      <c r="AK198" s="13">
        <f t="shared" si="164"/>
        <v>49.564089376413683</v>
      </c>
      <c r="AL198" s="20">
        <f t="shared" si="165"/>
        <v>433.23068233058694</v>
      </c>
      <c r="AM198" s="59">
        <f t="shared" si="193"/>
        <v>726.56401566392026</v>
      </c>
      <c r="AN198" s="59">
        <f ca="1">AVERAGE(OFFSET($AM$3,0,0,'Données projet'!$E$10+1,1))-AVERAGE(OFFSET($H$3,0,0,'Données projet'!$E$10+1,1))</f>
        <v>210.07838338464626</v>
      </c>
      <c r="AO198" s="59">
        <f t="shared" si="205"/>
        <v>241.76003724236273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0.20190743482308496</v>
      </c>
      <c r="AV198" s="21">
        <f>EXP(-LN(2)/25)*AV197+(1-EXP(-LN(2)/25))/(LN(2)/25)*Calculateur!AQ198*Calculateur!AS198*VLOOKUP('Données projet'!$B$10,Paramètres!$A$1:$I$89,3,0)*0.475*44/12</f>
        <v>0.13978440985817167</v>
      </c>
      <c r="AW198" s="21">
        <f>EXP(-LN(2)/2)*AW197+(1-EXP(-LN(2)/2))/(LN(2)/2)*AQ198*AT198*VLOOKUP('Données projet'!$B$10,Paramètres!$A$1:$I$89,3,0)*0.475*44/12</f>
        <v>2.3354415889939493E-24</v>
      </c>
      <c r="AX198" s="21">
        <f t="shared" si="166"/>
        <v>0.34169184468125663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1.2414602679200471E-13</v>
      </c>
      <c r="BF198" s="13">
        <f t="shared" si="167"/>
        <v>1.8186582995804361E-12</v>
      </c>
      <c r="BG198" s="20">
        <f t="shared" si="168"/>
        <v>3.3837175350986671E-12</v>
      </c>
      <c r="BH198" s="59">
        <f t="shared" si="194"/>
        <v>293.33333333333672</v>
      </c>
      <c r="BI198" s="59">
        <f ca="1">AVERAGE(OFFSET($BH$3,0,0,'Données projet'!$E$11+1,1))-AVERAGE(OFFSET($H$3,0,0,'Données projet'!$E$11+1,1))</f>
        <v>168.72306536277267</v>
      </c>
      <c r="BJ198" s="59">
        <f t="shared" si="206"/>
        <v>203.35476578922339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0.11588544196192156</v>
      </c>
      <c r="BQ198" s="21">
        <f>EXP(-LN(2)/25)*BQ197+(1-EXP(-LN(2)/25))/(LN(2)/25)*Calculateur!BL198*Calculateur!BN198*VLOOKUP('Données projet'!$B$11,Paramètres!$A$1:$I$89,3,0)*0.475*44/12</f>
        <v>0.23694466999800326</v>
      </c>
      <c r="BR198" s="21">
        <f>EXP(-LN(2)/2)*BR197+(1-EXP(-LN(2)/2))/(LN(2)/2)*BL198*BO198*VLOOKUP('Données projet'!$B$11,Paramètres!$A$1:$I$89,3,0)*0.475*44/12</f>
        <v>2.9280121042563524E-24</v>
      </c>
      <c r="BS198" s="22">
        <f t="shared" si="169"/>
        <v>0.35283011195992481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3.4106051316484809E-13</v>
      </c>
      <c r="BZ198" s="13">
        <f>BY198*VLOOKUP('Données projet'!$B$12,Paramètres!$A$1:$I$89,3,0)*VLOOKUP('Données projet'!$B$12,Paramètres!$A$1:$I$89,5,0)</f>
        <v>1.5961632016114892E-13</v>
      </c>
      <c r="CA198" s="13">
        <f t="shared" si="170"/>
        <v>2.2708641912150958E-12</v>
      </c>
      <c r="CB198" s="20">
        <f t="shared" si="171"/>
        <v>4.2330868906469593E-12</v>
      </c>
      <c r="CC198" s="59">
        <f t="shared" si="195"/>
        <v>293.33333333333752</v>
      </c>
      <c r="CD198" s="59">
        <f ca="1">AVERAGE(OFFSET($CC$3,0,0,'Données projet'!$E$12+1,1))-AVERAGE(OFFSET($H$3,0,0,'Données projet'!$E$12+1,1))</f>
        <v>158.58786357608489</v>
      </c>
      <c r="CE198" s="59">
        <f t="shared" si="207"/>
        <v>163.20074068819849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4.1677594708744434E-14</v>
      </c>
      <c r="CV198" s="13">
        <f t="shared" si="173"/>
        <v>6.9326303456159188E-13</v>
      </c>
      <c r="CW198" s="20">
        <f t="shared" si="174"/>
        <v>1.2800215959791691E-12</v>
      </c>
      <c r="CX198" s="59">
        <f t="shared" si="196"/>
        <v>293.33333333333462</v>
      </c>
      <c r="CY198" s="59">
        <f ca="1">AVERAGE(OFFSET($CX$3,0,0,'Données projet'!$E$13+1,1))-AVERAGE(OFFSET($H$3,0,0,'Données projet'!$E$13+1,1))</f>
        <v>178.12968684094687</v>
      </c>
      <c r="CZ198" s="59">
        <f t="shared" si="208"/>
        <v>219.36004077210373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7.925764035363525E-2</v>
      </c>
      <c r="DH198" s="21">
        <f>EXP(-LN(2)/2)*DH197+(1-EXP(-LN(2)/2))/(LN(2)/2)*DB198*DE198*VLOOKUP('Données projet'!$B$13,Paramètres!$A$1:$I$89,3,0)*0.475*44/12</f>
        <v>1.4502010195230561E-24</v>
      </c>
      <c r="DI198" s="22">
        <f t="shared" si="175"/>
        <v>7.925764035363525E-2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-8.5265128291212022E-14</v>
      </c>
      <c r="DP198" s="17">
        <f>DO198*VLOOKUP('Données projet'!$B$14,Paramètres!$A$1:$I$89,3,0)*VLOOKUP('Données projet'!$B$14,Paramètres!$A$1:$I$89,5,0)</f>
        <v>-7.7147888077888636E-14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225.28075317732998</v>
      </c>
      <c r="DU198" s="59">
        <f t="shared" si="209"/>
        <v>358.43407531256207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8.5465202915979532E-2</v>
      </c>
      <c r="EB198" s="21">
        <f>EXP(-LN(2)/25)*EB197+(1-EXP(-LN(2)/25))/(LN(2)/25)*Calculateur!DW198*Calculateur!DY198*VLOOKUP('Données projet'!$B$14,Paramètres!$A$1:$I$89,3,0)*0.475*44/12</f>
        <v>8.527378302892627E-2</v>
      </c>
      <c r="EC198" s="21">
        <f>EXP(-LN(2)/2)*EC197+(1-EXP(-LN(2)/2))/(LN(2)/2)*DW198*DZ198*VLOOKUP('Données projet'!$B$14,Paramètres!$A$1:$I$89,3,0)*0.475*44/12</f>
        <v>6.4544577757684491E-25</v>
      </c>
      <c r="ED198" s="22">
        <f t="shared" si="178"/>
        <v>0.1707389859449058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-7.3896444519050419E-13</v>
      </c>
      <c r="EK198" s="17">
        <f>EJ198*VLOOKUP('Données projet'!$B$15,Paramètres!$A$1:$I$89,3,0)*VLOOKUP('Données projet'!$B$15,Paramètres!$A$1:$I$89,5,0)</f>
        <v>-7.4930994742317137E-13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363.98308691765931</v>
      </c>
      <c r="EP198" s="59">
        <f t="shared" si="210"/>
        <v>181.47089407988187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-7.3896444519050419E-13</v>
      </c>
      <c r="FF198" s="17">
        <f>FE198*VLOOKUP('Données projet'!$B$16,Paramètres!$A$1:$I$89,3,0)*VLOOKUP('Données projet'!$B$16,Paramètres!$A$1:$I$89,5,0)</f>
        <v>-7.954213288030586E-13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395.30533160963489</v>
      </c>
      <c r="FK198" s="59">
        <f t="shared" si="211"/>
        <v>196.02102977695085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227.99999999999986</v>
      </c>
      <c r="GA198" s="17">
        <f>FZ198*VLOOKUP('Données projet'!$B$17,Paramètres!$A$1:$I$89,3,0)*VLOOKUP('Données projet'!$B$17,Paramètres!$A$1:$I$89,5,0)</f>
        <v>238.30559999999986</v>
      </c>
      <c r="GB198" s="13">
        <f t="shared" si="185"/>
        <v>58.074821878967043</v>
      </c>
      <c r="GC198" s="20">
        <f t="shared" si="186"/>
        <v>516.19590143920061</v>
      </c>
      <c r="GD198" s="59">
        <f t="shared" si="200"/>
        <v>809.52923477253398</v>
      </c>
      <c r="GE198" s="59">
        <f ca="1">AVERAGE(OFFSET($GD$3,0,0,'Données projet'!$E$17+1,1))-AVERAGE(OFFSET($H$3,0,0,'Données projet'!$E$17+1,1))</f>
        <v>269.41185214595805</v>
      </c>
      <c r="GF198" s="59">
        <f t="shared" si="212"/>
        <v>299.70148160580993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0.24156782380619063</v>
      </c>
      <c r="GM198" s="21">
        <f>EXP(-LN(2)/25)*GM197+(1-EXP(-LN(2)/25))/(LN(2)/25)*Calculateur!GH198*Calculateur!GJ198*VLOOKUP('Données projet'!$B$17,Paramètres!$A$1:$I$89,3,0)*0.475*44/12</f>
        <v>0.16724206179459827</v>
      </c>
      <c r="GN198" s="21">
        <f>EXP(-LN(2)/2)*GN197+(1-EXP(-LN(2)/2))/(LN(2)/2)*GH198*GK198*VLOOKUP('Données projet'!$B$17,Paramètres!$A$1:$I$89,3,0)*0.475*44/12</f>
        <v>2.7941890439748697E-24</v>
      </c>
      <c r="GO198" s="21">
        <f t="shared" si="187"/>
        <v>0.4088098856007889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5.6843418860808015E-14</v>
      </c>
      <c r="GV198" s="17">
        <f>GU198*VLOOKUP('Données projet'!$B$18,Paramètres!$A$1:$I$89,3,0)*VLOOKUP('Données projet'!$B$18,Paramètres!$A$1:$I$89,5,0)</f>
        <v>4.9658410716801891E-14</v>
      </c>
      <c r="GW198" s="13">
        <f t="shared" si="188"/>
        <v>8.0934058173791862E-13</v>
      </c>
      <c r="GX198" s="20">
        <f t="shared" si="189"/>
        <v>1.4960899118586383E-12</v>
      </c>
      <c r="GY198" s="59">
        <f t="shared" si="201"/>
        <v>293.33333333333479</v>
      </c>
      <c r="GZ198" s="59">
        <f ca="1">AVERAGE(OFFSET($GY$3,0,0,'Données projet'!$E$18+1,1))-AVERAGE(OFFSET($H$3,0,0,'Données projet'!$E$18+1,1))</f>
        <v>226.35975611953359</v>
      </c>
      <c r="HA198" s="59">
        <f t="shared" si="213"/>
        <v>271.65876694892461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0.11639617841147426</v>
      </c>
      <c r="HI198" s="21">
        <f>EXP(-LN(2)/2)*HI197+(1-EXP(-LN(2)/2))/(LN(2)/2)*HC198*HF198*VLOOKUP('Données projet'!$B$18,Paramètres!$A$1:$I$89,3,0)*0.475*44/12</f>
        <v>1.7278990870913004E-24</v>
      </c>
      <c r="HJ198" s="22">
        <f t="shared" si="190"/>
        <v>0.11639617841147426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-7.3896444519050419E-13</v>
      </c>
      <c r="O199" s="13">
        <f>N199*VLOOKUP('Données projet'!$B$9,Paramètres!$A$1:$I$89,3,0)*VLOOKUP('Données projet'!$B$9,Paramètres!$A$1:$I$89,5,0)</f>
        <v>-6.6861503000836817E-13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309.07357540707869</v>
      </c>
      <c r="T199" s="59">
        <f t="shared" si="204"/>
        <v>155.9593924683299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227.99999999999986</v>
      </c>
      <c r="AJ199" s="13">
        <f>AI199*VLOOKUP('Données projet'!$B$10,Paramètres!$A$1:$I$89,3,0)*VLOOKUP('Données projet'!$B$10,Paramètres!$A$1:$I$89,5,0)</f>
        <v>199.18079999999992</v>
      </c>
      <c r="AK199" s="13">
        <f t="shared" si="164"/>
        <v>49.564089376413683</v>
      </c>
      <c r="AL199" s="20">
        <f t="shared" si="165"/>
        <v>433.23068233058694</v>
      </c>
      <c r="AM199" s="59">
        <f t="shared" si="193"/>
        <v>726.56401566392026</v>
      </c>
      <c r="AN199" s="59">
        <f ca="1">AVERAGE(OFFSET($AM$3,0,0,'Données projet'!$E$10+1,1))-AVERAGE(OFFSET($H$3,0,0,'Données projet'!$E$10+1,1))</f>
        <v>210.07838338464626</v>
      </c>
      <c r="AO199" s="59">
        <f t="shared" si="205"/>
        <v>241.76003724236273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0.19794815317757933</v>
      </c>
      <c r="AV199" s="21">
        <f>EXP(-LN(2)/25)*AV198+(1-EXP(-LN(2)/25))/(LN(2)/25)*Calculateur!AQ199*Calculateur!AS199*VLOOKUP('Données projet'!$B$10,Paramètres!$A$1:$I$89,3,0)*0.475*44/12</f>
        <v>0.13596199781965734</v>
      </c>
      <c r="AW199" s="21">
        <f>EXP(-LN(2)/2)*AW198+(1-EXP(-LN(2)/2))/(LN(2)/2)*AQ199*AT199*VLOOKUP('Données projet'!$B$10,Paramètres!$A$1:$I$89,3,0)*0.475*44/12</f>
        <v>1.6514065846427075E-24</v>
      </c>
      <c r="AX199" s="21">
        <f t="shared" si="166"/>
        <v>0.33391015099723664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1.2414602679200471E-13</v>
      </c>
      <c r="BF199" s="13">
        <f t="shared" si="167"/>
        <v>1.8186582995804361E-12</v>
      </c>
      <c r="BG199" s="20">
        <f t="shared" si="168"/>
        <v>3.3837175350986671E-12</v>
      </c>
      <c r="BH199" s="59">
        <f t="shared" si="194"/>
        <v>293.33333333333672</v>
      </c>
      <c r="BI199" s="59">
        <f ca="1">AVERAGE(OFFSET($BH$3,0,0,'Données projet'!$E$11+1,1))-AVERAGE(OFFSET($H$3,0,0,'Données projet'!$E$11+1,1))</f>
        <v>168.72306536277267</v>
      </c>
      <c r="BJ199" s="59">
        <f t="shared" si="206"/>
        <v>203.35476578922339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0.11361299912818849</v>
      </c>
      <c r="BQ199" s="21">
        <f>EXP(-LN(2)/25)*BQ198+(1-EXP(-LN(2)/25))/(LN(2)/25)*Calculateur!BL199*Calculateur!BN199*VLOOKUP('Données projet'!$B$11,Paramètres!$A$1:$I$89,3,0)*0.475*44/12</f>
        <v>0.23046540553652922</v>
      </c>
      <c r="BR199" s="21">
        <f>EXP(-LN(2)/2)*BR198+(1-EXP(-LN(2)/2))/(LN(2)/2)*BL199*BO199*VLOOKUP('Données projet'!$B$11,Paramètres!$A$1:$I$89,3,0)*0.475*44/12</f>
        <v>2.0704172143159592E-24</v>
      </c>
      <c r="BS199" s="22">
        <f t="shared" si="169"/>
        <v>0.34407840466471773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3.4106051316484809E-13</v>
      </c>
      <c r="BZ199" s="13">
        <f>BY199*VLOOKUP('Données projet'!$B$12,Paramètres!$A$1:$I$89,3,0)*VLOOKUP('Données projet'!$B$12,Paramètres!$A$1:$I$89,5,0)</f>
        <v>1.5961632016114892E-13</v>
      </c>
      <c r="CA199" s="13">
        <f t="shared" si="170"/>
        <v>2.2708641912150958E-12</v>
      </c>
      <c r="CB199" s="20">
        <f t="shared" si="171"/>
        <v>4.2330868906469593E-12</v>
      </c>
      <c r="CC199" s="59">
        <f t="shared" si="195"/>
        <v>293.33333333333752</v>
      </c>
      <c r="CD199" s="59">
        <f ca="1">AVERAGE(OFFSET($CC$3,0,0,'Données projet'!$E$12+1,1))-AVERAGE(OFFSET($H$3,0,0,'Données projet'!$E$12+1,1))</f>
        <v>158.58786357608489</v>
      </c>
      <c r="CE199" s="59">
        <f t="shared" si="207"/>
        <v>163.20074068819849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4.1677594708744434E-14</v>
      </c>
      <c r="CV199" s="13">
        <f t="shared" si="173"/>
        <v>6.9326303456159188E-13</v>
      </c>
      <c r="CW199" s="20">
        <f t="shared" si="174"/>
        <v>1.2800215959791691E-12</v>
      </c>
      <c r="CX199" s="59">
        <f t="shared" si="196"/>
        <v>293.33333333333462</v>
      </c>
      <c r="CY199" s="59">
        <f ca="1">AVERAGE(OFFSET($CX$3,0,0,'Données projet'!$E$13+1,1))-AVERAGE(OFFSET($H$3,0,0,'Données projet'!$E$13+1,1))</f>
        <v>178.12968684094687</v>
      </c>
      <c r="CZ199" s="59">
        <f t="shared" si="208"/>
        <v>219.36004077210373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7.709033601018693E-2</v>
      </c>
      <c r="DH199" s="21">
        <f>EXP(-LN(2)/2)*DH198+(1-EXP(-LN(2)/2))/(LN(2)/2)*DB199*DE199*VLOOKUP('Données projet'!$B$13,Paramètres!$A$1:$I$89,3,0)*0.475*44/12</f>
        <v>1.0254469749883978E-24</v>
      </c>
      <c r="DI199" s="22">
        <f t="shared" si="175"/>
        <v>7.709033601018693E-2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-8.5265128291212022E-14</v>
      </c>
      <c r="DP199" s="17">
        <f>DO199*VLOOKUP('Données projet'!$B$14,Paramètres!$A$1:$I$89,3,0)*VLOOKUP('Données projet'!$B$14,Paramètres!$A$1:$I$89,5,0)</f>
        <v>-7.7147888077888636E-14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225.28075317732998</v>
      </c>
      <c r="DU199" s="59">
        <f t="shared" si="209"/>
        <v>358.43407531256207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8.3789282415423674E-2</v>
      </c>
      <c r="EB199" s="21">
        <f>EXP(-LN(2)/25)*EB198+(1-EXP(-LN(2)/25))/(LN(2)/25)*Calculateur!DW199*Calculateur!DY199*VLOOKUP('Données projet'!$B$14,Paramètres!$A$1:$I$89,3,0)*0.475*44/12</f>
        <v>8.2941966947646925E-2</v>
      </c>
      <c r="EC199" s="21">
        <f>EXP(-LN(2)/2)*EC198+(1-EXP(-LN(2)/2))/(LN(2)/2)*DW199*DZ199*VLOOKUP('Données projet'!$B$14,Paramètres!$A$1:$I$89,3,0)*0.475*44/12</f>
        <v>4.563990862128111E-25</v>
      </c>
      <c r="ED199" s="22">
        <f t="shared" si="178"/>
        <v>0.1667312493630706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-7.3896444519050419E-13</v>
      </c>
      <c r="EK199" s="17">
        <f>EJ199*VLOOKUP('Données projet'!$B$15,Paramètres!$A$1:$I$89,3,0)*VLOOKUP('Données projet'!$B$15,Paramètres!$A$1:$I$89,5,0)</f>
        <v>-7.4930994742317137E-13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363.98308691765931</v>
      </c>
      <c r="EP199" s="59">
        <f t="shared" si="210"/>
        <v>181.47089407988187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-7.3896444519050419E-13</v>
      </c>
      <c r="FF199" s="17">
        <f>FE199*VLOOKUP('Données projet'!$B$16,Paramètres!$A$1:$I$89,3,0)*VLOOKUP('Données projet'!$B$16,Paramètres!$A$1:$I$89,5,0)</f>
        <v>-7.954213288030586E-13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395.30533160963489</v>
      </c>
      <c r="FK199" s="59">
        <f t="shared" si="211"/>
        <v>196.02102977695085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227.99999999999986</v>
      </c>
      <c r="GA199" s="17">
        <f>FZ199*VLOOKUP('Données projet'!$B$17,Paramètres!$A$1:$I$89,3,0)*VLOOKUP('Données projet'!$B$17,Paramètres!$A$1:$I$89,5,0)</f>
        <v>238.30559999999986</v>
      </c>
      <c r="GB199" s="13">
        <f t="shared" si="185"/>
        <v>58.074821878967043</v>
      </c>
      <c r="GC199" s="20">
        <f t="shared" si="186"/>
        <v>516.19590143920061</v>
      </c>
      <c r="GD199" s="59">
        <f t="shared" si="200"/>
        <v>809.52923477253398</v>
      </c>
      <c r="GE199" s="59">
        <f ca="1">AVERAGE(OFFSET($GD$3,0,0,'Données projet'!$E$17+1,1))-AVERAGE(OFFSET($H$3,0,0,'Données projet'!$E$17+1,1))</f>
        <v>269.41185214595805</v>
      </c>
      <c r="GF199" s="59">
        <f t="shared" si="212"/>
        <v>299.70148160580993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0.23683082612317496</v>
      </c>
      <c r="GM199" s="21">
        <f>EXP(-LN(2)/25)*GM198+(1-EXP(-LN(2)/25))/(LN(2)/25)*Calculateur!GH199*Calculateur!GJ199*VLOOKUP('Données projet'!$B$17,Paramètres!$A$1:$I$89,3,0)*0.475*44/12</f>
        <v>0.16266881881994719</v>
      </c>
      <c r="GN199" s="21">
        <f>EXP(-LN(2)/2)*GN198+(1-EXP(-LN(2)/2))/(LN(2)/2)*GH199*GK199*VLOOKUP('Données projet'!$B$17,Paramètres!$A$1:$I$89,3,0)*0.475*44/12</f>
        <v>1.9757900209117866E-24</v>
      </c>
      <c r="GO199" s="21">
        <f t="shared" si="187"/>
        <v>0.39949964494312218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5.6843418860808015E-14</v>
      </c>
      <c r="GV199" s="17">
        <f>GU199*VLOOKUP('Données projet'!$B$18,Paramètres!$A$1:$I$89,3,0)*VLOOKUP('Données projet'!$B$18,Paramètres!$A$1:$I$89,5,0)</f>
        <v>4.9658410716801891E-14</v>
      </c>
      <c r="GW199" s="13">
        <f t="shared" si="188"/>
        <v>8.0934058173791862E-13</v>
      </c>
      <c r="GX199" s="20">
        <f t="shared" si="189"/>
        <v>1.4960899118586383E-12</v>
      </c>
      <c r="GY199" s="59">
        <f t="shared" si="201"/>
        <v>293.33333333333479</v>
      </c>
      <c r="GZ199" s="59">
        <f ca="1">AVERAGE(OFFSET($GY$3,0,0,'Données projet'!$E$18+1,1))-AVERAGE(OFFSET($H$3,0,0,'Données projet'!$E$18+1,1))</f>
        <v>226.35975611953359</v>
      </c>
      <c r="HA199" s="59">
        <f t="shared" si="213"/>
        <v>271.65876694892461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0.1132133187918035</v>
      </c>
      <c r="HI199" s="21">
        <f>EXP(-LN(2)/2)*HI198+(1-EXP(-LN(2)/2))/(LN(2)/2)*HC199*HF199*VLOOKUP('Données projet'!$B$18,Paramètres!$A$1:$I$89,3,0)*0.475*44/12</f>
        <v>1.2218091616883034E-24</v>
      </c>
      <c r="HJ199" s="22">
        <f t="shared" si="190"/>
        <v>0.1132133187918035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-7.3896444519050419E-13</v>
      </c>
      <c r="O200" s="13">
        <f>N200*VLOOKUP('Données projet'!$B$9,Paramètres!$A$1:$I$89,3,0)*VLOOKUP('Données projet'!$B$9,Paramètres!$A$1:$I$89,5,0)</f>
        <v>-6.6861503000836817E-13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309.07357540707869</v>
      </c>
      <c r="T200" s="59">
        <f t="shared" si="204"/>
        <v>155.9593924683299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227.99999999999986</v>
      </c>
      <c r="AJ200" s="13">
        <f>AI200*VLOOKUP('Données projet'!$B$10,Paramètres!$A$1:$I$89,3,0)*VLOOKUP('Données projet'!$B$10,Paramètres!$A$1:$I$89,5,0)</f>
        <v>199.18079999999992</v>
      </c>
      <c r="AK200" s="13">
        <f t="shared" si="164"/>
        <v>49.564089376413683</v>
      </c>
      <c r="AL200" s="20">
        <f t="shared" si="165"/>
        <v>433.23068233058694</v>
      </c>
      <c r="AM200" s="59">
        <f t="shared" si="193"/>
        <v>726.56401566392026</v>
      </c>
      <c r="AN200" s="59">
        <f ca="1">AVERAGE(OFFSET($AM$3,0,0,'Données projet'!$E$10+1,1))-AVERAGE(OFFSET($H$3,0,0,'Données projet'!$E$10+1,1))</f>
        <v>210.07838338464626</v>
      </c>
      <c r="AO200" s="59">
        <f t="shared" si="205"/>
        <v>241.76003724236273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0.19406651063021871</v>
      </c>
      <c r="AV200" s="21">
        <f>EXP(-LN(2)/25)*AV199+(1-EXP(-LN(2)/25))/(LN(2)/25)*Calculateur!AQ200*Calculateur!AS200*VLOOKUP('Données projet'!$B$10,Paramètres!$A$1:$I$89,3,0)*0.475*44/12</f>
        <v>0.13224410983934809</v>
      </c>
      <c r="AW200" s="21">
        <f>EXP(-LN(2)/2)*AW199+(1-EXP(-LN(2)/2))/(LN(2)/2)*AQ200*AT200*VLOOKUP('Données projet'!$B$10,Paramètres!$A$1:$I$89,3,0)*0.475*44/12</f>
        <v>1.1677207944969748E-24</v>
      </c>
      <c r="AX200" s="21">
        <f t="shared" si="166"/>
        <v>0.32631062046956683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1.2414602679200471E-13</v>
      </c>
      <c r="BF200" s="13">
        <f t="shared" si="167"/>
        <v>1.8186582995804361E-12</v>
      </c>
      <c r="BG200" s="20">
        <f t="shared" si="168"/>
        <v>3.3837175350986671E-12</v>
      </c>
      <c r="BH200" s="59">
        <f t="shared" si="194"/>
        <v>293.33333333333672</v>
      </c>
      <c r="BI200" s="59">
        <f ca="1">AVERAGE(OFFSET($BH$3,0,0,'Données projet'!$E$11+1,1))-AVERAGE(OFFSET($H$3,0,0,'Données projet'!$E$11+1,1))</f>
        <v>168.72306536277267</v>
      </c>
      <c r="BJ200" s="59">
        <f t="shared" si="206"/>
        <v>203.35476578922339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0.11138511751237166</v>
      </c>
      <c r="BQ200" s="21">
        <f>EXP(-LN(2)/25)*BQ199+(1-EXP(-LN(2)/25))/(LN(2)/25)*Calculateur!BL200*Calculateur!BN200*VLOOKUP('Données projet'!$B$11,Paramètres!$A$1:$I$89,3,0)*0.475*44/12</f>
        <v>0.22416331690248389</v>
      </c>
      <c r="BR200" s="21">
        <f>EXP(-LN(2)/2)*BR199+(1-EXP(-LN(2)/2))/(LN(2)/2)*BL200*BO200*VLOOKUP('Données projet'!$B$11,Paramètres!$A$1:$I$89,3,0)*0.475*44/12</f>
        <v>1.4640060521281762E-24</v>
      </c>
      <c r="BS200" s="22">
        <f t="shared" si="169"/>
        <v>0.33554843441485555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3.4106051316484809E-13</v>
      </c>
      <c r="BZ200" s="13">
        <f>BY200*VLOOKUP('Données projet'!$B$12,Paramètres!$A$1:$I$89,3,0)*VLOOKUP('Données projet'!$B$12,Paramètres!$A$1:$I$89,5,0)</f>
        <v>1.5961632016114892E-13</v>
      </c>
      <c r="CA200" s="13">
        <f t="shared" si="170"/>
        <v>2.2708641912150958E-12</v>
      </c>
      <c r="CB200" s="20">
        <f t="shared" si="171"/>
        <v>4.2330868906469593E-12</v>
      </c>
      <c r="CC200" s="59">
        <f t="shared" si="195"/>
        <v>293.33333333333752</v>
      </c>
      <c r="CD200" s="59">
        <f ca="1">AVERAGE(OFFSET($CC$3,0,0,'Données projet'!$E$12+1,1))-AVERAGE(OFFSET($H$3,0,0,'Données projet'!$E$12+1,1))</f>
        <v>158.58786357608489</v>
      </c>
      <c r="CE200" s="59">
        <f t="shared" si="207"/>
        <v>163.20074068819849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4.1677594708744434E-14</v>
      </c>
      <c r="CV200" s="13">
        <f t="shared" si="173"/>
        <v>6.9326303456159188E-13</v>
      </c>
      <c r="CW200" s="20">
        <f t="shared" si="174"/>
        <v>1.2800215959791691E-12</v>
      </c>
      <c r="CX200" s="59">
        <f t="shared" si="196"/>
        <v>293.33333333333462</v>
      </c>
      <c r="CY200" s="59">
        <f ca="1">AVERAGE(OFFSET($CX$3,0,0,'Données projet'!$E$13+1,1))-AVERAGE(OFFSET($H$3,0,0,'Données projet'!$E$13+1,1))</f>
        <v>178.12968684094687</v>
      </c>
      <c r="CZ200" s="59">
        <f t="shared" si="208"/>
        <v>219.36004077210373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7.4982296717983787E-2</v>
      </c>
      <c r="DH200" s="21">
        <f>EXP(-LN(2)/2)*DH199+(1-EXP(-LN(2)/2))/(LN(2)/2)*DB200*DE200*VLOOKUP('Données projet'!$B$13,Paramètres!$A$1:$I$89,3,0)*0.475*44/12</f>
        <v>7.2510050976152806E-25</v>
      </c>
      <c r="DI200" s="22">
        <f t="shared" si="175"/>
        <v>7.4982296717983787E-2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-8.5265128291212022E-14</v>
      </c>
      <c r="DP200" s="17">
        <f>DO200*VLOOKUP('Données projet'!$B$14,Paramètres!$A$1:$I$89,3,0)*VLOOKUP('Données projet'!$B$14,Paramètres!$A$1:$I$89,5,0)</f>
        <v>-7.7147888077888636E-14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225.28075317732998</v>
      </c>
      <c r="DU200" s="59">
        <f t="shared" si="209"/>
        <v>358.43407531256207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8.214622569367315E-2</v>
      </c>
      <c r="EB200" s="21">
        <f>EXP(-LN(2)/25)*EB199+(1-EXP(-LN(2)/25))/(LN(2)/25)*Calculateur!DW200*Calculateur!DY200*VLOOKUP('Données projet'!$B$14,Paramètres!$A$1:$I$89,3,0)*0.475*44/12</f>
        <v>8.0673914499735044E-2</v>
      </c>
      <c r="EC200" s="21">
        <f>EXP(-LN(2)/2)*EC199+(1-EXP(-LN(2)/2))/(LN(2)/2)*DW200*DZ200*VLOOKUP('Données projet'!$B$14,Paramètres!$A$1:$I$89,3,0)*0.475*44/12</f>
        <v>3.2272288878842245E-25</v>
      </c>
      <c r="ED200" s="22">
        <f t="shared" si="178"/>
        <v>0.16282014019340818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-7.3896444519050419E-13</v>
      </c>
      <c r="EK200" s="17">
        <f>EJ200*VLOOKUP('Données projet'!$B$15,Paramètres!$A$1:$I$89,3,0)*VLOOKUP('Données projet'!$B$15,Paramètres!$A$1:$I$89,5,0)</f>
        <v>-7.4930994742317137E-13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363.98308691765931</v>
      </c>
      <c r="EP200" s="59">
        <f t="shared" si="210"/>
        <v>181.47089407988187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-7.3896444519050419E-13</v>
      </c>
      <c r="FF200" s="17">
        <f>FE200*VLOOKUP('Données projet'!$B$16,Paramètres!$A$1:$I$89,3,0)*VLOOKUP('Données projet'!$B$16,Paramètres!$A$1:$I$89,5,0)</f>
        <v>-7.954213288030586E-13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395.30533160963489</v>
      </c>
      <c r="FK200" s="59">
        <f t="shared" si="211"/>
        <v>196.02102977695085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227.99999999999986</v>
      </c>
      <c r="GA200" s="17">
        <f>FZ200*VLOOKUP('Données projet'!$B$17,Paramètres!$A$1:$I$89,3,0)*VLOOKUP('Données projet'!$B$17,Paramètres!$A$1:$I$89,5,0)</f>
        <v>238.30559999999986</v>
      </c>
      <c r="GB200" s="13">
        <f t="shared" si="185"/>
        <v>58.074821878967043</v>
      </c>
      <c r="GC200" s="20">
        <f t="shared" si="186"/>
        <v>516.19590143920061</v>
      </c>
      <c r="GD200" s="59">
        <f t="shared" si="200"/>
        <v>809.52923477253398</v>
      </c>
      <c r="GE200" s="59">
        <f ca="1">AVERAGE(OFFSET($GD$3,0,0,'Données projet'!$E$17+1,1))-AVERAGE(OFFSET($H$3,0,0,'Données projet'!$E$17+1,1))</f>
        <v>269.41185214595805</v>
      </c>
      <c r="GF200" s="59">
        <f t="shared" si="212"/>
        <v>299.70148160580993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0.23218671807543995</v>
      </c>
      <c r="GM200" s="21">
        <f>EXP(-LN(2)/25)*GM199+(1-EXP(-LN(2)/25))/(LN(2)/25)*Calculateur!GH200*Calculateur!GJ200*VLOOKUP('Données projet'!$B$17,Paramètres!$A$1:$I$89,3,0)*0.475*44/12</f>
        <v>0.15822063141493434</v>
      </c>
      <c r="GN200" s="21">
        <f>EXP(-LN(2)/2)*GN199+(1-EXP(-LN(2)/2))/(LN(2)/2)*GH200*GK200*VLOOKUP('Données projet'!$B$17,Paramètres!$A$1:$I$89,3,0)*0.475*44/12</f>
        <v>1.3970945219874349E-24</v>
      </c>
      <c r="GO200" s="21">
        <f t="shared" si="187"/>
        <v>0.39040734949037426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5.6843418860808015E-14</v>
      </c>
      <c r="GV200" s="17">
        <f>GU200*VLOOKUP('Données projet'!$B$18,Paramètres!$A$1:$I$89,3,0)*VLOOKUP('Données projet'!$B$18,Paramètres!$A$1:$I$89,5,0)</f>
        <v>4.9658410716801891E-14</v>
      </c>
      <c r="GW200" s="13">
        <f t="shared" si="188"/>
        <v>8.0934058173791862E-13</v>
      </c>
      <c r="GX200" s="20">
        <f t="shared" si="189"/>
        <v>1.4960899118586383E-12</v>
      </c>
      <c r="GY200" s="59">
        <f t="shared" si="201"/>
        <v>293.33333333333479</v>
      </c>
      <c r="GZ200" s="59">
        <f ca="1">AVERAGE(OFFSET($GY$3,0,0,'Données projet'!$E$18+1,1))-AVERAGE(OFFSET($H$3,0,0,'Données projet'!$E$18+1,1))</f>
        <v>226.35975611953359</v>
      </c>
      <c r="HA200" s="59">
        <f t="shared" si="213"/>
        <v>271.65876694892461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0.11011749463581195</v>
      </c>
      <c r="HI200" s="21">
        <f>EXP(-LN(2)/2)*HI199+(1-EXP(-LN(2)/2))/(LN(2)/2)*HC200*HF200*VLOOKUP('Données projet'!$B$18,Paramètres!$A$1:$I$89,3,0)*0.475*44/12</f>
        <v>8.6394954354565022E-25</v>
      </c>
      <c r="HJ200" s="22">
        <f t="shared" si="190"/>
        <v>0.11011749463581195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-7.3896444519050419E-13</v>
      </c>
      <c r="O201" s="13">
        <f>N201*VLOOKUP('Données projet'!$B$9,Paramètres!$A$1:$I$89,3,0)*VLOOKUP('Données projet'!$B$9,Paramètres!$A$1:$I$89,5,0)</f>
        <v>-6.6861503000836817E-13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309.07357540707869</v>
      </c>
      <c r="T201" s="59">
        <f t="shared" si="204"/>
        <v>155.9593924683299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227.99999999999986</v>
      </c>
      <c r="AJ201" s="13">
        <f>AI201*VLOOKUP('Données projet'!$B$10,Paramètres!$A$1:$I$89,3,0)*VLOOKUP('Données projet'!$B$10,Paramètres!$A$1:$I$89,5,0)</f>
        <v>199.18079999999992</v>
      </c>
      <c r="AK201" s="13">
        <f t="shared" si="164"/>
        <v>49.564089376413683</v>
      </c>
      <c r="AL201" s="20">
        <f t="shared" si="165"/>
        <v>433.23068233058694</v>
      </c>
      <c r="AM201" s="59">
        <f t="shared" si="193"/>
        <v>726.56401566392026</v>
      </c>
      <c r="AN201" s="59">
        <f ca="1">AVERAGE(OFFSET($AM$3,0,0,'Données projet'!$E$10+1,1))-AVERAGE(OFFSET($H$3,0,0,'Données projet'!$E$10+1,1))</f>
        <v>210.07838338464626</v>
      </c>
      <c r="AO201" s="59">
        <f t="shared" si="205"/>
        <v>241.76003724236273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0.19026098472564365</v>
      </c>
      <c r="AV201" s="21">
        <f>EXP(-LN(2)/25)*AV200+(1-EXP(-LN(2)/25))/(LN(2)/25)*Calculateur!AQ201*Calculateur!AS201*VLOOKUP('Données projet'!$B$10,Paramètres!$A$1:$I$89,3,0)*0.475*44/12</f>
        <v>0.12862788770137562</v>
      </c>
      <c r="AW201" s="21">
        <f>EXP(-LN(2)/2)*AW200+(1-EXP(-LN(2)/2))/(LN(2)/2)*AQ201*AT201*VLOOKUP('Données projet'!$B$10,Paramètres!$A$1:$I$89,3,0)*0.475*44/12</f>
        <v>8.2570329232135386E-25</v>
      </c>
      <c r="AX201" s="21">
        <f t="shared" si="166"/>
        <v>0.31888887242701924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1.2414602679200471E-13</v>
      </c>
      <c r="BF201" s="13">
        <f t="shared" si="167"/>
        <v>1.8186582995804361E-12</v>
      </c>
      <c r="BG201" s="20">
        <f t="shared" si="168"/>
        <v>3.3837175350986671E-12</v>
      </c>
      <c r="BH201" s="59">
        <f t="shared" si="194"/>
        <v>293.33333333333672</v>
      </c>
      <c r="BI201" s="59">
        <f ca="1">AVERAGE(OFFSET($BH$3,0,0,'Données projet'!$E$11+1,1))-AVERAGE(OFFSET($H$3,0,0,'Données projet'!$E$11+1,1))</f>
        <v>168.72306536277267</v>
      </c>
      <c r="BJ201" s="59">
        <f t="shared" si="206"/>
        <v>203.35476578922339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0.1092009232961674</v>
      </c>
      <c r="BQ201" s="21">
        <f>EXP(-LN(2)/25)*BQ200+(1-EXP(-LN(2)/25))/(LN(2)/25)*Calculateur!BL201*Calculateur!BN201*VLOOKUP('Données projet'!$B$11,Paramètres!$A$1:$I$89,3,0)*0.475*44/12</f>
        <v>0.21803355921354897</v>
      </c>
      <c r="BR201" s="21">
        <f>EXP(-LN(2)/2)*BR200+(1-EXP(-LN(2)/2))/(LN(2)/2)*BL201*BO201*VLOOKUP('Données projet'!$B$11,Paramètres!$A$1:$I$89,3,0)*0.475*44/12</f>
        <v>1.0352086071579796E-24</v>
      </c>
      <c r="BS201" s="22">
        <f t="shared" si="169"/>
        <v>0.32723448250971637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3.4106051316484809E-13</v>
      </c>
      <c r="BZ201" s="13">
        <f>BY201*VLOOKUP('Données projet'!$B$12,Paramètres!$A$1:$I$89,3,0)*VLOOKUP('Données projet'!$B$12,Paramètres!$A$1:$I$89,5,0)</f>
        <v>1.5961632016114892E-13</v>
      </c>
      <c r="CA201" s="13">
        <f t="shared" si="170"/>
        <v>2.2708641912150958E-12</v>
      </c>
      <c r="CB201" s="20">
        <f t="shared" si="171"/>
        <v>4.2330868906469593E-12</v>
      </c>
      <c r="CC201" s="59">
        <f t="shared" si="195"/>
        <v>293.33333333333752</v>
      </c>
      <c r="CD201" s="59">
        <f ca="1">AVERAGE(OFFSET($CC$3,0,0,'Données projet'!$E$12+1,1))-AVERAGE(OFFSET($H$3,0,0,'Données projet'!$E$12+1,1))</f>
        <v>158.58786357608489</v>
      </c>
      <c r="CE201" s="59">
        <f t="shared" si="207"/>
        <v>163.20074068819849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4.1677594708744434E-14</v>
      </c>
      <c r="CV201" s="13">
        <f t="shared" si="173"/>
        <v>6.9326303456159188E-13</v>
      </c>
      <c r="CW201" s="20">
        <f t="shared" si="174"/>
        <v>1.2800215959791691E-12</v>
      </c>
      <c r="CX201" s="59">
        <f t="shared" si="196"/>
        <v>293.33333333333462</v>
      </c>
      <c r="CY201" s="59">
        <f ca="1">AVERAGE(OFFSET($CX$3,0,0,'Données projet'!$E$13+1,1))-AVERAGE(OFFSET($H$3,0,0,'Données projet'!$E$13+1,1))</f>
        <v>178.12968684094687</v>
      </c>
      <c r="CZ201" s="59">
        <f t="shared" si="208"/>
        <v>219.36004077210373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7.2931901871082908E-2</v>
      </c>
      <c r="DH201" s="21">
        <f>EXP(-LN(2)/2)*DH200+(1-EXP(-LN(2)/2))/(LN(2)/2)*DB201*DE201*VLOOKUP('Données projet'!$B$13,Paramètres!$A$1:$I$89,3,0)*0.475*44/12</f>
        <v>5.1272348749419888E-25</v>
      </c>
      <c r="DI201" s="22">
        <f t="shared" si="175"/>
        <v>7.2931901871082908E-2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-8.5265128291212022E-14</v>
      </c>
      <c r="DP201" s="17">
        <f>DO201*VLOOKUP('Données projet'!$B$14,Paramètres!$A$1:$I$89,3,0)*VLOOKUP('Données projet'!$B$14,Paramètres!$A$1:$I$89,5,0)</f>
        <v>-7.7147888077888636E-14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225.28075317732998</v>
      </c>
      <c r="DU201" s="59">
        <f t="shared" si="209"/>
        <v>358.43407531256207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8.0535388312070508E-2</v>
      </c>
      <c r="EB201" s="21">
        <f>EXP(-LN(2)/25)*EB200+(1-EXP(-LN(2)/25))/(LN(2)/25)*Calculateur!DW201*Calculateur!DY201*VLOOKUP('Données projet'!$B$14,Paramètres!$A$1:$I$89,3,0)*0.475*44/12</f>
        <v>7.8467882065283004E-2</v>
      </c>
      <c r="EC201" s="21">
        <f>EXP(-LN(2)/2)*EC200+(1-EXP(-LN(2)/2))/(LN(2)/2)*DW201*DZ201*VLOOKUP('Données projet'!$B$14,Paramètres!$A$1:$I$89,3,0)*0.475*44/12</f>
        <v>2.2819954310640555E-25</v>
      </c>
      <c r="ED201" s="22">
        <f t="shared" si="178"/>
        <v>0.15900327037735351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-7.3896444519050419E-13</v>
      </c>
      <c r="EK201" s="17">
        <f>EJ201*VLOOKUP('Données projet'!$B$15,Paramètres!$A$1:$I$89,3,0)*VLOOKUP('Données projet'!$B$15,Paramètres!$A$1:$I$89,5,0)</f>
        <v>-7.4930994742317137E-13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363.98308691765931</v>
      </c>
      <c r="EP201" s="59">
        <f t="shared" si="210"/>
        <v>181.47089407988187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-7.3896444519050419E-13</v>
      </c>
      <c r="FF201" s="17">
        <f>FE201*VLOOKUP('Données projet'!$B$16,Paramètres!$A$1:$I$89,3,0)*VLOOKUP('Données projet'!$B$16,Paramètres!$A$1:$I$89,5,0)</f>
        <v>-7.954213288030586E-13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395.30533160963489</v>
      </c>
      <c r="FK201" s="59">
        <f t="shared" si="211"/>
        <v>196.02102977695085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227.99999999999986</v>
      </c>
      <c r="GA201" s="17">
        <f>FZ201*VLOOKUP('Données projet'!$B$17,Paramètres!$A$1:$I$89,3,0)*VLOOKUP('Données projet'!$B$17,Paramètres!$A$1:$I$89,5,0)</f>
        <v>238.30559999999986</v>
      </c>
      <c r="GB201" s="13">
        <f t="shared" si="185"/>
        <v>58.074821878967043</v>
      </c>
      <c r="GC201" s="20">
        <f t="shared" si="186"/>
        <v>516.19590143920061</v>
      </c>
      <c r="GD201" s="59">
        <f t="shared" si="200"/>
        <v>809.52923477253398</v>
      </c>
      <c r="GE201" s="59">
        <f ca="1">AVERAGE(OFFSET($GD$3,0,0,'Données projet'!$E$17+1,1))-AVERAGE(OFFSET($H$3,0,0,'Données projet'!$E$17+1,1))</f>
        <v>269.41185214595805</v>
      </c>
      <c r="GF201" s="59">
        <f t="shared" si="212"/>
        <v>299.70148160580993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0.22763367815389479</v>
      </c>
      <c r="GM201" s="21">
        <f>EXP(-LN(2)/25)*GM200+(1-EXP(-LN(2)/25))/(LN(2)/25)*Calculateur!GH201*Calculateur!GJ201*VLOOKUP('Données projet'!$B$17,Paramètres!$A$1:$I$89,3,0)*0.475*44/12</f>
        <v>0.15389407992843157</v>
      </c>
      <c r="GN201" s="21">
        <f>EXP(-LN(2)/2)*GN200+(1-EXP(-LN(2)/2))/(LN(2)/2)*GH201*GK201*VLOOKUP('Données projet'!$B$17,Paramètres!$A$1:$I$89,3,0)*0.475*44/12</f>
        <v>9.878950104558933E-25</v>
      </c>
      <c r="GO201" s="21">
        <f t="shared" si="187"/>
        <v>0.38152775808232636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5.6843418860808015E-14</v>
      </c>
      <c r="GV201" s="17">
        <f>GU201*VLOOKUP('Données projet'!$B$18,Paramètres!$A$1:$I$89,3,0)*VLOOKUP('Données projet'!$B$18,Paramètres!$A$1:$I$89,5,0)</f>
        <v>4.9658410716801891E-14</v>
      </c>
      <c r="GW201" s="13">
        <f t="shared" si="188"/>
        <v>8.0934058173791862E-13</v>
      </c>
      <c r="GX201" s="20">
        <f t="shared" si="189"/>
        <v>1.4960899118586383E-12</v>
      </c>
      <c r="GY201" s="59">
        <f t="shared" si="201"/>
        <v>293.33333333333479</v>
      </c>
      <c r="GZ201" s="59">
        <f ca="1">AVERAGE(OFFSET($GY$3,0,0,'Données projet'!$E$18+1,1))-AVERAGE(OFFSET($H$3,0,0,'Données projet'!$E$18+1,1))</f>
        <v>226.35975611953359</v>
      </c>
      <c r="HA201" s="59">
        <f t="shared" si="213"/>
        <v>271.65876694892461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0.10710632595416832</v>
      </c>
      <c r="HI201" s="21">
        <f>EXP(-LN(2)/2)*HI200+(1-EXP(-LN(2)/2))/(LN(2)/2)*HC201*HF201*VLOOKUP('Données projet'!$B$18,Paramètres!$A$1:$I$89,3,0)*0.475*44/12</f>
        <v>6.1090458084415172E-25</v>
      </c>
      <c r="HJ201" s="22">
        <f t="shared" si="190"/>
        <v>0.10710632595416832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-7.3896444519050419E-13</v>
      </c>
      <c r="O202" s="13">
        <f>N202*VLOOKUP('Données projet'!$B$9,Paramètres!$A$1:$I$89,3,0)*VLOOKUP('Données projet'!$B$9,Paramètres!$A$1:$I$89,5,0)</f>
        <v>-6.6861503000836817E-13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309.07357540707869</v>
      </c>
      <c r="T202" s="59">
        <f t="shared" si="204"/>
        <v>155.9593924683299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227.99999999999986</v>
      </c>
      <c r="AJ202" s="13">
        <f>AI202*VLOOKUP('Données projet'!$B$10,Paramètres!$A$1:$I$89,3,0)*VLOOKUP('Données projet'!$B$10,Paramètres!$A$1:$I$89,5,0)</f>
        <v>199.18079999999992</v>
      </c>
      <c r="AK202" s="13">
        <f t="shared" si="164"/>
        <v>49.564089376413683</v>
      </c>
      <c r="AL202" s="20">
        <f t="shared" si="165"/>
        <v>433.23068233058694</v>
      </c>
      <c r="AM202" s="59">
        <f t="shared" si="193"/>
        <v>726.56401566392026</v>
      </c>
      <c r="AN202" s="59">
        <f ca="1">AVERAGE(OFFSET($AM$3,0,0,'Données projet'!$E$10+1,1))-AVERAGE(OFFSET($H$3,0,0,'Données projet'!$E$10+1,1))</f>
        <v>210.07838338464626</v>
      </c>
      <c r="AO202" s="59">
        <f t="shared" si="205"/>
        <v>241.76003724236273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0.1865300828629157</v>
      </c>
      <c r="AV202" s="21">
        <f>EXP(-LN(2)/25)*AV201+(1-EXP(-LN(2)/25))/(LN(2)/25)*Calculateur!AQ202*Calculateur!AS202*VLOOKUP('Données projet'!$B$10,Paramètres!$A$1:$I$89,3,0)*0.475*44/12</f>
        <v>0.12511055134793486</v>
      </c>
      <c r="AW202" s="21">
        <f>EXP(-LN(2)/2)*AW201+(1-EXP(-LN(2)/2))/(LN(2)/2)*AQ202*AT202*VLOOKUP('Données projet'!$B$10,Paramètres!$A$1:$I$89,3,0)*0.475*44/12</f>
        <v>5.8386039724848752E-25</v>
      </c>
      <c r="AX202" s="21">
        <f t="shared" si="166"/>
        <v>0.31164063421085053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1.2414602679200471E-13</v>
      </c>
      <c r="BF202" s="13">
        <f t="shared" si="167"/>
        <v>1.8186582995804361E-12</v>
      </c>
      <c r="BG202" s="20">
        <f t="shared" si="168"/>
        <v>3.3837175350986671E-12</v>
      </c>
      <c r="BH202" s="59">
        <f t="shared" si="194"/>
        <v>293.33333333333672</v>
      </c>
      <c r="BI202" s="59">
        <f ca="1">AVERAGE(OFFSET($BH$3,0,0,'Données projet'!$E$11+1,1))-AVERAGE(OFFSET($H$3,0,0,'Données projet'!$E$11+1,1))</f>
        <v>168.72306536277267</v>
      </c>
      <c r="BJ202" s="59">
        <f t="shared" si="206"/>
        <v>203.35476578922339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0.10705955979631597</v>
      </c>
      <c r="BQ202" s="21">
        <f>EXP(-LN(2)/25)*BQ201+(1-EXP(-LN(2)/25))/(LN(2)/25)*Calculateur!BL202*Calculateur!BN202*VLOOKUP('Données projet'!$B$11,Paramètres!$A$1:$I$89,3,0)*0.475*44/12</f>
        <v>0.21207142007096791</v>
      </c>
      <c r="BR202" s="21">
        <f>EXP(-LN(2)/2)*BR201+(1-EXP(-LN(2)/2))/(LN(2)/2)*BL202*BO202*VLOOKUP('Données projet'!$B$11,Paramètres!$A$1:$I$89,3,0)*0.475*44/12</f>
        <v>7.3200302606408811E-25</v>
      </c>
      <c r="BS202" s="22">
        <f t="shared" si="169"/>
        <v>0.31913097986728389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3.4106051316484809E-13</v>
      </c>
      <c r="BZ202" s="13">
        <f>BY202*VLOOKUP('Données projet'!$B$12,Paramètres!$A$1:$I$89,3,0)*VLOOKUP('Données projet'!$B$12,Paramètres!$A$1:$I$89,5,0)</f>
        <v>1.5961632016114892E-13</v>
      </c>
      <c r="CA202" s="13">
        <f t="shared" si="170"/>
        <v>2.2708641912150958E-12</v>
      </c>
      <c r="CB202" s="20">
        <f t="shared" si="171"/>
        <v>4.2330868906469593E-12</v>
      </c>
      <c r="CC202" s="59">
        <f t="shared" si="195"/>
        <v>293.33333333333752</v>
      </c>
      <c r="CD202" s="59">
        <f ca="1">AVERAGE(OFFSET($CC$3,0,0,'Données projet'!$E$12+1,1))-AVERAGE(OFFSET($H$3,0,0,'Données projet'!$E$12+1,1))</f>
        <v>158.58786357608489</v>
      </c>
      <c r="CE202" s="59">
        <f t="shared" si="207"/>
        <v>163.20074068819849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4.1677594708744434E-14</v>
      </c>
      <c r="CV202" s="13">
        <f t="shared" si="173"/>
        <v>6.9326303456159188E-13</v>
      </c>
      <c r="CW202" s="20">
        <f t="shared" si="174"/>
        <v>1.2800215959791691E-12</v>
      </c>
      <c r="CX202" s="59">
        <f t="shared" si="196"/>
        <v>293.33333333333462</v>
      </c>
      <c r="CY202" s="59">
        <f ca="1">AVERAGE(OFFSET($CX$3,0,0,'Données projet'!$E$13+1,1))-AVERAGE(OFFSET($H$3,0,0,'Données projet'!$E$13+1,1))</f>
        <v>178.12968684094687</v>
      </c>
      <c r="CZ202" s="59">
        <f t="shared" si="208"/>
        <v>219.36004077210373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7.0937575179096116E-2</v>
      </c>
      <c r="DH202" s="21">
        <f>EXP(-LN(2)/2)*DH201+(1-EXP(-LN(2)/2))/(LN(2)/2)*DB202*DE202*VLOOKUP('Données projet'!$B$13,Paramètres!$A$1:$I$89,3,0)*0.475*44/12</f>
        <v>3.6255025488076403E-25</v>
      </c>
      <c r="DI202" s="22">
        <f t="shared" si="175"/>
        <v>7.0937575179096116E-2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-8.5265128291212022E-14</v>
      </c>
      <c r="DP202" s="17">
        <f>DO202*VLOOKUP('Données projet'!$B$14,Paramètres!$A$1:$I$89,3,0)*VLOOKUP('Données projet'!$B$14,Paramètres!$A$1:$I$89,5,0)</f>
        <v>-7.7147888077888636E-14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225.28075317732998</v>
      </c>
      <c r="DU202" s="59">
        <f t="shared" si="209"/>
        <v>358.43407531256207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7.89561384690073E-2</v>
      </c>
      <c r="EB202" s="21">
        <f>EXP(-LN(2)/25)*EB201+(1-EXP(-LN(2)/25))/(LN(2)/25)*Calculateur!DW202*Calculateur!DY202*VLOOKUP('Données projet'!$B$14,Paramètres!$A$1:$I$89,3,0)*0.475*44/12</f>
        <v>7.6322173703761265E-2</v>
      </c>
      <c r="EC202" s="21">
        <f>EXP(-LN(2)/2)*EC201+(1-EXP(-LN(2)/2))/(LN(2)/2)*DW202*DZ202*VLOOKUP('Données projet'!$B$14,Paramètres!$A$1:$I$89,3,0)*0.475*44/12</f>
        <v>1.6136144439421123E-25</v>
      </c>
      <c r="ED202" s="22">
        <f t="shared" si="178"/>
        <v>0.15527831217276855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-7.3896444519050419E-13</v>
      </c>
      <c r="EK202" s="17">
        <f>EJ202*VLOOKUP('Données projet'!$B$15,Paramètres!$A$1:$I$89,3,0)*VLOOKUP('Données projet'!$B$15,Paramètres!$A$1:$I$89,5,0)</f>
        <v>-7.4930994742317137E-13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363.98308691765931</v>
      </c>
      <c r="EP202" s="59">
        <f t="shared" si="210"/>
        <v>181.47089407988187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-7.3896444519050419E-13</v>
      </c>
      <c r="FF202" s="17">
        <f>FE202*VLOOKUP('Données projet'!$B$16,Paramètres!$A$1:$I$89,3,0)*VLOOKUP('Données projet'!$B$16,Paramètres!$A$1:$I$89,5,0)</f>
        <v>-7.954213288030586E-13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395.30533160963489</v>
      </c>
      <c r="FK202" s="59">
        <f t="shared" si="211"/>
        <v>196.02102977695085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227.99999999999986</v>
      </c>
      <c r="GA202" s="17">
        <f>FZ202*VLOOKUP('Données projet'!$B$17,Paramètres!$A$1:$I$89,3,0)*VLOOKUP('Données projet'!$B$17,Paramètres!$A$1:$I$89,5,0)</f>
        <v>238.30559999999986</v>
      </c>
      <c r="GB202" s="13">
        <f t="shared" si="185"/>
        <v>58.074821878967043</v>
      </c>
      <c r="GC202" s="20">
        <f t="shared" si="186"/>
        <v>516.19590143920061</v>
      </c>
      <c r="GD202" s="59">
        <f t="shared" si="200"/>
        <v>809.52923477253398</v>
      </c>
      <c r="GE202" s="59">
        <f ca="1">AVERAGE(OFFSET($GD$3,0,0,'Données projet'!$E$17+1,1))-AVERAGE(OFFSET($H$3,0,0,'Données projet'!$E$17+1,1))</f>
        <v>269.41185214595805</v>
      </c>
      <c r="GF202" s="59">
        <f t="shared" si="212"/>
        <v>299.70148160580993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0.22316992056813101</v>
      </c>
      <c r="GM202" s="21">
        <f>EXP(-LN(2)/25)*GM201+(1-EXP(-LN(2)/25))/(LN(2)/25)*Calculateur!GH202*Calculateur!GJ202*VLOOKUP('Données projet'!$B$17,Paramètres!$A$1:$I$89,3,0)*0.475*44/12</f>
        <v>0.14968583821985068</v>
      </c>
      <c r="GN202" s="21">
        <f>EXP(-LN(2)/2)*GN201+(1-EXP(-LN(2)/2))/(LN(2)/2)*GH202*GK202*VLOOKUP('Données projet'!$B$17,Paramètres!$A$1:$I$89,3,0)*0.475*44/12</f>
        <v>6.9854726099371743E-25</v>
      </c>
      <c r="GO202" s="21">
        <f t="shared" si="187"/>
        <v>0.37285575878798172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5.6843418860808015E-14</v>
      </c>
      <c r="GV202" s="17">
        <f>GU202*VLOOKUP('Données projet'!$B$18,Paramètres!$A$1:$I$89,3,0)*VLOOKUP('Données projet'!$B$18,Paramètres!$A$1:$I$89,5,0)</f>
        <v>4.9658410716801891E-14</v>
      </c>
      <c r="GW202" s="13">
        <f t="shared" si="188"/>
        <v>8.0934058173791862E-13</v>
      </c>
      <c r="GX202" s="20">
        <f t="shared" si="189"/>
        <v>1.4960899118586383E-12</v>
      </c>
      <c r="GY202" s="59">
        <f t="shared" si="201"/>
        <v>293.33333333333479</v>
      </c>
      <c r="GZ202" s="59">
        <f ca="1">AVERAGE(OFFSET($GY$3,0,0,'Données projet'!$E$18+1,1))-AVERAGE(OFFSET($H$3,0,0,'Données projet'!$E$18+1,1))</f>
        <v>226.35975611953359</v>
      </c>
      <c r="HA202" s="59">
        <f t="shared" si="213"/>
        <v>271.65876694892461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0.1041774978384747</v>
      </c>
      <c r="HI202" s="21">
        <f>EXP(-LN(2)/2)*HI201+(1-EXP(-LN(2)/2))/(LN(2)/2)*HC202*HF202*VLOOKUP('Données projet'!$B$18,Paramètres!$A$1:$I$89,3,0)*0.475*44/12</f>
        <v>4.3197477177282511E-25</v>
      </c>
      <c r="HJ202" s="22">
        <f t="shared" si="190"/>
        <v>0.1041774978384747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-7.3896444519050419E-13</v>
      </c>
      <c r="O203" s="13">
        <f>N203*VLOOKUP('Données projet'!$B$9,Paramètres!$A$1:$I$89,3,0)*VLOOKUP('Données projet'!$B$9,Paramètres!$A$1:$I$89,5,0)</f>
        <v>-6.6861503000836817E-13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309.07357540707869</v>
      </c>
      <c r="T203" s="59">
        <f t="shared" si="204"/>
        <v>155.9593924683299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227.99999999999986</v>
      </c>
      <c r="AJ203" s="13">
        <f>AI203*VLOOKUP('Données projet'!$B$10,Paramètres!$A$1:$I$89,3,0)*VLOOKUP('Données projet'!$B$10,Paramètres!$A$1:$I$89,5,0)</f>
        <v>199.18079999999992</v>
      </c>
      <c r="AK203" s="13">
        <f t="shared" si="164"/>
        <v>49.564089376413683</v>
      </c>
      <c r="AL203" s="20">
        <f t="shared" si="165"/>
        <v>433.23068233058694</v>
      </c>
      <c r="AM203" s="59">
        <f t="shared" si="193"/>
        <v>726.56401566392026</v>
      </c>
      <c r="AN203" s="59">
        <f ca="1">AVERAGE(OFFSET($AM$3,0,0,'Données projet'!$E$10+1,1))-AVERAGE(OFFSET($H$3,0,0,'Données projet'!$E$10+1,1))</f>
        <v>210.07838338464626</v>
      </c>
      <c r="AO203" s="59">
        <f t="shared" si="205"/>
        <v>241.76003724236273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0.1828723417100904</v>
      </c>
      <c r="AV203" s="21">
        <f>EXP(-LN(2)/25)*AV202+(1-EXP(-LN(2)/25))/(LN(2)/25)*Calculateur!AQ203*Calculateur!AS203*VLOOKUP('Données projet'!$B$10,Paramètres!$A$1:$I$89,3,0)*0.475*44/12</f>
        <v>0.12168939674204764</v>
      </c>
      <c r="AW203" s="21">
        <f>EXP(-LN(2)/2)*AW202+(1-EXP(-LN(2)/2))/(LN(2)/2)*AQ203*AT203*VLOOKUP('Données projet'!$B$10,Paramètres!$A$1:$I$89,3,0)*0.475*44/12</f>
        <v>4.1285164616067702E-25</v>
      </c>
      <c r="AX203" s="21">
        <f t="shared" si="166"/>
        <v>0.30456173845213802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1.2414602679200471E-13</v>
      </c>
      <c r="BF203" s="13">
        <f t="shared" si="167"/>
        <v>1.8186582995804361E-12</v>
      </c>
      <c r="BG203" s="20">
        <f t="shared" si="168"/>
        <v>3.3837175350986671E-12</v>
      </c>
      <c r="BH203" s="59">
        <f t="shared" si="194"/>
        <v>293.33333333333672</v>
      </c>
      <c r="BI203" s="59">
        <f ca="1">AVERAGE(OFFSET($BH$3,0,0,'Données projet'!$E$11+1,1))-AVERAGE(OFFSET($H$3,0,0,'Données projet'!$E$11+1,1))</f>
        <v>168.72306536277267</v>
      </c>
      <c r="BJ203" s="59">
        <f t="shared" si="206"/>
        <v>203.35476578922339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0.10496018712859387</v>
      </c>
      <c r="BQ203" s="21">
        <f>EXP(-LN(2)/25)*BQ202+(1-EXP(-LN(2)/25))/(LN(2)/25)*Calculateur!BL203*Calculateur!BN203*VLOOKUP('Données projet'!$B$11,Paramètres!$A$1:$I$89,3,0)*0.475*44/12</f>
        <v>0.206272315936776</v>
      </c>
      <c r="BR203" s="21">
        <f>EXP(-LN(2)/2)*BR202+(1-EXP(-LN(2)/2))/(LN(2)/2)*BL203*BO203*VLOOKUP('Données projet'!$B$11,Paramètres!$A$1:$I$89,3,0)*0.475*44/12</f>
        <v>5.1760430357898979E-25</v>
      </c>
      <c r="BS203" s="22">
        <f t="shared" si="169"/>
        <v>0.31123250306536987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3.4106051316484809E-13</v>
      </c>
      <c r="BZ203" s="13">
        <f>BY203*VLOOKUP('Données projet'!$B$12,Paramètres!$A$1:$I$89,3,0)*VLOOKUP('Données projet'!$B$12,Paramètres!$A$1:$I$89,5,0)</f>
        <v>1.5961632016114892E-13</v>
      </c>
      <c r="CA203" s="13">
        <f t="shared" si="170"/>
        <v>2.2708641912150958E-12</v>
      </c>
      <c r="CB203" s="20">
        <f t="shared" si="171"/>
        <v>4.2330868906469593E-12</v>
      </c>
      <c r="CC203" s="59">
        <f t="shared" si="195"/>
        <v>293.33333333333752</v>
      </c>
      <c r="CD203" s="59">
        <f ca="1">AVERAGE(OFFSET($CC$3,0,0,'Données projet'!$E$12+1,1))-AVERAGE(OFFSET($H$3,0,0,'Données projet'!$E$12+1,1))</f>
        <v>158.58786357608489</v>
      </c>
      <c r="CE203" s="59">
        <f t="shared" si="207"/>
        <v>163.20074068819849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4.1677594708744434E-14</v>
      </c>
      <c r="CV203" s="13">
        <f t="shared" si="173"/>
        <v>6.9326303456159188E-13</v>
      </c>
      <c r="CW203" s="20">
        <f t="shared" si="174"/>
        <v>1.2800215959791691E-12</v>
      </c>
      <c r="CX203" s="59">
        <f t="shared" si="196"/>
        <v>293.33333333333462</v>
      </c>
      <c r="CY203" s="59">
        <f ca="1">AVERAGE(OFFSET($CX$3,0,0,'Données projet'!$E$13+1,1))-AVERAGE(OFFSET($H$3,0,0,'Données projet'!$E$13+1,1))</f>
        <v>178.12968684094687</v>
      </c>
      <c r="CZ203" s="59">
        <f t="shared" si="208"/>
        <v>219.36004077210373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6.8997783455378783E-2</v>
      </c>
      <c r="DH203" s="21">
        <f>EXP(-LN(2)/2)*DH202+(1-EXP(-LN(2)/2))/(LN(2)/2)*DB203*DE203*VLOOKUP('Données projet'!$B$13,Paramètres!$A$1:$I$89,3,0)*0.475*44/12</f>
        <v>2.5636174374709944E-25</v>
      </c>
      <c r="DI203" s="22">
        <f t="shared" si="175"/>
        <v>6.8997783455378783E-2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-8.5265128291212022E-14</v>
      </c>
      <c r="DP203" s="17">
        <f>DO203*VLOOKUP('Données projet'!$B$14,Paramètres!$A$1:$I$89,3,0)*VLOOKUP('Données projet'!$B$14,Paramètres!$A$1:$I$89,5,0)</f>
        <v>-7.7147888077888636E-14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225.28075317732998</v>
      </c>
      <c r="DU203" s="59">
        <f t="shared" si="209"/>
        <v>358.43407531256207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7.7407856752119281E-2</v>
      </c>
      <c r="EB203" s="21">
        <f>EXP(-LN(2)/25)*EB202+(1-EXP(-LN(2)/25))/(LN(2)/25)*Calculateur!DW203*Calculateur!DY203*VLOOKUP('Données projet'!$B$14,Paramètres!$A$1:$I$89,3,0)*0.475*44/12</f>
        <v>7.4235139850223231E-2</v>
      </c>
      <c r="EC203" s="21">
        <f>EXP(-LN(2)/2)*EC202+(1-EXP(-LN(2)/2))/(LN(2)/2)*DW203*DZ203*VLOOKUP('Données projet'!$B$14,Paramètres!$A$1:$I$89,3,0)*0.475*44/12</f>
        <v>1.1409977155320277E-25</v>
      </c>
      <c r="ED203" s="22">
        <f t="shared" si="178"/>
        <v>0.15164299660234251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-7.3896444519050419E-13</v>
      </c>
      <c r="EK203" s="17">
        <f>EJ203*VLOOKUP('Données projet'!$B$15,Paramètres!$A$1:$I$89,3,0)*VLOOKUP('Données projet'!$B$15,Paramètres!$A$1:$I$89,5,0)</f>
        <v>-7.4930994742317137E-13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363.98308691765931</v>
      </c>
      <c r="EP203" s="59">
        <f t="shared" si="210"/>
        <v>181.47089407988187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-7.3896444519050419E-13</v>
      </c>
      <c r="FF203" s="17">
        <f>FE203*VLOOKUP('Données projet'!$B$16,Paramètres!$A$1:$I$89,3,0)*VLOOKUP('Données projet'!$B$16,Paramètres!$A$1:$I$89,5,0)</f>
        <v>-7.954213288030586E-13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395.30533160963489</v>
      </c>
      <c r="FK203" s="59">
        <f t="shared" si="211"/>
        <v>196.02102977695085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227.99999999999986</v>
      </c>
      <c r="GA203" s="17">
        <f>FZ203*VLOOKUP('Données projet'!$B$17,Paramètres!$A$1:$I$89,3,0)*VLOOKUP('Données projet'!$B$17,Paramètres!$A$1:$I$89,5,0)</f>
        <v>238.30559999999986</v>
      </c>
      <c r="GB203" s="13">
        <f t="shared" si="185"/>
        <v>58.074821878967043</v>
      </c>
      <c r="GC203" s="20">
        <f t="shared" si="186"/>
        <v>516.19590143920061</v>
      </c>
      <c r="GD203" s="59">
        <f t="shared" si="200"/>
        <v>809.52923477253398</v>
      </c>
      <c r="GE203" s="59">
        <f ca="1">AVERAGE(OFFSET($GD$3,0,0,'Données projet'!$E$17+1,1))-AVERAGE(OFFSET($H$3,0,0,'Données projet'!$E$17+1,1))</f>
        <v>269.41185214595805</v>
      </c>
      <c r="GF203" s="59">
        <f t="shared" si="212"/>
        <v>299.70148160580993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0.21879369454600076</v>
      </c>
      <c r="GM203" s="21">
        <f>EXP(-LN(2)/25)*GM202+(1-EXP(-LN(2)/25))/(LN(2)/25)*Calculateur!GH203*Calculateur!GJ203*VLOOKUP('Données projet'!$B$17,Paramètres!$A$1:$I$89,3,0)*0.475*44/12</f>
        <v>0.14559267110209273</v>
      </c>
      <c r="GN203" s="21">
        <f>EXP(-LN(2)/2)*GN202+(1-EXP(-LN(2)/2))/(LN(2)/2)*GH203*GK203*VLOOKUP('Données projet'!$B$17,Paramètres!$A$1:$I$89,3,0)*0.475*44/12</f>
        <v>4.9394750522794665E-25</v>
      </c>
      <c r="GO203" s="21">
        <f t="shared" si="187"/>
        <v>0.36438636564809346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5.6843418860808015E-14</v>
      </c>
      <c r="GV203" s="17">
        <f>GU203*VLOOKUP('Données projet'!$B$18,Paramètres!$A$1:$I$89,3,0)*VLOOKUP('Données projet'!$B$18,Paramètres!$A$1:$I$89,5,0)</f>
        <v>4.9658410716801891E-14</v>
      </c>
      <c r="GW203" s="13">
        <f t="shared" si="188"/>
        <v>8.0934058173791862E-13</v>
      </c>
      <c r="GX203" s="20">
        <f t="shared" si="189"/>
        <v>1.4960899118586383E-12</v>
      </c>
      <c r="GY203" s="59">
        <f t="shared" si="201"/>
        <v>293.33333333333479</v>
      </c>
      <c r="GZ203" s="59">
        <f ca="1">AVERAGE(OFFSET($GY$3,0,0,'Données projet'!$E$18+1,1))-AVERAGE(OFFSET($H$3,0,0,'Données projet'!$E$18+1,1))</f>
        <v>226.35975611953359</v>
      </c>
      <c r="HA203" s="59">
        <f t="shared" si="213"/>
        <v>271.65876694892461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0.10132875868162509</v>
      </c>
      <c r="HI203" s="21">
        <f>EXP(-LN(2)/2)*HI202+(1-EXP(-LN(2)/2))/(LN(2)/2)*HC203*HF203*VLOOKUP('Données projet'!$B$18,Paramètres!$A$1:$I$89,3,0)*0.475*44/12</f>
        <v>3.0545229042207586E-25</v>
      </c>
      <c r="HJ203" s="22">
        <f t="shared" si="190"/>
        <v>0.10132875868162509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1.1690615875970631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1.3682730833261529</v>
      </c>
      <c r="BA205" s="82">
        <f>EXP(LN('Données projet'!B88)/'Données projet'!A88)</f>
        <v>1.3682730833261529</v>
      </c>
      <c r="BV205" s="82">
        <f>EXP(LN('Données projet'!B114)/'Données projet'!A114)</f>
        <v>1.1963772029987372</v>
      </c>
      <c r="CQ205" s="82">
        <f>EXP(LN('Données projet'!B140)/'Données projet'!A140)</f>
        <v>1.2557008269631629</v>
      </c>
      <c r="DL205" s="82">
        <f>EXP(LN('Données projet'!B166)/'Données projet'!A166)</f>
        <v>2.1117857649667542</v>
      </c>
      <c r="EG205" s="82">
        <f>EXP(LN('Données projet'!B192)/'Données projet'!A192)</f>
        <v>1.1690615875970631</v>
      </c>
      <c r="FB205" s="82">
        <f>EXP(LN('Données projet'!B218)/'Données projet'!A218)</f>
        <v>1.1690615875970631</v>
      </c>
      <c r="FW205" s="82">
        <f>EXP(LN('Données projet'!B244)/'Données projet'!A244)</f>
        <v>1.3682730833261529</v>
      </c>
      <c r="GR205" s="82">
        <f>EXP(LN('Données projet'!B270)/'Données projet'!A270)</f>
        <v>1.2557008269631629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11.3606</v>
      </c>
      <c r="C6" s="147">
        <f ca="1">IF(OR('Données projet'!B9="",'Données projet'!C9="",'Données projet'!C9=0%),0,Calculateur!S3)</f>
        <v>309.07357540707869</v>
      </c>
      <c r="D6" s="147">
        <f>IF(OR('Données projet'!B9="",'Données projet'!C9="",'Données projet'!C9=0%),0,Calculateur!T3)</f>
        <v>155.9593924683299</v>
      </c>
      <c r="E6" s="147">
        <f ca="1">MIN(C6,D6)</f>
        <v>155.9593924683299</v>
      </c>
      <c r="F6" s="147">
        <f ca="1">E6*B6</f>
        <v>1771.7922740757085</v>
      </c>
      <c r="G6" s="147">
        <f ca="1">F6*(100%-'Données projet'!$C$24)*(100%-'Données projet'!$C$25)*(100%-'Données projet'!$C$26)*(100%-'Données projet'!$C$27)</f>
        <v>1594.6130466681377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1594.6130466681377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0.79259999999999997</v>
      </c>
      <c r="C7" s="147">
        <f ca="1">IF(OR('Données projet'!B10="",'Données projet'!C10="",'Données projet'!C10=0%),0,Calculateur!AN3)</f>
        <v>210.07838338464626</v>
      </c>
      <c r="D7" s="147">
        <f>IF(OR('Données projet'!B10="",'Données projet'!C10="",'Données projet'!C10=0%),0,Calculateur!AO3)</f>
        <v>241.76003724236273</v>
      </c>
      <c r="E7" s="147">
        <f t="shared" ref="E7:E15" ca="1" si="0">MIN(C7,D7)</f>
        <v>210.07838338464626</v>
      </c>
      <c r="F7" s="147">
        <f t="shared" ref="F7:F15" ca="1" si="1">E7*B7</f>
        <v>166.50812667067061</v>
      </c>
      <c r="G7" s="147">
        <f ca="1">F7*(100%-'Données projet'!$C$24)*(100%-'Données projet'!$C$25)*(100%-'Données projet'!$C$26)*(100%-'Données projet'!$C$27)</f>
        <v>149.85731400360356</v>
      </c>
      <c r="H7" s="155">
        <f>IF(OR('Données projet'!B10="",'Données projet'!C10="",'Données projet'!C10=0%),0,AVERAGE(Calculateur!$AX$3:$AX$33)*B7)</f>
        <v>4.303262410821195</v>
      </c>
      <c r="I7" s="149">
        <f>H7*(100%-'Données projet'!$C$24)*(100%-'Données projet'!$C$25)*(100%-'Données projet'!$C$26)*(100%-'Données projet'!$C$27)</f>
        <v>3.8729361697390754</v>
      </c>
      <c r="J7" s="150">
        <f>IF(OR('Données projet'!B10="",'Données projet'!C10="",'Données projet'!C10=0%),0,SUM(Calculateur!$AQ$3:$AQ$33)*VLOOKUP('Données projet'!$B$10,Paramètres!$A$1:$I$89,9,0)*B7)</f>
        <v>17.437200000000001</v>
      </c>
      <c r="K7" s="151">
        <f>J7*(100%-'Données projet'!$C$24)*(100%-'Données projet'!$C$25)*(100%-'Données projet'!$C$26)*(100%-'Données projet'!$C$27)</f>
        <v>15.693480000000001</v>
      </c>
      <c r="L7" s="152">
        <f t="shared" ref="L7:L15" ca="1" si="2">G7+I7+K7</f>
        <v>169.42373017334262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hybride</v>
      </c>
      <c r="B8" s="154">
        <f>'Données projet'!D11</f>
        <v>0.52840000000000009</v>
      </c>
      <c r="C8" s="147">
        <f ca="1">IF(OR('Données projet'!B11="",'Données projet'!C11="",'Données projet'!C11=0%),0,Calculateur!BI3)</f>
        <v>168.72306536277267</v>
      </c>
      <c r="D8" s="147">
        <f>IF(OR('Données projet'!B11="",'Données projet'!C11="",'Données projet'!C11=0%),0,Calculateur!BJ3)</f>
        <v>203.35476578922339</v>
      </c>
      <c r="E8" s="147">
        <f t="shared" ca="1" si="0"/>
        <v>168.72306536277267</v>
      </c>
      <c r="F8" s="147">
        <f t="shared" ca="1" si="1"/>
        <v>89.153267737689092</v>
      </c>
      <c r="G8" s="147">
        <f ca="1">F8*(100%-'Données projet'!$C$24)*(100%-'Données projet'!$C$25)*(100%-'Données projet'!$C$26)*(100%-'Données projet'!$C$27)</f>
        <v>80.237940963920181</v>
      </c>
      <c r="H8" s="155">
        <f>IF(OR('Données projet'!B11="",'Données projet'!C11="",'Données projet'!C11=0%),0,AVERAGE(Calculateur!$BS$3:$BS$33)*B8)</f>
        <v>3.6403057137557377</v>
      </c>
      <c r="I8" s="149">
        <f>H8*(100%-'Données projet'!$C$24)*(100%-'Données projet'!$C$25)*(100%-'Données projet'!$C$26)*(100%-'Données projet'!$C$27)</f>
        <v>3.2762751423801642</v>
      </c>
      <c r="J8" s="150">
        <f>IF(OR('Données projet'!B11="",'Données projet'!C11="",'Données projet'!C11=0%),0,SUM(Calculateur!$BL$3:$BL$33)*VLOOKUP('Données projet'!$B$11,Paramètres!$A$1:$I$89,9,0)*B8)</f>
        <v>28.855924000000005</v>
      </c>
      <c r="K8" s="151">
        <f>J8*(100%-'Données projet'!$C$24)*(100%-'Données projet'!$C$25)*(100%-'Données projet'!$C$26)*(100%-'Données projet'!$C$27)</f>
        <v>25.970331600000005</v>
      </c>
      <c r="L8" s="152">
        <f t="shared" ca="1" si="2"/>
        <v>109.48454770630035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3.9630000000000001</v>
      </c>
      <c r="C9" s="147">
        <f ca="1">IF(OR('Données projet'!B12="",'Données projet'!C12="",'Données projet'!C12=0%),0,Calculateur!CD3)</f>
        <v>158.58786357608489</v>
      </c>
      <c r="D9" s="147">
        <f>IF(OR('Données projet'!B12="",'Données projet'!C12="",'Données projet'!C12=0%),0,Calculateur!CE3)</f>
        <v>163.20074068819849</v>
      </c>
      <c r="E9" s="147">
        <f t="shared" ca="1" si="0"/>
        <v>158.58786357608489</v>
      </c>
      <c r="F9" s="147">
        <f t="shared" ca="1" si="1"/>
        <v>628.48370335202446</v>
      </c>
      <c r="G9" s="147">
        <f ca="1">F9*(100%-'Données projet'!$C$24)*(100%-'Données projet'!$C$25)*(100%-'Données projet'!$C$26)*(100%-'Données projet'!$C$27)</f>
        <v>565.63533301682207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565.63533301682207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Châtaignier</v>
      </c>
      <c r="B10" s="154">
        <f>'Données projet'!D13</f>
        <v>1.8494000000000004</v>
      </c>
      <c r="C10" s="147">
        <f ca="1">IF(OR('Données projet'!B13="",'Données projet'!C13="",'Données projet'!C13=0%),0,Calculateur!CY3)</f>
        <v>178.12968684094687</v>
      </c>
      <c r="D10" s="147">
        <f>IF(OR('Données projet'!B13="",'Données projet'!C13="",'Données projet'!C13=0%),0,Calculateur!CZ3)</f>
        <v>219.36004077210373</v>
      </c>
      <c r="E10" s="147">
        <f t="shared" ca="1" si="0"/>
        <v>178.12968684094687</v>
      </c>
      <c r="F10" s="147">
        <f t="shared" ca="1" si="1"/>
        <v>329.43304284364723</v>
      </c>
      <c r="G10" s="147">
        <f ca="1">F10*(100%-'Données projet'!$C$24)*(100%-'Données projet'!$C$25)*(100%-'Données projet'!$C$26)*(100%-'Données projet'!$C$27)</f>
        <v>296.4897385592825</v>
      </c>
      <c r="H10" s="155">
        <f>IF(OR('Données projet'!B13="",'Données projet'!C13="",'Données projet'!C13=0%),0,AVERAGE(Calculateur!$DI$3:$DI$33)*B10)</f>
        <v>4.4892494836292673</v>
      </c>
      <c r="I10" s="149">
        <f>H10*(100%-'Données projet'!$C$24)*(100%-'Données projet'!$C$25)*(100%-'Données projet'!$C$26)*(100%-'Données projet'!$C$27)</f>
        <v>4.0403245352663406</v>
      </c>
      <c r="J10" s="150">
        <f>IF(OR('Données projet'!B13="",'Données projet'!C13="",'Données projet'!C13=0%),0,SUM(Calculateur!$DB$3:$DB$33)*VLOOKUP('Données projet'!$B$13,Paramètres!$A$1:$I$89,9,0)*B10)</f>
        <v>45.772650000000006</v>
      </c>
      <c r="K10" s="151">
        <f>J10*(100%-'Données projet'!$C$24)*(100%-'Données projet'!$C$25)*(100%-'Données projet'!$C$26)*(100%-'Données projet'!$C$27)</f>
        <v>41.195385000000009</v>
      </c>
      <c r="L10" s="152">
        <f t="shared" ca="1" si="2"/>
        <v>341.72544809454882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Robinier faux-acacia</v>
      </c>
      <c r="B11" s="154">
        <f>'Données projet'!D14</f>
        <v>0.52840000000000009</v>
      </c>
      <c r="C11" s="147">
        <f ca="1">IF(OR('Données projet'!B14="",'Données projet'!C14="",'Données projet'!C14=0%),0,Calculateur!DT3)</f>
        <v>225.28075317732998</v>
      </c>
      <c r="D11" s="147">
        <f>IF(OR('Données projet'!B14="",'Données projet'!C14="",'Données projet'!C14=0%),0,Calculateur!DU3)</f>
        <v>358.43407531256207</v>
      </c>
      <c r="E11" s="147">
        <f t="shared" ca="1" si="0"/>
        <v>225.28075317732998</v>
      </c>
      <c r="F11" s="147">
        <f t="shared" ca="1" si="1"/>
        <v>119.03834997890118</v>
      </c>
      <c r="G11" s="147">
        <f ca="1">F11*(100%-'Données projet'!$C$24)*(100%-'Données projet'!$C$25)*(100%-'Données projet'!$C$26)*(100%-'Données projet'!$C$27)</f>
        <v>107.13451498101107</v>
      </c>
      <c r="H11" s="155">
        <f>IF(OR('Données projet'!B14="",'Données projet'!C14="",'Données projet'!C14=0%),0,AVERAGE(Calculateur!$ED$3:$ED$33)*B11)</f>
        <v>4.19568660293183</v>
      </c>
      <c r="I11" s="149">
        <f>H11*(100%-'Données projet'!$C$24)*(100%-'Données projet'!$C$25)*(100%-'Données projet'!$C$26)*(100%-'Données projet'!$C$27)</f>
        <v>3.7761179426386473</v>
      </c>
      <c r="J11" s="150">
        <f>IF(OR('Données projet'!B14="",'Données projet'!C14="",'Données projet'!C14=0%),0,SUM(Calculateur!$DW$3:$DW$33)*VLOOKUP('Données projet'!$B$14,Paramètres!$A$1:$I$89,9,0)*B11)</f>
        <v>16.776700000000002</v>
      </c>
      <c r="K11" s="151">
        <f>J11*(100%-'Données projet'!$C$24)*(100%-'Données projet'!$C$25)*(100%-'Données projet'!$C$26)*(100%-'Données projet'!$C$27)</f>
        <v>15.099030000000003</v>
      </c>
      <c r="L11" s="152">
        <f t="shared" ca="1" si="2"/>
        <v>126.00966292364971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Chêne pubescent</v>
      </c>
      <c r="B12" s="154">
        <f>'Données projet'!D15</f>
        <v>3.9630000000000001</v>
      </c>
      <c r="C12" s="147">
        <f ca="1">IF(OR('Données projet'!B15="",'Données projet'!C15="",'Données projet'!C15=0%),0,Calculateur!EO3)</f>
        <v>363.98308691765931</v>
      </c>
      <c r="D12" s="147">
        <f>IF(OR('Données projet'!B15="",'Données projet'!C15="",'Données projet'!C15=0%),0,Calculateur!EP3)</f>
        <v>181.47089407988187</v>
      </c>
      <c r="E12" s="147">
        <f t="shared" ca="1" si="0"/>
        <v>181.47089407988187</v>
      </c>
      <c r="F12" s="147">
        <f t="shared" ca="1" si="1"/>
        <v>719.16915323857188</v>
      </c>
      <c r="G12" s="147">
        <f ca="1">F12*(100%-'Données projet'!$C$24)*(100%-'Données projet'!$C$25)*(100%-'Données projet'!$C$26)*(100%-'Données projet'!$C$27)</f>
        <v>647.25223791471467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647.25223791471467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Cormier</v>
      </c>
      <c r="B13" s="154">
        <f>'Données projet'!D16</f>
        <v>0.79259999999999997</v>
      </c>
      <c r="C13" s="147">
        <f ca="1">IF(OR('Données projet'!B16="",'Données projet'!C16="",'Données projet'!C16=0%),0,Calculateur!FJ3)</f>
        <v>395.30533160963489</v>
      </c>
      <c r="D13" s="147">
        <f>IF(OR('Données projet'!B16="",'Données projet'!C16="",'Données projet'!C16=0%),0,Calculateur!FK3)</f>
        <v>196.02102977695085</v>
      </c>
      <c r="E13" s="147">
        <f t="shared" ca="1" si="0"/>
        <v>196.02102977695085</v>
      </c>
      <c r="F13" s="147">
        <f t="shared" ca="1" si="1"/>
        <v>155.36626820121126</v>
      </c>
      <c r="G13" s="147">
        <f ca="1">F13*(100%-'Données projet'!$C$24)*(100%-'Données projet'!$C$25)*(100%-'Données projet'!$C$26)*(100%-'Données projet'!$C$27)</f>
        <v>139.82964138109014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139.82964138109014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Chêne chevelu</v>
      </c>
      <c r="B14" s="154">
        <f>'Données projet'!D17</f>
        <v>0.79259999999999997</v>
      </c>
      <c r="C14" s="147">
        <f ca="1">IF(OR('Données projet'!B17="",'Données projet'!C17="",'Données projet'!C17=0%),0,Calculateur!GE3)</f>
        <v>269.41185214595805</v>
      </c>
      <c r="D14" s="147">
        <f>IF(OR('Données projet'!B17="",'Données projet'!C17="",'Données projet'!C17=0%),0,Calculateur!GF3)</f>
        <v>299.70148160580993</v>
      </c>
      <c r="E14" s="147">
        <f t="shared" ca="1" si="0"/>
        <v>269.41185214595805</v>
      </c>
      <c r="F14" s="147">
        <f t="shared" ca="1" si="1"/>
        <v>213.53583401088633</v>
      </c>
      <c r="G14" s="147">
        <f ca="1">F14*(100%-'Données projet'!$C$24)*(100%-'Données projet'!$C$25)*(100%-'Données projet'!$C$26)*(100%-'Données projet'!$C$27)</f>
        <v>192.18225060979771</v>
      </c>
      <c r="H14" s="155">
        <f>IF(OR('Données projet'!B17="",'Données projet'!C17="",'Données projet'!C17=0%),0,AVERAGE(Calculateur!$GO$3:$GO$33)*B14)</f>
        <v>5.1485460986610718</v>
      </c>
      <c r="I14" s="149">
        <f>H14*(100%-'Données projet'!$C$24)*(100%-'Données projet'!$C$25)*(100%-'Données projet'!$C$26)*(100%-'Données projet'!$C$27)</f>
        <v>4.6336914887949652</v>
      </c>
      <c r="J14" s="150">
        <f>IF(OR('Données projet'!B17="",'Données projet'!C17="",'Données projet'!C17=0%),0,SUM(Calculateur!$GH$3:$GH$33)*VLOOKUP('Données projet'!$B$17,Paramètres!$A$1:$I$89,9,0)*B14)</f>
        <v>17.437200000000001</v>
      </c>
      <c r="K14" s="151">
        <f>J14*(100%-'Données projet'!$C$24)*(100%-'Données projet'!$C$25)*(100%-'Données projet'!$C$26)*(100%-'Données projet'!$C$27)</f>
        <v>15.693480000000001</v>
      </c>
      <c r="L14" s="152">
        <f t="shared" ca="1" si="2"/>
        <v>212.50942209859267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Erable champêtre</v>
      </c>
      <c r="B15" s="157">
        <f>'Données projet'!D18</f>
        <v>1.8494000000000004</v>
      </c>
      <c r="C15" s="158">
        <f ca="1">IF(OR('Données projet'!B18="",'Données projet'!C18="",'Données projet'!C18=0%),0,Calculateur!GZ3)</f>
        <v>226.35975611953359</v>
      </c>
      <c r="D15" s="158">
        <f>IF(OR('Données projet'!B18="",'Données projet'!C18="",'Données projet'!C18=0%),0,Calculateur!HA3)</f>
        <v>271.65876694892461</v>
      </c>
      <c r="E15" s="158">
        <f t="shared" ca="1" si="0"/>
        <v>226.35975611953359</v>
      </c>
      <c r="F15" s="159">
        <f t="shared" ca="1" si="1"/>
        <v>418.62973296746549</v>
      </c>
      <c r="G15" s="159">
        <f ca="1">F15*(100%-'Données projet'!$C$24)*(100%-'Données projet'!$C$25)*(100%-'Données projet'!$C$26)*(100%-'Données projet'!$C$27)</f>
        <v>376.76675967071895</v>
      </c>
      <c r="H15" s="160">
        <f>IF(OR('Données projet'!B18="",'Données projet'!C18="",'Données projet'!C18=0%),0,AVERAGE(Calculateur!$HJ$3:$HJ$33)*B15)</f>
        <v>6.0222678858525045</v>
      </c>
      <c r="I15" s="161">
        <f>H15*(100%-'Données projet'!$C$24)*(100%-'Données projet'!$C$25)*(100%-'Données projet'!$C$26)*(100%-'Données projet'!$C$27)</f>
        <v>5.4200410972672541</v>
      </c>
      <c r="J15" s="162">
        <f>IF(OR('Données projet'!B18="",'Données projet'!C18="",'Données projet'!C18=0%),0,SUM(Calculateur!$HC$3:$HC$33)*VLOOKUP('Données projet'!$B$18,Paramètres!$A$1:$I$89,9,0)*B15)</f>
        <v>45.772650000000006</v>
      </c>
      <c r="K15" s="163">
        <f>J15*(100%-'Données projet'!$C$24)*(100%-'Données projet'!$C$25)*(100%-'Données projet'!$C$26)*(100%-'Données projet'!$C$27)</f>
        <v>41.195385000000009</v>
      </c>
      <c r="L15" s="164">
        <f t="shared" ca="1" si="2"/>
        <v>423.38218576798619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4611.1097530767765</v>
      </c>
      <c r="G16" s="166">
        <f t="shared" ca="1" si="3"/>
        <v>4149.9987777690985</v>
      </c>
      <c r="H16" s="167">
        <f t="shared" si="3"/>
        <v>27.799318195651605</v>
      </c>
      <c r="I16" s="167">
        <f t="shared" si="3"/>
        <v>25.019386376086448</v>
      </c>
      <c r="J16" s="168">
        <f t="shared" si="3"/>
        <v>172.05232400000003</v>
      </c>
      <c r="K16" s="168">
        <f t="shared" si="3"/>
        <v>154.84709160000003</v>
      </c>
      <c r="L16" s="169">
        <f t="shared" ca="1" si="3"/>
        <v>4329.8652557451851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Châtaignier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Robinier faux-acacia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Chêne pubescent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Chêne chevelu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Erable champêtre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0" zoomScaleNormal="80" workbookViewId="0">
      <selection activeCell="C302" sqref="C302:C30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-2322.5481426148626</v>
      </c>
      <c r="U10" s="178">
        <f>'Données projet'!D9</f>
        <v>11.3606</v>
      </c>
      <c r="V10" s="177">
        <f>U10*T10</f>
        <v>-26385.540428990407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-2691.5353277403624</v>
      </c>
      <c r="U11" s="178">
        <f>'Données projet'!D10</f>
        <v>0.79259999999999997</v>
      </c>
      <c r="V11" s="177">
        <f t="shared" ref="V11" si="0">U11*T11</f>
        <v>-2133.3109007670109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hybride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-727.76963232992921</v>
      </c>
      <c r="U12" s="178">
        <f>'Données projet'!D11</f>
        <v>0.52840000000000009</v>
      </c>
      <c r="V12" s="177">
        <f t="shared" ref="V12:V19" si="1">U12*T12</f>
        <v>-384.55347372313469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-2449.8363099485578</v>
      </c>
      <c r="U13" s="178">
        <f>'Données projet'!D12</f>
        <v>3.9630000000000001</v>
      </c>
      <c r="V13" s="177">
        <f t="shared" si="1"/>
        <v>-9708.701296326135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Châtaignier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-1388.5826188908854</v>
      </c>
      <c r="U14" s="178">
        <f>'Données projet'!D13</f>
        <v>1.8494000000000004</v>
      </c>
      <c r="V14" s="177">
        <f t="shared" si="1"/>
        <v>-2568.0446953768042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Robinier faux-acacia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2118.8760527969525</v>
      </c>
      <c r="U15" s="178">
        <f>'Données projet'!D14</f>
        <v>0.52840000000000009</v>
      </c>
      <c r="V15" s="177">
        <f t="shared" si="1"/>
        <v>1119.61410629791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-2356.5681426148626</v>
      </c>
      <c r="U16" s="178">
        <f>'Données projet'!D15</f>
        <v>3.9630000000000001</v>
      </c>
      <c r="V16" s="177">
        <f t="shared" si="1"/>
        <v>-9339.0795491827012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3725.19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Cormier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-4363.7481426148634</v>
      </c>
      <c r="U17" s="178">
        <f>'Données projet'!D16</f>
        <v>0.79259999999999997</v>
      </c>
      <c r="V17" s="177">
        <f t="shared" si="1"/>
        <v>-3458.7067778365404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>Chêne chevelu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-2470.4053277403627</v>
      </c>
      <c r="U18" s="178">
        <f>'Données projet'!D17</f>
        <v>0.79259999999999997</v>
      </c>
      <c r="V18" s="177">
        <f t="shared" si="1"/>
        <v>-1958.0432627670114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>Erable champêtre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-2106.1526319167679</v>
      </c>
      <c r="U19" s="178">
        <f>'Données projet'!D18</f>
        <v>1.8494000000000004</v>
      </c>
      <c r="V19" s="177">
        <f t="shared" si="1"/>
        <v>-3895.1186774668713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889.52+1238.38</f>
        <v>2127.9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-154875.80398898572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34</v>
      </c>
      <c r="B24" s="181">
        <f>'Données projet'!D37</f>
        <v>31.615384615384613</v>
      </c>
      <c r="C24" s="193">
        <v>12</v>
      </c>
      <c r="D24" s="182">
        <f t="shared" ref="D24:D42" si="2">B24*C24</f>
        <v>379.38461538461536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1874.3073973581575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42</v>
      </c>
      <c r="B25" s="181">
        <f>'Données projet'!D38</f>
        <v>45.198717948717949</v>
      </c>
      <c r="C25" s="193">
        <v>35</v>
      </c>
      <c r="D25" s="182">
        <f t="shared" si="2"/>
        <v>1581.9551282051282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-156750.11138634387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52.282051282051285</v>
      </c>
      <c r="C26" s="193">
        <v>45</v>
      </c>
      <c r="D26" s="182">
        <f t="shared" si="2"/>
        <v>2352.6923076923076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58</v>
      </c>
      <c r="B27" s="181">
        <f>'Données projet'!D40</f>
        <v>47.467948717948715</v>
      </c>
      <c r="C27" s="193">
        <v>50</v>
      </c>
      <c r="D27" s="182">
        <f t="shared" si="2"/>
        <v>2373.3974358974356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66</v>
      </c>
      <c r="B28" s="181">
        <f>'Données projet'!D41</f>
        <v>54.141025641025635</v>
      </c>
      <c r="C28" s="193">
        <v>55</v>
      </c>
      <c r="D28" s="182">
        <f t="shared" si="2"/>
        <v>2977.7564102564102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74</v>
      </c>
      <c r="B29" s="181">
        <f>'Données projet'!D42</f>
        <v>52.737179487179482</v>
      </c>
      <c r="C29" s="193">
        <v>60</v>
      </c>
      <c r="D29" s="182">
        <f t="shared" si="2"/>
        <v>3164.2307692307691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82</v>
      </c>
      <c r="B30" s="181">
        <f>'Données projet'!D43</f>
        <v>40.371794871794869</v>
      </c>
      <c r="C30" s="193">
        <v>80</v>
      </c>
      <c r="D30" s="182">
        <f t="shared" si="2"/>
        <v>3229.7435897435894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90</v>
      </c>
      <c r="B31" s="181">
        <f>'Données projet'!D44</f>
        <v>47.307692307692307</v>
      </c>
      <c r="C31" s="193">
        <v>80</v>
      </c>
      <c r="D31" s="182">
        <f t="shared" si="2"/>
        <v>3784.6153846153848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100</v>
      </c>
      <c r="B32" s="181">
        <f>'Données projet'!D45</f>
        <v>63.801282051282051</v>
      </c>
      <c r="C32" s="193">
        <v>80</v>
      </c>
      <c r="D32" s="182">
        <f t="shared" si="2"/>
        <v>5104.1025641025644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110</v>
      </c>
      <c r="B33" s="181">
        <f>'Données projet'!D46</f>
        <v>50.051282051282051</v>
      </c>
      <c r="C33" s="193">
        <v>80</v>
      </c>
      <c r="D33" s="182">
        <f t="shared" si="2"/>
        <v>4004.102564102564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120</v>
      </c>
      <c r="B34" s="181">
        <f>'Données projet'!D47</f>
        <v>44.929487179487182</v>
      </c>
      <c r="C34" s="193">
        <v>80</v>
      </c>
      <c r="D34" s="182">
        <f t="shared" si="2"/>
        <v>3594.3589743589746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130</v>
      </c>
      <c r="B35" s="181">
        <f>'Données projet'!D48</f>
        <v>51.378205128205131</v>
      </c>
      <c r="C35" s="193">
        <v>80</v>
      </c>
      <c r="D35" s="182">
        <f t="shared" si="2"/>
        <v>4110.2564102564102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140</v>
      </c>
      <c r="B36" s="181">
        <f>'Données projet'!D49</f>
        <v>50.467948717948715</v>
      </c>
      <c r="C36" s="193">
        <v>80</v>
      </c>
      <c r="D36" s="182">
        <f t="shared" si="2"/>
        <v>4037.4358974358975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150</v>
      </c>
      <c r="B37" s="181">
        <f>'Données projet'!D50</f>
        <v>178.72435897435898</v>
      </c>
      <c r="C37" s="193">
        <v>80</v>
      </c>
      <c r="D37" s="182">
        <f t="shared" si="2"/>
        <v>14297.948717948719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153</v>
      </c>
      <c r="B38" s="181">
        <f>'Données projet'!D51</f>
        <v>105.26282051282051</v>
      </c>
      <c r="C38" s="193">
        <v>80</v>
      </c>
      <c r="D38" s="182">
        <f t="shared" si="2"/>
        <v>8421.0256410256407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156</v>
      </c>
      <c r="B39" s="181">
        <f>'Données projet'!D52</f>
        <v>65.070512820512818</v>
      </c>
      <c r="C39" s="193">
        <v>80</v>
      </c>
      <c r="D39" s="182">
        <f t="shared" si="2"/>
        <v>5205.6410256410254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159</v>
      </c>
      <c r="B40" s="181">
        <f>'Données projet'!D53</f>
        <v>135.55128205128204</v>
      </c>
      <c r="C40" s="193">
        <v>80</v>
      </c>
      <c r="D40" s="182">
        <f t="shared" si="2"/>
        <v>10844.102564102563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3776.22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15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20</v>
      </c>
      <c r="B56" s="181">
        <f>'Données projet'!D64</f>
        <v>41</v>
      </c>
      <c r="C56" s="191">
        <v>10</v>
      </c>
      <c r="D56" s="179">
        <f t="shared" si="4"/>
        <v>410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30</v>
      </c>
      <c r="B57" s="181">
        <f>'Données projet'!D65</f>
        <v>47</v>
      </c>
      <c r="C57" s="191">
        <v>15</v>
      </c>
      <c r="D57" s="179">
        <f t="shared" si="4"/>
        <v>705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47</v>
      </c>
      <c r="C58" s="191">
        <v>30</v>
      </c>
      <c r="D58" s="179">
        <f t="shared" si="4"/>
        <v>1410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50</v>
      </c>
      <c r="B59" s="181">
        <f>'Données projet'!D67</f>
        <v>43</v>
      </c>
      <c r="C59" s="191">
        <v>35</v>
      </c>
      <c r="D59" s="179">
        <f t="shared" si="4"/>
        <v>1505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60</v>
      </c>
      <c r="B60" s="181">
        <f>'Données projet'!D68</f>
        <v>38</v>
      </c>
      <c r="C60" s="191">
        <v>50</v>
      </c>
      <c r="D60" s="179">
        <f t="shared" si="4"/>
        <v>1900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70</v>
      </c>
      <c r="B61" s="181">
        <f>'Données projet'!D69</f>
        <v>33</v>
      </c>
      <c r="C61" s="191">
        <v>60</v>
      </c>
      <c r="D61" s="179">
        <f t="shared" si="4"/>
        <v>1980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80</v>
      </c>
      <c r="B62" s="181">
        <f>'Données projet'!D70</f>
        <v>27</v>
      </c>
      <c r="C62" s="191">
        <v>60</v>
      </c>
      <c r="D62" s="179">
        <f t="shared" si="4"/>
        <v>1620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90</v>
      </c>
      <c r="B63" s="181">
        <f>'Données projet'!D71</f>
        <v>23</v>
      </c>
      <c r="C63" s="191">
        <v>60</v>
      </c>
      <c r="D63" s="179">
        <f t="shared" si="4"/>
        <v>1380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100</v>
      </c>
      <c r="B64" s="181">
        <f>'Données projet'!D72</f>
        <v>23</v>
      </c>
      <c r="C64" s="191">
        <v>60</v>
      </c>
      <c r="D64" s="179">
        <f t="shared" si="4"/>
        <v>1380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hybride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2874.69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57</v>
      </c>
      <c r="C86" s="191">
        <v>10</v>
      </c>
      <c r="D86" s="179">
        <f t="shared" ref="D86:D104" si="6">B86*C86</f>
        <v>570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70</v>
      </c>
      <c r="C87" s="191">
        <v>25</v>
      </c>
      <c r="D87" s="179">
        <f t="shared" si="6"/>
        <v>1750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68</v>
      </c>
      <c r="C88" s="191">
        <v>30</v>
      </c>
      <c r="D88" s="179">
        <f t="shared" si="6"/>
        <v>2040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55</v>
      </c>
      <c r="C89" s="191">
        <v>35</v>
      </c>
      <c r="D89" s="179">
        <f t="shared" si="6"/>
        <v>1925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46</v>
      </c>
      <c r="C90" s="191">
        <v>40</v>
      </c>
      <c r="D90" s="179">
        <f t="shared" si="6"/>
        <v>1840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42</v>
      </c>
      <c r="C91" s="191">
        <v>45</v>
      </c>
      <c r="D91" s="179">
        <f t="shared" si="6"/>
        <v>1890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373</v>
      </c>
      <c r="C92" s="191">
        <v>60</v>
      </c>
      <c r="D92" s="179">
        <f t="shared" si="6"/>
        <v>22380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3895.29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30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42</v>
      </c>
      <c r="B117" s="181">
        <f>'Données projet'!D115</f>
        <v>179.84615384615384</v>
      </c>
      <c r="C117" s="191">
        <v>8</v>
      </c>
      <c r="D117" s="179">
        <f t="shared" ref="D117:D135" si="8">B117*C117</f>
        <v>1438.7692307692307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49</v>
      </c>
      <c r="B118" s="181">
        <f>'Données projet'!D116</f>
        <v>94.476923076923072</v>
      </c>
      <c r="C118" s="191">
        <v>15</v>
      </c>
      <c r="D118" s="179">
        <f t="shared" si="8"/>
        <v>1417.1538461538462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56</v>
      </c>
      <c r="B119" s="181">
        <f>'Données projet'!D117</f>
        <v>72.769230769230759</v>
      </c>
      <c r="C119" s="191">
        <v>25</v>
      </c>
      <c r="D119" s="179">
        <f t="shared" si="8"/>
        <v>1819.2307692307691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63</v>
      </c>
      <c r="B120" s="181">
        <f>'Données projet'!D118</f>
        <v>71.123076923076923</v>
      </c>
      <c r="C120" s="191">
        <v>30</v>
      </c>
      <c r="D120" s="179">
        <f t="shared" si="8"/>
        <v>2133.6923076923076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71</v>
      </c>
      <c r="B121" s="181">
        <f>'Données projet'!D119</f>
        <v>80.399999999999991</v>
      </c>
      <c r="C121" s="191">
        <v>35</v>
      </c>
      <c r="D121" s="179">
        <f t="shared" si="8"/>
        <v>2813.9999999999995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79</v>
      </c>
      <c r="B122" s="181">
        <f>'Données projet'!D120</f>
        <v>77.338461538461544</v>
      </c>
      <c r="C122" s="191">
        <v>40</v>
      </c>
      <c r="D122" s="179">
        <f t="shared" si="8"/>
        <v>3093.5384615384619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87</v>
      </c>
      <c r="B123" s="181">
        <f>'Données projet'!D121</f>
        <v>77.330769230769235</v>
      </c>
      <c r="C123" s="191">
        <v>50</v>
      </c>
      <c r="D123" s="179">
        <f t="shared" si="8"/>
        <v>3866.5384615384619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95</v>
      </c>
      <c r="B124" s="181">
        <f>'Données projet'!D122</f>
        <v>234.42307692307691</v>
      </c>
      <c r="C124" s="191">
        <v>70</v>
      </c>
      <c r="D124" s="179">
        <f t="shared" si="8"/>
        <v>16409.615384615383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105</v>
      </c>
      <c r="B125" s="181">
        <f>'Données projet'!D123</f>
        <v>309.71538461538461</v>
      </c>
      <c r="C125" s="191">
        <v>70</v>
      </c>
      <c r="D125" s="179">
        <f t="shared" si="8"/>
        <v>21680.076923076922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Châtaignier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2806.65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43</v>
      </c>
      <c r="C147" s="191">
        <v>10</v>
      </c>
      <c r="D147" s="182">
        <f>B147*C147</f>
        <v>430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56</v>
      </c>
      <c r="C148" s="191">
        <v>15</v>
      </c>
      <c r="D148" s="182">
        <f t="shared" ref="D148:D166" si="10">B148*C148</f>
        <v>840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56</v>
      </c>
      <c r="C149" s="191">
        <v>20</v>
      </c>
      <c r="D149" s="182">
        <f t="shared" si="10"/>
        <v>1120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39</v>
      </c>
      <c r="C150" s="191">
        <v>30</v>
      </c>
      <c r="D150" s="182">
        <f t="shared" si="10"/>
        <v>1170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25</v>
      </c>
      <c r="C151" s="191">
        <v>35</v>
      </c>
      <c r="D151" s="182">
        <f t="shared" si="10"/>
        <v>875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21</v>
      </c>
      <c r="C152" s="191">
        <v>45</v>
      </c>
      <c r="D152" s="182">
        <f t="shared" si="10"/>
        <v>945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284</v>
      </c>
      <c r="C153" s="191">
        <v>70</v>
      </c>
      <c r="D153" s="182">
        <f t="shared" si="10"/>
        <v>19880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Robinier faux-acacia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1956.15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5</v>
      </c>
      <c r="B178" s="181">
        <f>'Données projet'!D166</f>
        <v>13</v>
      </c>
      <c r="C178" s="193">
        <v>10</v>
      </c>
      <c r="D178" s="179">
        <f>B178*C178</f>
        <v>130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10</v>
      </c>
      <c r="B179" s="181">
        <f>'Données projet'!D167</f>
        <v>41</v>
      </c>
      <c r="C179" s="193">
        <v>10</v>
      </c>
      <c r="D179" s="179">
        <f t="shared" ref="D179:D197" si="11">B179*C179</f>
        <v>410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15</v>
      </c>
      <c r="B180" s="181">
        <f>'Données projet'!D168</f>
        <v>28</v>
      </c>
      <c r="C180" s="193">
        <v>15</v>
      </c>
      <c r="D180" s="179">
        <f t="shared" si="11"/>
        <v>420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20</v>
      </c>
      <c r="B181" s="181">
        <f>'Données projet'!D169</f>
        <v>20</v>
      </c>
      <c r="C181" s="193">
        <v>30</v>
      </c>
      <c r="D181" s="179">
        <f t="shared" si="11"/>
        <v>600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25</v>
      </c>
      <c r="B182" s="181">
        <f>'Données projet'!D170</f>
        <v>14</v>
      </c>
      <c r="C182" s="193">
        <v>35</v>
      </c>
      <c r="D182" s="179">
        <f t="shared" si="11"/>
        <v>490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30</v>
      </c>
      <c r="B183" s="181">
        <f>'Données projet'!D171</f>
        <v>11</v>
      </c>
      <c r="C183" s="193">
        <v>50</v>
      </c>
      <c r="D183" s="179">
        <f t="shared" si="11"/>
        <v>550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35</v>
      </c>
      <c r="B184" s="181">
        <f>'Données projet'!D172</f>
        <v>228</v>
      </c>
      <c r="C184" s="193">
        <v>60</v>
      </c>
      <c r="D184" s="179">
        <f t="shared" si="11"/>
        <v>13680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Chêne pubescent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3759.21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30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34</v>
      </c>
      <c r="B210" s="181">
        <f>'Données projet'!D193</f>
        <v>31.615384615384613</v>
      </c>
      <c r="C210" s="193">
        <v>12</v>
      </c>
      <c r="D210" s="179">
        <f t="shared" ref="D210:D228" si="12">B210*C210</f>
        <v>379.38461538461536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42</v>
      </c>
      <c r="B211" s="181">
        <f>'Données projet'!D194</f>
        <v>45.198717948717949</v>
      </c>
      <c r="C211" s="193">
        <v>35</v>
      </c>
      <c r="D211" s="179">
        <f t="shared" si="12"/>
        <v>1581.9551282051282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52.282051282051285</v>
      </c>
      <c r="C212" s="193">
        <v>45</v>
      </c>
      <c r="D212" s="179">
        <f t="shared" si="12"/>
        <v>2352.6923076923076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58</v>
      </c>
      <c r="B213" s="181">
        <f>'Données projet'!D196</f>
        <v>47.467948717948715</v>
      </c>
      <c r="C213" s="193">
        <v>50</v>
      </c>
      <c r="D213" s="179">
        <f t="shared" si="12"/>
        <v>2373.3974358974356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66</v>
      </c>
      <c r="B214" s="181">
        <f>'Données projet'!D197</f>
        <v>54.141025641025635</v>
      </c>
      <c r="C214" s="193">
        <v>55</v>
      </c>
      <c r="D214" s="179">
        <f t="shared" si="12"/>
        <v>2977.7564102564102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74</v>
      </c>
      <c r="B215" s="181">
        <f>'Données projet'!D198</f>
        <v>52.737179487179482</v>
      </c>
      <c r="C215" s="193">
        <v>60</v>
      </c>
      <c r="D215" s="179">
        <f t="shared" si="12"/>
        <v>3164.2307692307691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82</v>
      </c>
      <c r="B216" s="181">
        <f>'Données projet'!D199</f>
        <v>40.371794871794869</v>
      </c>
      <c r="C216" s="193">
        <v>80</v>
      </c>
      <c r="D216" s="179">
        <f t="shared" si="12"/>
        <v>3229.7435897435894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90</v>
      </c>
      <c r="B217" s="181">
        <f>'Données projet'!D200</f>
        <v>47.307692307692307</v>
      </c>
      <c r="C217" s="193">
        <v>80</v>
      </c>
      <c r="D217" s="179">
        <f t="shared" si="12"/>
        <v>3784.6153846153848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100</v>
      </c>
      <c r="B218" s="181">
        <f>'Données projet'!D201</f>
        <v>63.801282051282051</v>
      </c>
      <c r="C218" s="193">
        <v>80</v>
      </c>
      <c r="D218" s="179">
        <f t="shared" si="12"/>
        <v>5104.1025641025644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110</v>
      </c>
      <c r="B219" s="181">
        <f>'Données projet'!D202</f>
        <v>50.051282051282051</v>
      </c>
      <c r="C219" s="193">
        <v>80</v>
      </c>
      <c r="D219" s="179">
        <f t="shared" si="12"/>
        <v>4004.102564102564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120</v>
      </c>
      <c r="B220" s="181">
        <f>'Données projet'!D203</f>
        <v>44.929487179487182</v>
      </c>
      <c r="C220" s="193">
        <v>80</v>
      </c>
      <c r="D220" s="179">
        <f t="shared" si="12"/>
        <v>3594.3589743589746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130</v>
      </c>
      <c r="B221" s="181">
        <f>'Données projet'!D204</f>
        <v>51.378205128205131</v>
      </c>
      <c r="C221" s="193">
        <v>80</v>
      </c>
      <c r="D221" s="179">
        <f t="shared" si="12"/>
        <v>4110.2564102564102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140</v>
      </c>
      <c r="B222" s="181">
        <f>'Données projet'!D205</f>
        <v>50.467948717948715</v>
      </c>
      <c r="C222" s="193">
        <v>80</v>
      </c>
      <c r="D222" s="179">
        <f t="shared" si="12"/>
        <v>4037.4358974358975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150</v>
      </c>
      <c r="B223" s="181">
        <f>'Données projet'!D206</f>
        <v>178.72435897435898</v>
      </c>
      <c r="C223" s="193">
        <v>80</v>
      </c>
      <c r="D223" s="179">
        <f t="shared" si="12"/>
        <v>14297.948717948719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153</v>
      </c>
      <c r="B224" s="181">
        <f>'Données projet'!D207</f>
        <v>105.26282051282051</v>
      </c>
      <c r="C224" s="193">
        <v>80</v>
      </c>
      <c r="D224" s="179">
        <f t="shared" si="12"/>
        <v>8421.0256410256407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156</v>
      </c>
      <c r="B225" s="181">
        <f>'Données projet'!D208</f>
        <v>65.070512820512818</v>
      </c>
      <c r="C225" s="193">
        <v>80</v>
      </c>
      <c r="D225" s="179">
        <f t="shared" si="12"/>
        <v>5205.6410256410254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159</v>
      </c>
      <c r="B226" s="181">
        <f>'Données projet'!D209</f>
        <v>135.55128205128204</v>
      </c>
      <c r="C226" s="193">
        <v>80</v>
      </c>
      <c r="D226" s="179">
        <f t="shared" si="12"/>
        <v>10844.102564102563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Cormier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5766.39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30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34</v>
      </c>
      <c r="B241" s="181">
        <f>'Données projet'!D219</f>
        <v>31.615384615384613</v>
      </c>
      <c r="C241" s="193">
        <v>12</v>
      </c>
      <c r="D241" s="179">
        <f t="shared" ref="D241:D259" si="13">B241*C241</f>
        <v>379.38461538461536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42</v>
      </c>
      <c r="B242" s="181">
        <f>'Données projet'!D220</f>
        <v>45.198717948717949</v>
      </c>
      <c r="C242" s="193">
        <v>35</v>
      </c>
      <c r="D242" s="179">
        <f t="shared" si="13"/>
        <v>1581.9551282051282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52.282051282051285</v>
      </c>
      <c r="C243" s="193">
        <v>45</v>
      </c>
      <c r="D243" s="179">
        <f t="shared" si="13"/>
        <v>2352.6923076923076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58</v>
      </c>
      <c r="B244" s="181">
        <f>'Données projet'!D222</f>
        <v>47.467948717948715</v>
      </c>
      <c r="C244" s="193">
        <v>50</v>
      </c>
      <c r="D244" s="179">
        <f t="shared" si="13"/>
        <v>2373.3974358974356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66</v>
      </c>
      <c r="B245" s="181">
        <f>'Données projet'!D223</f>
        <v>54.141025641025635</v>
      </c>
      <c r="C245" s="193">
        <v>55</v>
      </c>
      <c r="D245" s="179">
        <f t="shared" si="13"/>
        <v>2977.7564102564102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74</v>
      </c>
      <c r="B246" s="181">
        <f>'Données projet'!D224</f>
        <v>52.737179487179482</v>
      </c>
      <c r="C246" s="193">
        <v>60</v>
      </c>
      <c r="D246" s="179">
        <f t="shared" si="13"/>
        <v>3164.2307692307691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82</v>
      </c>
      <c r="B247" s="181">
        <f>'Données projet'!D225</f>
        <v>40.371794871794869</v>
      </c>
      <c r="C247" s="193">
        <v>80</v>
      </c>
      <c r="D247" s="179">
        <f t="shared" si="13"/>
        <v>3229.7435897435894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90</v>
      </c>
      <c r="B248" s="181">
        <f>'Données projet'!D226</f>
        <v>47.307692307692307</v>
      </c>
      <c r="C248" s="193">
        <v>80</v>
      </c>
      <c r="D248" s="179">
        <f t="shared" si="13"/>
        <v>3784.6153846153848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100</v>
      </c>
      <c r="B249" s="181">
        <f>'Données projet'!D227</f>
        <v>63.801282051282051</v>
      </c>
      <c r="C249" s="193">
        <v>80</v>
      </c>
      <c r="D249" s="179">
        <f t="shared" si="13"/>
        <v>5104.1025641025644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110</v>
      </c>
      <c r="B250" s="181">
        <f>'Données projet'!D228</f>
        <v>50.051282051282051</v>
      </c>
      <c r="C250" s="193">
        <v>80</v>
      </c>
      <c r="D250" s="179">
        <f t="shared" si="13"/>
        <v>4004.102564102564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120</v>
      </c>
      <c r="B251" s="181">
        <f>'Données projet'!D229</f>
        <v>44.929487179487182</v>
      </c>
      <c r="C251" s="193">
        <v>80</v>
      </c>
      <c r="D251" s="179">
        <f t="shared" si="13"/>
        <v>3594.3589743589746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130</v>
      </c>
      <c r="B252" s="181">
        <f>'Données projet'!D230</f>
        <v>51.378205128205131</v>
      </c>
      <c r="C252" s="193">
        <v>80</v>
      </c>
      <c r="D252" s="179">
        <f t="shared" si="13"/>
        <v>4110.2564102564102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140</v>
      </c>
      <c r="B253" s="181">
        <f>'Données projet'!D231</f>
        <v>50.467948717948715</v>
      </c>
      <c r="C253" s="193">
        <v>80</v>
      </c>
      <c r="D253" s="179">
        <f t="shared" si="13"/>
        <v>4037.4358974358975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150</v>
      </c>
      <c r="B254" s="181">
        <f>'Données projet'!D232</f>
        <v>178.72435897435898</v>
      </c>
      <c r="C254" s="193">
        <v>80</v>
      </c>
      <c r="D254" s="179">
        <f t="shared" si="13"/>
        <v>14297.948717948719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153</v>
      </c>
      <c r="B255" s="181">
        <f>'Données projet'!D233</f>
        <v>105.26282051282051</v>
      </c>
      <c r="C255" s="193">
        <v>80</v>
      </c>
      <c r="D255" s="179">
        <f t="shared" si="13"/>
        <v>8421.0256410256407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156</v>
      </c>
      <c r="B256" s="181">
        <f>'Données projet'!D234</f>
        <v>65.070512820512818</v>
      </c>
      <c r="C256" s="193">
        <v>80</v>
      </c>
      <c r="D256" s="179">
        <f t="shared" si="13"/>
        <v>5205.6410256410254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159</v>
      </c>
      <c r="B257" s="181">
        <f>'Données projet'!D235</f>
        <v>135.55128205128204</v>
      </c>
      <c r="C257" s="193">
        <v>80</v>
      </c>
      <c r="D257" s="179">
        <f t="shared" si="13"/>
        <v>10844.102564102563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Chêne chevelu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3555.09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15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20</v>
      </c>
      <c r="B273" s="181">
        <f>'Données projet'!D246</f>
        <v>41</v>
      </c>
      <c r="C273" s="193">
        <v>10</v>
      </c>
      <c r="D273" s="179">
        <f t="shared" si="14"/>
        <v>410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30</v>
      </c>
      <c r="B274" s="181">
        <f>'Données projet'!D247</f>
        <v>47</v>
      </c>
      <c r="C274" s="193">
        <v>15</v>
      </c>
      <c r="D274" s="179">
        <f t="shared" si="14"/>
        <v>705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40</v>
      </c>
      <c r="B275" s="181">
        <f>'Données projet'!D248</f>
        <v>47</v>
      </c>
      <c r="C275" s="193">
        <v>30</v>
      </c>
      <c r="D275" s="179">
        <f t="shared" si="14"/>
        <v>1410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50</v>
      </c>
      <c r="B276" s="181">
        <f>'Données projet'!D249</f>
        <v>43</v>
      </c>
      <c r="C276" s="193">
        <v>35</v>
      </c>
      <c r="D276" s="179">
        <f t="shared" si="14"/>
        <v>1505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60</v>
      </c>
      <c r="B277" s="181">
        <f>'Données projet'!D250</f>
        <v>38</v>
      </c>
      <c r="C277" s="193">
        <v>50</v>
      </c>
      <c r="D277" s="179">
        <f t="shared" si="14"/>
        <v>1900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70</v>
      </c>
      <c r="B278" s="181">
        <f>'Données projet'!D251</f>
        <v>33</v>
      </c>
      <c r="C278" s="193">
        <v>60</v>
      </c>
      <c r="D278" s="179">
        <f t="shared" si="14"/>
        <v>1980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80</v>
      </c>
      <c r="B279" s="181">
        <f>'Données projet'!D252</f>
        <v>27</v>
      </c>
      <c r="C279" s="193">
        <v>60</v>
      </c>
      <c r="D279" s="179">
        <f t="shared" si="14"/>
        <v>1620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90</v>
      </c>
      <c r="B280" s="181">
        <f>'Données projet'!D253</f>
        <v>23</v>
      </c>
      <c r="C280" s="193">
        <v>60</v>
      </c>
      <c r="D280" s="179">
        <f t="shared" si="14"/>
        <v>1380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100</v>
      </c>
      <c r="B281" s="181">
        <f>'Données projet'!D254</f>
        <v>23</v>
      </c>
      <c r="C281" s="193">
        <v>60</v>
      </c>
      <c r="D281" s="179">
        <f t="shared" si="14"/>
        <v>1380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Erable champêtre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3299.94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20</v>
      </c>
      <c r="B302" s="181">
        <f>'Données projet'!D270</f>
        <v>43</v>
      </c>
      <c r="C302" s="191">
        <v>10</v>
      </c>
      <c r="D302" s="182">
        <f>B302*C302</f>
        <v>430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30</v>
      </c>
      <c r="B303" s="181">
        <f>'Données projet'!D271</f>
        <v>56</v>
      </c>
      <c r="C303" s="191">
        <v>15</v>
      </c>
      <c r="D303" s="182">
        <f t="shared" ref="D303:D321" si="15">B303*C303</f>
        <v>840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40</v>
      </c>
      <c r="B304" s="181">
        <f>'Données projet'!D272</f>
        <v>56</v>
      </c>
      <c r="C304" s="191">
        <v>20</v>
      </c>
      <c r="D304" s="182">
        <f t="shared" si="15"/>
        <v>1120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50</v>
      </c>
      <c r="B305" s="181">
        <f>'Données projet'!D273</f>
        <v>39</v>
      </c>
      <c r="C305" s="191">
        <v>30</v>
      </c>
      <c r="D305" s="182">
        <f t="shared" si="15"/>
        <v>1170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60</v>
      </c>
      <c r="B306" s="181">
        <f>'Données projet'!D274</f>
        <v>25</v>
      </c>
      <c r="C306" s="191">
        <v>35</v>
      </c>
      <c r="D306" s="182">
        <f t="shared" si="15"/>
        <v>875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70</v>
      </c>
      <c r="B307" s="181">
        <f>'Données projet'!D275</f>
        <v>21</v>
      </c>
      <c r="C307" s="191">
        <v>45</v>
      </c>
      <c r="D307" s="182">
        <f t="shared" si="15"/>
        <v>945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80</v>
      </c>
      <c r="B308" s="181">
        <f>'Données projet'!D276</f>
        <v>284</v>
      </c>
      <c r="C308" s="191">
        <v>70</v>
      </c>
      <c r="D308" s="182">
        <f t="shared" si="15"/>
        <v>19880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2025-11-18T15:03:56Z</dcterms:modified>
</cp:coreProperties>
</file>