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Charlet R5\"/>
    </mc:Choice>
  </mc:AlternateContent>
  <xr:revisionPtr revIDLastSave="0" documentId="13_ncr:1_{5B84F9B9-509C-4D1B-B841-2376F0A01489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250" i="1"/>
  <c r="D250" i="1" s="1"/>
  <c r="D249" i="1"/>
  <c r="D248" i="1"/>
  <c r="D247" i="1"/>
  <c r="D246" i="1"/>
  <c r="D245" i="1"/>
  <c r="D244" i="1"/>
  <c r="B226" i="1"/>
  <c r="B225" i="1"/>
  <c r="B224" i="1"/>
  <c r="B223" i="1"/>
  <c r="B222" i="1"/>
  <c r="B221" i="1"/>
  <c r="B220" i="1"/>
  <c r="B219" i="1"/>
  <c r="B172" i="1"/>
  <c r="D172" i="1" s="1"/>
  <c r="D171" i="1"/>
  <c r="D170" i="1"/>
  <c r="D169" i="1"/>
  <c r="D168" i="1"/>
  <c r="D167" i="1"/>
  <c r="D166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40" i="1"/>
  <c r="B121" i="1"/>
  <c r="B120" i="1"/>
  <c r="B119" i="1"/>
  <c r="B118" i="1"/>
  <c r="B117" i="1"/>
  <c r="B116" i="1"/>
  <c r="B115" i="1"/>
  <c r="B114" i="1"/>
  <c r="B95" i="1"/>
  <c r="B94" i="1"/>
  <c r="B93" i="1"/>
  <c r="B92" i="1"/>
  <c r="B91" i="1"/>
  <c r="B90" i="1"/>
  <c r="B89" i="1"/>
  <c r="B88" i="1"/>
  <c r="D207" i="1"/>
  <c r="B207" i="1"/>
  <c r="D206" i="1"/>
  <c r="B206" i="1"/>
  <c r="D205" i="1"/>
  <c r="B205" i="1"/>
  <c r="D204" i="1"/>
  <c r="B204" i="1"/>
  <c r="D203" i="1"/>
  <c r="B203" i="1"/>
  <c r="D202" i="1"/>
  <c r="B202" i="1"/>
  <c r="D201" i="1"/>
  <c r="B201" i="1"/>
  <c r="D200" i="1"/>
  <c r="B200" i="1"/>
  <c r="D199" i="1"/>
  <c r="B199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<sst xmlns="http://schemas.openxmlformats.org/spreadsheetml/2006/main" count="1178" uniqueCount="324">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</sst>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252.8669001492398</c:v>
                </c:pt>
                <c:pt idx="155">
                  <c:v>256.5075597411099</c:v>
                </c:pt>
                <c:pt idx="156">
                  <c:v>260.14705039921705</c:v>
                </c:pt>
                <c:pt idx="157">
                  <c:v>263.7853908188913</c:v>
                </c:pt>
                <c:pt idx="158">
                  <c:v>176.83468552294786</c:v>
                </c:pt>
                <c:pt idx="159">
                  <c:v>179.11325863950739</c:v>
                </c:pt>
                <c:pt idx="160">
                  <c:v>181.39115234734427</c:v>
                </c:pt>
                <c:pt idx="161">
                  <c:v>183.66837640937317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</c:v>
                </c:pt>
                <c:pt idx="155">
                  <c:v>286.67220565892586</c:v>
                </c:pt>
                <c:pt idx="156">
                  <c:v>290.74075975339866</c:v>
                </c:pt>
                <c:pt idx="157">
                  <c:v>294.80804177162997</c:v>
                </c:pt>
                <c:pt idx="158">
                  <c:v>197.61056174383373</c:v>
                </c:pt>
                <c:pt idx="159">
                  <c:v>200.15752525879114</c:v>
                </c:pt>
                <c:pt idx="160">
                  <c:v>202.70373739936429</c:v>
                </c:pt>
                <c:pt idx="161">
                  <c:v>205.24920896259411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2.1567642387920674</c:v>
                </c:pt>
                <c:pt idx="2">
                  <c:v>2.6855980128649111</c:v>
                </c:pt>
                <c:pt idx="3">
                  <c:v>3.3446067142828606</c:v>
                </c:pt>
                <c:pt idx="4">
                  <c:v>4.16595112708253</c:v>
                </c:pt>
                <c:pt idx="5">
                  <c:v>5.1897648480507295</c:v>
                </c:pt>
                <c:pt idx="6">
                  <c:v>6.4661370653121786</c:v>
                </c:pt>
                <c:pt idx="7">
                  <c:v>8.057589882609383</c:v>
                </c:pt>
                <c:pt idx="8">
                  <c:v>10.042173869899939</c:v>
                </c:pt>
                <c:pt idx="9">
                  <c:v>12.517336527679234</c:v>
                </c:pt>
                <c:pt idx="10">
                  <c:v>15.604757149851741</c:v>
                </c:pt>
                <c:pt idx="11">
                  <c:v>19.456390119377222</c:v>
                </c:pt>
                <c:pt idx="12">
                  <c:v>24.262019428339389</c:v>
                </c:pt>
                <c:pt idx="13">
                  <c:v>30.258703255192469</c:v>
                </c:pt>
                <c:pt idx="14">
                  <c:v>37.742582608618598</c:v>
                </c:pt>
                <c:pt idx="15">
                  <c:v>47.083647183971607</c:v>
                </c:pt>
                <c:pt idx="16">
                  <c:v>58.744200717255033</c:v>
                </c:pt>
                <c:pt idx="17">
                  <c:v>73.30195483191865</c:v>
                </c:pt>
                <c:pt idx="18">
                  <c:v>91.478914136887184</c:v>
                </c:pt>
                <c:pt idx="19">
                  <c:v>114.17750802800187</c:v>
                </c:pt>
                <c:pt idx="20">
                  <c:v>142.52579115025176</c:v>
                </c:pt>
                <c:pt idx="21">
                  <c:v>97.312065972754382</c:v>
                </c:pt>
                <c:pt idx="22">
                  <c:v>115.27221811342979</c:v>
                </c:pt>
                <c:pt idx="23">
                  <c:v>133.16379985429114</c:v>
                </c:pt>
                <c:pt idx="24">
                  <c:v>150.99733996220459</c:v>
                </c:pt>
                <c:pt idx="25">
                  <c:v>168.78066680719573</c:v>
                </c:pt>
                <c:pt idx="26">
                  <c:v>186.51981963531719</c:v>
                </c:pt>
                <c:pt idx="27">
                  <c:v>204.21959279021061</c:v>
                </c:pt>
                <c:pt idx="28">
                  <c:v>221.88388047112758</c:v>
                </c:pt>
                <c:pt idx="29">
                  <c:v>239.51590555035622</c:v>
                </c:pt>
                <c:pt idx="30">
                  <c:v>257.1183772918742</c:v>
                </c:pt>
                <c:pt idx="31">
                  <c:v>190.87571093543406</c:v>
                </c:pt>
                <c:pt idx="32">
                  <c:v>205.6687727406734</c:v>
                </c:pt>
                <c:pt idx="33">
                  <c:v>220.43724193036135</c:v>
                </c:pt>
                <c:pt idx="34">
                  <c:v>235.18299859219027</c:v>
                </c:pt>
                <c:pt idx="35">
                  <c:v>249.90766763554743</c:v>
                </c:pt>
                <c:pt idx="36">
                  <c:v>264.61266674466111</c:v>
                </c:pt>
                <c:pt idx="37">
                  <c:v>279.29924310003668</c:v>
                </c:pt>
                <c:pt idx="38">
                  <c:v>293.96850196335311</c:v>
                </c:pt>
                <c:pt idx="39">
                  <c:v>308.62142925305045</c:v>
                </c:pt>
                <c:pt idx="40">
                  <c:v>323.25890960508121</c:v>
                </c:pt>
                <c:pt idx="41">
                  <c:v>253.80202769919762</c:v>
                </c:pt>
                <c:pt idx="42">
                  <c:v>264.90081208016181</c:v>
                </c:pt>
                <c:pt idx="43">
                  <c:v>275.98911371379239</c:v>
                </c:pt>
                <c:pt idx="44">
                  <c:v>287.0674133532234</c:v>
                </c:pt>
                <c:pt idx="45">
                  <c:v>298.13615159385154</c:v>
                </c:pt>
                <c:pt idx="46">
                  <c:v>309.19573362623737</c:v>
                </c:pt>
                <c:pt idx="47">
                  <c:v>320.24653327300206</c:v>
                </c:pt>
                <c:pt idx="48">
                  <c:v>331.28889643907769</c:v>
                </c:pt>
                <c:pt idx="49">
                  <c:v>342.32314407768052</c:v>
                </c:pt>
                <c:pt idx="50">
                  <c:v>353.34957475371965</c:v>
                </c:pt>
                <c:pt idx="51">
                  <c:v>305.46232940780999</c:v>
                </c:pt>
                <c:pt idx="52">
                  <c:v>313.50226463243422</c:v>
                </c:pt>
                <c:pt idx="53">
                  <c:v>321.53762812838323</c:v>
                </c:pt>
                <c:pt idx="54">
                  <c:v>329.56855035950645</c:v>
                </c:pt>
                <c:pt idx="55">
                  <c:v>337.59515490695998</c:v>
                </c:pt>
                <c:pt idx="56">
                  <c:v>345.61755899091719</c:v>
                </c:pt>
                <c:pt idx="57">
                  <c:v>353.6358739412795</c:v>
                </c:pt>
                <c:pt idx="58">
                  <c:v>361.65020562344097</c:v>
                </c:pt>
                <c:pt idx="59">
                  <c:v>369.66065482432015</c:v>
                </c:pt>
                <c:pt idx="60">
                  <c:v>377.66731760316674</c:v>
                </c:pt>
                <c:pt idx="61">
                  <c:v>347.76571840159392</c:v>
                </c:pt>
                <c:pt idx="62">
                  <c:v>353.63587394127961</c:v>
                </c:pt>
                <c:pt idx="63">
                  <c:v>359.50389442227942</c:v>
                </c:pt>
                <c:pt idx="64">
                  <c:v>365.36981964928873</c:v>
                </c:pt>
                <c:pt idx="65">
                  <c:v>371.23368804323746</c:v>
                </c:pt>
                <c:pt idx="66">
                  <c:v>377.09553671098297</c:v>
                </c:pt>
                <c:pt idx="67">
                  <c:v>382.95540151044014</c:v>
                </c:pt>
                <c:pt idx="68">
                  <c:v>388.81331711151353</c:v>
                </c:pt>
                <c:pt idx="69">
                  <c:v>394.669317053165</c:v>
                </c:pt>
                <c:pt idx="70">
                  <c:v>400.52343379691257</c:v>
                </c:pt>
                <c:pt idx="71">
                  <c:v>374.9511899311089</c:v>
                </c:pt>
                <c:pt idx="72">
                  <c:v>379.38254731510438</c:v>
                </c:pt>
                <c:pt idx="73">
                  <c:v>383.812778391736</c:v>
                </c:pt>
                <c:pt idx="74">
                  <c:v>388.24189801221195</c:v>
                </c:pt>
                <c:pt idx="75">
                  <c:v>392.66992066083503</c:v>
                </c:pt>
                <c:pt idx="76">
                  <c:v>397.09686046819598</c:v>
                </c:pt>
                <c:pt idx="77">
                  <c:v>401.52273122374817</c:v>
                </c:pt>
                <c:pt idx="78">
                  <c:v>405.9475463877975</c:v>
                </c:pt>
                <c:pt idx="79">
                  <c:v>410.37131910294289</c:v>
                </c:pt>
                <c:pt idx="80">
                  <c:v>414.79406220499703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3.1534690589118353</c:v>
                </c:pt>
                <c:pt idx="2">
                  <c:v>3.6411098993736544</c:v>
                </c:pt>
                <c:pt idx="3">
                  <c:v>4.2044268606027302</c:v>
                </c:pt>
                <c:pt idx="4">
                  <c:v>4.8552034117197067</c:v>
                </c:pt>
                <c:pt idx="5">
                  <c:v>5.6070635714035504</c:v>
                </c:pt>
                <c:pt idx="6">
                  <c:v>6.4757602345243841</c:v>
                </c:pt>
                <c:pt idx="7">
                  <c:v>7.4795087872720272</c:v>
                </c:pt>
                <c:pt idx="8">
                  <c:v>8.639373141963544</c:v>
                </c:pt>
                <c:pt idx="9">
                  <c:v>9.9797124481302628</c:v>
                </c:pt>
                <c:pt idx="10">
                  <c:v>11.528698039875204</c:v>
                </c:pt>
                <c:pt idx="11">
                  <c:v>13.318911689052916</c:v>
                </c:pt>
                <c:pt idx="12">
                  <c:v>15.38803798222699</c:v>
                </c:pt>
                <c:pt idx="13">
                  <c:v>17.77966566446408</c:v>
                </c:pt>
                <c:pt idx="14">
                  <c:v>20.54421513869535</c:v>
                </c:pt>
                <c:pt idx="15">
                  <c:v>23.740012026451669</c:v>
                </c:pt>
                <c:pt idx="16">
                  <c:v>27.434529843166086</c:v>
                </c:pt>
                <c:pt idx="17">
                  <c:v>31.705828487202169</c:v>
                </c:pt>
                <c:pt idx="18">
                  <c:v>36.644219465424563</c:v>
                </c:pt>
                <c:pt idx="19">
                  <c:v>42.354193671162776</c:v>
                </c:pt>
                <c:pt idx="20">
                  <c:v>48.956653199092813</c:v>
                </c:pt>
                <c:pt idx="21">
                  <c:v>56.591495249023616</c:v>
                </c:pt>
                <c:pt idx="22">
                  <c:v>65.420603779564317</c:v>
                </c:pt>
                <c:pt idx="23">
                  <c:v>75.631313388595743</c:v>
                </c:pt>
                <c:pt idx="24">
                  <c:v>87.440420112127867</c:v>
                </c:pt>
                <c:pt idx="25">
                  <c:v>101.09882566874715</c:v>
                </c:pt>
                <c:pt idx="26">
                  <c:v>116.89691539106512</c:v>
                </c:pt>
                <c:pt idx="27">
                  <c:v>135.17078597699336</c:v>
                </c:pt>
                <c:pt idx="28">
                  <c:v>156.30945760843863</c:v>
                </c:pt>
                <c:pt idx="29">
                  <c:v>180.76322632439783</c:v>
                </c:pt>
                <c:pt idx="30">
                  <c:v>209.05333726458238</c:v>
                </c:pt>
                <c:pt idx="31">
                  <c:v>221.45013352636488</c:v>
                </c:pt>
                <c:pt idx="32">
                  <c:v>233.83100699372565</c:v>
                </c:pt>
                <c:pt idx="33">
                  <c:v>246.19691994363038</c:v>
                </c:pt>
                <c:pt idx="34">
                  <c:v>258.54873002616625</c:v>
                </c:pt>
                <c:pt idx="35">
                  <c:v>270.88720620303383</c:v>
                </c:pt>
                <c:pt idx="36">
                  <c:v>283.21304162734083</c:v>
                </c:pt>
                <c:pt idx="37">
                  <c:v>295.52686416199555</c:v>
                </c:pt>
                <c:pt idx="38">
                  <c:v>307.82924505201976</c:v>
                </c:pt>
                <c:pt idx="39">
                  <c:v>320.12070613712899</c:v>
                </c:pt>
                <c:pt idx="40">
                  <c:v>332.40172589804757</c:v>
                </c:pt>
                <c:pt idx="41">
                  <c:v>344.67274456214574</c:v>
                </c:pt>
                <c:pt idx="42">
                  <c:v>356.93416844371239</c:v>
                </c:pt>
                <c:pt idx="43">
                  <c:v>369.1863736564838</c:v>
                </c:pt>
                <c:pt idx="44">
                  <c:v>381.42970930746696</c:v>
                </c:pt>
                <c:pt idx="45">
                  <c:v>248.78159697273676</c:v>
                </c:pt>
                <c:pt idx="46">
                  <c:v>264.5735092135825</c:v>
                </c:pt>
                <c:pt idx="47">
                  <c:v>280.34417115057249</c:v>
                </c:pt>
                <c:pt idx="48">
                  <c:v>296.09494651674089</c:v>
                </c:pt>
                <c:pt idx="49">
                  <c:v>311.82704208139222</c:v>
                </c:pt>
                <c:pt idx="50">
                  <c:v>327.54153289113111</c:v>
                </c:pt>
                <c:pt idx="51">
                  <c:v>343.23938241063451</c:v>
                </c:pt>
                <c:pt idx="52">
                  <c:v>271.13371764011657</c:v>
                </c:pt>
                <c:pt idx="53">
                  <c:v>285.89950657226996</c:v>
                </c:pt>
                <c:pt idx="54">
                  <c:v>300.6482343241384</c:v>
                </c:pt>
                <c:pt idx="55">
                  <c:v>315.38085576586224</c:v>
                </c:pt>
                <c:pt idx="56">
                  <c:v>330.09822925832987</c:v>
                </c:pt>
                <c:pt idx="57">
                  <c:v>344.80113036611419</c:v>
                </c:pt>
                <c:pt idx="58">
                  <c:v>359.49026310821347</c:v>
                </c:pt>
                <c:pt idx="59">
                  <c:v>374.1662692732645</c:v>
                </c:pt>
                <c:pt idx="60">
                  <c:v>298.27808925459738</c:v>
                </c:pt>
                <c:pt idx="61">
                  <c:v>311.97416874515676</c:v>
                </c:pt>
                <c:pt idx="62">
                  <c:v>325.6569119745995</c:v>
                </c:pt>
                <c:pt idx="63">
                  <c:v>339.3269582712324</c:v>
                </c:pt>
                <c:pt idx="64">
                  <c:v>352.98489123867739</c:v>
                </c:pt>
                <c:pt idx="65">
                  <c:v>366.6312456266499</c:v>
                </c:pt>
                <c:pt idx="66">
                  <c:v>380.26651312508551</c:v>
                </c:pt>
                <c:pt idx="67">
                  <c:v>393.89114728366098</c:v>
                </c:pt>
                <c:pt idx="68">
                  <c:v>333.50621544638557</c:v>
                </c:pt>
                <c:pt idx="69">
                  <c:v>346.58737323733811</c:v>
                </c:pt>
                <c:pt idx="70">
                  <c:v>359.65769389940004</c:v>
                </c:pt>
                <c:pt idx="71">
                  <c:v>372.71762679393436</c:v>
                </c:pt>
                <c:pt idx="72">
                  <c:v>385.76758721761024</c:v>
                </c:pt>
                <c:pt idx="73">
                  <c:v>398.80796007409725</c:v>
                </c:pt>
                <c:pt idx="74">
                  <c:v>411.83910304039659</c:v>
                </c:pt>
                <c:pt idx="75">
                  <c:v>424.86134931148223</c:v>
                </c:pt>
                <c:pt idx="76">
                  <c:v>366.63001954846703</c:v>
                </c:pt>
                <c:pt idx="77">
                  <c:v>379.25883721427107</c:v>
                </c:pt>
                <c:pt idx="78">
                  <c:v>391.87850650607828</c:v>
                </c:pt>
                <c:pt idx="79">
                  <c:v>404.48936356692701</c:v>
                </c:pt>
                <c:pt idx="80">
                  <c:v>417.09172186795348</c:v>
                </c:pt>
                <c:pt idx="81">
                  <c:v>429.68587439085917</c:v>
                </c:pt>
                <c:pt idx="82">
                  <c:v>442.27209554114955</c:v>
                </c:pt>
                <c:pt idx="83">
                  <c:v>454.85064283222886</c:v>
                </c:pt>
                <c:pt idx="84">
                  <c:v>467.42175837350146</c:v>
                </c:pt>
                <c:pt idx="85">
                  <c:v>399.21794092640448</c:v>
                </c:pt>
                <c:pt idx="86">
                  <c:v>411.2661252434059</c:v>
                </c:pt>
                <c:pt idx="87">
                  <c:v>423.30669260228728</c:v>
                </c:pt>
                <c:pt idx="88">
                  <c:v>435.33989021066822</c:v>
                </c:pt>
                <c:pt idx="89">
                  <c:v>447.36595049430707</c:v>
                </c:pt>
                <c:pt idx="90">
                  <c:v>459.38509236301206</c:v>
                </c:pt>
                <c:pt idx="91">
                  <c:v>471.39752233716735</c:v>
                </c:pt>
                <c:pt idx="92">
                  <c:v>483.40343555345339</c:v>
                </c:pt>
                <c:pt idx="93">
                  <c:v>495.40301666545815</c:v>
                </c:pt>
                <c:pt idx="94">
                  <c:v>438.72030552903954</c:v>
                </c:pt>
                <c:pt idx="95">
                  <c:v>450.73902924477983</c:v>
                </c:pt>
                <c:pt idx="96">
                  <c:v>462.75089982595506</c:v>
                </c:pt>
                <c:pt idx="97">
                  <c:v>474.75612023234066</c:v>
                </c:pt>
                <c:pt idx="98">
                  <c:v>486.75488232216713</c:v>
                </c:pt>
                <c:pt idx="99">
                  <c:v>498.74736772383267</c:v>
                </c:pt>
                <c:pt idx="100">
                  <c:v>510.73374861941949</c:v>
                </c:pt>
                <c:pt idx="101">
                  <c:v>522.71418845083542</c:v>
                </c:pt>
                <c:pt idx="102">
                  <c:v>534.68884255785974</c:v>
                </c:pt>
                <c:pt idx="103">
                  <c:v>546.65785875606741</c:v>
                </c:pt>
                <c:pt idx="104">
                  <c:v>468.21209011778797</c:v>
                </c:pt>
                <c:pt idx="105">
                  <c:v>479.84426792355094</c:v>
                </c:pt>
                <c:pt idx="106">
                  <c:v>491.47045315658323</c:v>
                </c:pt>
                <c:pt idx="107">
                  <c:v>503.0908075522961</c:v>
                </c:pt>
                <c:pt idx="108">
                  <c:v>514.70548476559588</c:v>
                </c:pt>
                <c:pt idx="109">
                  <c:v>526.31463095168817</c:v>
                </c:pt>
                <c:pt idx="110">
                  <c:v>537.91838529298013</c:v>
                </c:pt>
                <c:pt idx="111">
                  <c:v>549.51688047815901</c:v>
                </c:pt>
                <c:pt idx="112">
                  <c:v>561.11024313872872</c:v>
                </c:pt>
                <c:pt idx="113">
                  <c:v>572.6985942475975</c:v>
                </c:pt>
                <c:pt idx="114">
                  <c:v>512.84799871703717</c:v>
                </c:pt>
                <c:pt idx="115">
                  <c:v>524.93739421021189</c:v>
                </c:pt>
                <c:pt idx="116">
                  <c:v>537.02092571829689</c:v>
                </c:pt>
                <c:pt idx="117">
                  <c:v>549.09874375965182</c:v>
                </c:pt>
                <c:pt idx="118">
                  <c:v>561.17099169241851</c:v>
                </c:pt>
                <c:pt idx="119">
                  <c:v>573.23780620508774</c:v>
                </c:pt>
                <c:pt idx="120">
                  <c:v>585.29931776362218</c:v>
                </c:pt>
                <c:pt idx="121">
                  <c:v>597.35565101981854</c:v>
                </c:pt>
                <c:pt idx="122">
                  <c:v>609.40692518499748</c:v>
                </c:pt>
                <c:pt idx="123">
                  <c:v>621.45325437260897</c:v>
                </c:pt>
                <c:pt idx="124">
                  <c:v>633.49474791290106</c:v>
                </c:pt>
                <c:pt idx="125">
                  <c:v>645.53151064243139</c:v>
                </c:pt>
                <c:pt idx="126">
                  <c:v>548.04607929846588</c:v>
                </c:pt>
                <c:pt idx="127">
                  <c:v>559.97786488342695</c:v>
                </c:pt>
                <c:pt idx="128">
                  <c:v>571.90433029135977</c:v>
                </c:pt>
                <c:pt idx="129">
                  <c:v>583.82560207965423</c:v>
                </c:pt>
                <c:pt idx="130">
                  <c:v>595.74180121714119</c:v>
                </c:pt>
                <c:pt idx="131">
                  <c:v>607.65304344007518</c:v>
                </c:pt>
                <c:pt idx="132">
                  <c:v>619.55943957876173</c:v>
                </c:pt>
                <c:pt idx="133">
                  <c:v>631.4610958577822</c:v>
                </c:pt>
                <c:pt idx="134">
                  <c:v>643.35811417241564</c:v>
                </c:pt>
                <c:pt idx="135">
                  <c:v>655.25059234356047</c:v>
                </c:pt>
                <c:pt idx="136">
                  <c:v>667.13862435319663</c:v>
                </c:pt>
                <c:pt idx="137">
                  <c:v>679.02230056219787</c:v>
                </c:pt>
                <c:pt idx="138">
                  <c:v>574.51414186728437</c:v>
                </c:pt>
                <c:pt idx="139">
                  <c:v>586.11990350830399</c:v>
                </c:pt>
                <c:pt idx="140">
                  <c:v>597.72087811914889</c:v>
                </c:pt>
                <c:pt idx="141">
                  <c:v>609.31717168089131</c:v>
                </c:pt>
                <c:pt idx="142">
                  <c:v>620.90888581279978</c:v>
                </c:pt>
                <c:pt idx="143">
                  <c:v>632.49611803165146</c:v>
                </c:pt>
                <c:pt idx="144">
                  <c:v>644.07896199105858</c:v>
                </c:pt>
                <c:pt idx="145">
                  <c:v>655.65750770269199</c:v>
                </c:pt>
                <c:pt idx="146">
                  <c:v>667.23184174107257</c:v>
                </c:pt>
                <c:pt idx="147">
                  <c:v>678.80204743342108</c:v>
                </c:pt>
                <c:pt idx="148">
                  <c:v>690.36820503589581</c:v>
                </c:pt>
                <c:pt idx="149">
                  <c:v>701.93039189741421</c:v>
                </c:pt>
                <c:pt idx="150">
                  <c:v>434.90135751193066</c:v>
                </c:pt>
                <c:pt idx="151">
                  <c:v>441.97658421287679</c:v>
                </c:pt>
                <c:pt idx="152">
                  <c:v>449.04938379331742</c:v>
                </c:pt>
                <c:pt idx="153">
                  <c:v>456.11979989694652</c:v>
                </c:pt>
                <c:pt idx="154">
                  <c:v>299.56204668849836</c:v>
                </c:pt>
                <c:pt idx="155">
                  <c:v>303.87672636861231</c:v>
                </c:pt>
                <c:pt idx="156">
                  <c:v>308.19004324916756</c:v>
                </c:pt>
                <c:pt idx="157">
                  <c:v>312.50201912608486</c:v>
                </c:pt>
                <c:pt idx="158">
                  <c:v>209.45934642866371</c:v>
                </c:pt>
                <c:pt idx="159">
                  <c:v>212.15940571579952</c:v>
                </c:pt>
                <c:pt idx="160">
                  <c:v>214.85867291536229</c:v>
                </c:pt>
                <c:pt idx="161">
                  <c:v>217.55715940943028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1.8411094557398859</c:v>
                </c:pt>
                <c:pt idx="2">
                  <c:v>2.1855560805756666</c:v>
                </c:pt>
                <c:pt idx="3">
                  <c:v>2.5946866122847148</c:v>
                </c:pt>
                <c:pt idx="4">
                  <c:v>3.0806912168102674</c:v>
                </c:pt>
                <c:pt idx="5">
                  <c:v>3.6580650242988608</c:v>
                </c:pt>
                <c:pt idx="6">
                  <c:v>4.3440453081828672</c:v>
                </c:pt>
                <c:pt idx="7">
                  <c:v>5.1591318203334202</c:v>
                </c:pt>
                <c:pt idx="8">
                  <c:v>6.1277061409926761</c:v>
                </c:pt>
                <c:pt idx="9">
                  <c:v>7.2787689338752886</c:v>
                </c:pt>
                <c:pt idx="10">
                  <c:v>8.6468176093373756</c:v>
                </c:pt>
                <c:pt idx="11">
                  <c:v>10.272891203345958</c:v>
                </c:pt>
                <c:pt idx="12">
                  <c:v>12.205814410083631</c:v>
                </c:pt>
                <c:pt idx="13">
                  <c:v>14.503678819905351</c:v>
                </c:pt>
                <c:pt idx="14">
                  <c:v>17.235606701038581</c:v>
                </c:pt>
                <c:pt idx="15">
                  <c:v>20.483851348273564</c:v>
                </c:pt>
                <c:pt idx="16">
                  <c:v>24.346298373703281</c:v>
                </c:pt>
                <c:pt idx="17">
                  <c:v>28.939444653872272</c:v>
                </c:pt>
                <c:pt idx="18">
                  <c:v>34.401946356741753</c:v>
                </c:pt>
                <c:pt idx="19">
                  <c:v>40.898845006575698</c:v>
                </c:pt>
                <c:pt idx="20">
                  <c:v>48.62660144894565</c:v>
                </c:pt>
                <c:pt idx="21">
                  <c:v>57.819092500081972</c:v>
                </c:pt>
                <c:pt idx="22">
                  <c:v>68.754754778327893</c:v>
                </c:pt>
                <c:pt idx="23">
                  <c:v>81.76509564319629</c:v>
                </c:pt>
                <c:pt idx="24">
                  <c:v>97.244833410152239</c:v>
                </c:pt>
                <c:pt idx="25">
                  <c:v>115.66397937972845</c:v>
                </c:pt>
                <c:pt idx="26">
                  <c:v>127.95892397482032</c:v>
                </c:pt>
                <c:pt idx="27">
                  <c:v>140.22525712962116</c:v>
                </c:pt>
                <c:pt idx="28">
                  <c:v>152.46583697153582</c:v>
                </c:pt>
                <c:pt idx="29">
                  <c:v>164.68302430052466</c:v>
                </c:pt>
                <c:pt idx="30">
                  <c:v>176.87880044112288</c:v>
                </c:pt>
                <c:pt idx="31">
                  <c:v>150.514177700354</c:v>
                </c:pt>
                <c:pt idx="32">
                  <c:v>164.42331353086476</c:v>
                </c:pt>
                <c:pt idx="33">
                  <c:v>178.30464667323099</c:v>
                </c:pt>
                <c:pt idx="34">
                  <c:v>192.16064775100503</c:v>
                </c:pt>
                <c:pt idx="35">
                  <c:v>205.99340154257496</c:v>
                </c:pt>
                <c:pt idx="36">
                  <c:v>219.80468967561652</c:v>
                </c:pt>
                <c:pt idx="37">
                  <c:v>233.59605140357007</c:v>
                </c:pt>
                <c:pt idx="38">
                  <c:v>247.36882925179302</c:v>
                </c:pt>
                <c:pt idx="39">
                  <c:v>261.12420395038333</c:v>
                </c:pt>
                <c:pt idx="40">
                  <c:v>274.86322161173604</c:v>
                </c:pt>
                <c:pt idx="41">
                  <c:v>233.98245141380599</c:v>
                </c:pt>
                <c:pt idx="42">
                  <c:v>249.68400503471693</c:v>
                </c:pt>
                <c:pt idx="43">
                  <c:v>265.36317005758775</c:v>
                </c:pt>
                <c:pt idx="44">
                  <c:v>281.02145563654227</c:v>
                </c:pt>
                <c:pt idx="45">
                  <c:v>296.66018896478829</c:v>
                </c:pt>
                <c:pt idx="46">
                  <c:v>312.28054585291466</c:v>
                </c:pt>
                <c:pt idx="47">
                  <c:v>327.88357486428225</c:v>
                </c:pt>
                <c:pt idx="48">
                  <c:v>343.47021661326579</c:v>
                </c:pt>
                <c:pt idx="49">
                  <c:v>359.04131937574425</c:v>
                </c:pt>
                <c:pt idx="50">
                  <c:v>374.59765184914062</c:v>
                </c:pt>
                <c:pt idx="51">
                  <c:v>318.29354709141944</c:v>
                </c:pt>
                <c:pt idx="52">
                  <c:v>334.78454936756901</c:v>
                </c:pt>
                <c:pt idx="53">
                  <c:v>351.25766059211719</c:v>
                </c:pt>
                <c:pt idx="54">
                  <c:v>367.71383775268947</c:v>
                </c:pt>
                <c:pt idx="55">
                  <c:v>384.15394520254648</c:v>
                </c:pt>
                <c:pt idx="56">
                  <c:v>400.57876729052231</c:v>
                </c:pt>
                <c:pt idx="57">
                  <c:v>416.98901881115694</c:v>
                </c:pt>
                <c:pt idx="58">
                  <c:v>433.38535372392545</c:v>
                </c:pt>
                <c:pt idx="59">
                  <c:v>449.7683724842081</c:v>
                </c:pt>
                <c:pt idx="60">
                  <c:v>466.13862825055827</c:v>
                </c:pt>
                <c:pt idx="61">
                  <c:v>398.79694553728035</c:v>
                </c:pt>
                <c:pt idx="62">
                  <c:v>415.3359135198528</c:v>
                </c:pt>
                <c:pt idx="63">
                  <c:v>431.86068387305636</c:v>
                </c:pt>
                <c:pt idx="64">
                  <c:v>448.37187614881515</c:v>
                </c:pt>
                <c:pt idx="65">
                  <c:v>464.87006056330688</c:v>
                </c:pt>
                <c:pt idx="66">
                  <c:v>481.35576357331138</c:v>
                </c:pt>
                <c:pt idx="67">
                  <c:v>497.82947264900855</c:v>
                </c:pt>
                <c:pt idx="68">
                  <c:v>514.29164038230488</c:v>
                </c:pt>
                <c:pt idx="69">
                  <c:v>530.74268804192195</c:v>
                </c:pt>
                <c:pt idx="70">
                  <c:v>547.18300866493428</c:v>
                </c:pt>
                <c:pt idx="71">
                  <c:v>473.49487649076644</c:v>
                </c:pt>
                <c:pt idx="72">
                  <c:v>489.72080863881087</c:v>
                </c:pt>
                <c:pt idx="73">
                  <c:v>505.93533989867046</c:v>
                </c:pt>
                <c:pt idx="74">
                  <c:v>522.13888693652348</c:v>
                </c:pt>
                <c:pt idx="75">
                  <c:v>538.33183846127656</c:v>
                </c:pt>
                <c:pt idx="76">
                  <c:v>554.51455790229022</c:v>
                </c:pt>
                <c:pt idx="77">
                  <c:v>570.68738575839313</c:v>
                </c:pt>
                <c:pt idx="78">
                  <c:v>586.85064166689335</c:v>
                </c:pt>
                <c:pt idx="79">
                  <c:v>603.00462623290662</c:v>
                </c:pt>
                <c:pt idx="80">
                  <c:v>619.14962265257475</c:v>
                </c:pt>
                <c:pt idx="81">
                  <c:v>541.11396180684699</c:v>
                </c:pt>
                <c:pt idx="82">
                  <c:v>556.53669558265926</c:v>
                </c:pt>
                <c:pt idx="83">
                  <c:v>571.95048081503978</c:v>
                </c:pt>
                <c:pt idx="84">
                  <c:v>587.35559250575102</c:v>
                </c:pt>
                <c:pt idx="85">
                  <c:v>602.75229006275117</c:v>
                </c:pt>
                <c:pt idx="86">
                  <c:v>618.14081856839312</c:v>
                </c:pt>
                <c:pt idx="87">
                  <c:v>633.52140991484157</c:v>
                </c:pt>
                <c:pt idx="88">
                  <c:v>648.89428382355879</c:v>
                </c:pt>
                <c:pt idx="89">
                  <c:v>664.2596487632195</c:v>
                </c:pt>
                <c:pt idx="90">
                  <c:v>679.61770277833295</c:v>
                </c:pt>
                <c:pt idx="91">
                  <c:v>601.11205140429718</c:v>
                </c:pt>
                <c:pt idx="92">
                  <c:v>615.87088451307375</c:v>
                </c:pt>
                <c:pt idx="93">
                  <c:v>630.62238705219431</c:v>
                </c:pt>
                <c:pt idx="94">
                  <c:v>645.3667545568868</c:v>
                </c:pt>
                <c:pt idx="95">
                  <c:v>660.10417290469843</c:v>
                </c:pt>
                <c:pt idx="96">
                  <c:v>674.83481900192021</c:v>
                </c:pt>
                <c:pt idx="97">
                  <c:v>689.55886140700034</c:v>
                </c:pt>
                <c:pt idx="98">
                  <c:v>704.27646089797872</c:v>
                </c:pt>
                <c:pt idx="99">
                  <c:v>718.9877709900602</c:v>
                </c:pt>
                <c:pt idx="100">
                  <c:v>733.69293840865384</c:v>
                </c:pt>
                <c:pt idx="101">
                  <c:v>641.83882733660596</c:v>
                </c:pt>
                <c:pt idx="102">
                  <c:v>641.83882733660596</c:v>
                </c:pt>
                <c:pt idx="103">
                  <c:v>641.83882733660596</c:v>
                </c:pt>
                <c:pt idx="104">
                  <c:v>641.83882733660596</c:v>
                </c:pt>
                <c:pt idx="105">
                  <c:v>641.83882733660596</c:v>
                </c:pt>
                <c:pt idx="106">
                  <c:v>641.83882733660596</c:v>
                </c:pt>
                <c:pt idx="107">
                  <c:v>641.83882733660596</c:v>
                </c:pt>
                <c:pt idx="108">
                  <c:v>641.83882733660596</c:v>
                </c:pt>
                <c:pt idx="109">
                  <c:v>641.83882733660596</c:v>
                </c:pt>
                <c:pt idx="110">
                  <c:v>641.83882733660596</c:v>
                </c:pt>
                <c:pt idx="111">
                  <c:v>641.83882733660596</c:v>
                </c:pt>
                <c:pt idx="112">
                  <c:v>641.83882733660596</c:v>
                </c:pt>
                <c:pt idx="113">
                  <c:v>641.83882733660596</c:v>
                </c:pt>
                <c:pt idx="114">
                  <c:v>641.83882733660596</c:v>
                </c:pt>
                <c:pt idx="115">
                  <c:v>641.83882733660596</c:v>
                </c:pt>
                <c:pt idx="116">
                  <c:v>641.83882733660596</c:v>
                </c:pt>
                <c:pt idx="117">
                  <c:v>641.83882733660596</c:v>
                </c:pt>
                <c:pt idx="118">
                  <c:v>641.83882733660596</c:v>
                </c:pt>
                <c:pt idx="119">
                  <c:v>641.83882733660596</c:v>
                </c:pt>
                <c:pt idx="120">
                  <c:v>641.83882733660596</c:v>
                </c:pt>
                <c:pt idx="121">
                  <c:v>641.83882733660596</c:v>
                </c:pt>
                <c:pt idx="122">
                  <c:v>641.83882733660596</c:v>
                </c:pt>
                <c:pt idx="123">
                  <c:v>641.83882733660596</c:v>
                </c:pt>
                <c:pt idx="124">
                  <c:v>641.83882733660596</c:v>
                </c:pt>
                <c:pt idx="125">
                  <c:v>641.83882733660596</c:v>
                </c:pt>
                <c:pt idx="126">
                  <c:v>641.83882733660596</c:v>
                </c:pt>
                <c:pt idx="127">
                  <c:v>641.83882733660596</c:v>
                </c:pt>
                <c:pt idx="128">
                  <c:v>641.83882733660596</c:v>
                </c:pt>
                <c:pt idx="129">
                  <c:v>641.83882733660596</c:v>
                </c:pt>
                <c:pt idx="130">
                  <c:v>641.83882733660596</c:v>
                </c:pt>
                <c:pt idx="131">
                  <c:v>641.83882733660596</c:v>
                </c:pt>
                <c:pt idx="132">
                  <c:v>641.83882733660596</c:v>
                </c:pt>
                <c:pt idx="133">
                  <c:v>641.83882733660596</c:v>
                </c:pt>
                <c:pt idx="134">
                  <c:v>641.83882733660596</c:v>
                </c:pt>
                <c:pt idx="135">
                  <c:v>641.83882733660596</c:v>
                </c:pt>
                <c:pt idx="136">
                  <c:v>641.83882733660596</c:v>
                </c:pt>
                <c:pt idx="137">
                  <c:v>641.83882733660596</c:v>
                </c:pt>
                <c:pt idx="138">
                  <c:v>641.83882733660596</c:v>
                </c:pt>
                <c:pt idx="139">
                  <c:v>641.83882733660596</c:v>
                </c:pt>
                <c:pt idx="140">
                  <c:v>641.83882733660596</c:v>
                </c:pt>
                <c:pt idx="141">
                  <c:v>641.83882733660596</c:v>
                </c:pt>
                <c:pt idx="142">
                  <c:v>641.83882733660596</c:v>
                </c:pt>
                <c:pt idx="143">
                  <c:v>641.83882733660596</c:v>
                </c:pt>
                <c:pt idx="144">
                  <c:v>641.83882733660596</c:v>
                </c:pt>
                <c:pt idx="145">
                  <c:v>641.83882733660596</c:v>
                </c:pt>
                <c:pt idx="146">
                  <c:v>641.83882733660596</c:v>
                </c:pt>
                <c:pt idx="147">
                  <c:v>641.83882733660596</c:v>
                </c:pt>
                <c:pt idx="148">
                  <c:v>641.83882733660596</c:v>
                </c:pt>
                <c:pt idx="149">
                  <c:v>641.83882733660596</c:v>
                </c:pt>
                <c:pt idx="150">
                  <c:v>641.83882733660596</c:v>
                </c:pt>
                <c:pt idx="151">
                  <c:v>641.83882733660596</c:v>
                </c:pt>
                <c:pt idx="152">
                  <c:v>641.83882733660596</c:v>
                </c:pt>
                <c:pt idx="153">
                  <c:v>641.83882733660596</c:v>
                </c:pt>
                <c:pt idx="154">
                  <c:v>641.83882733660596</c:v>
                </c:pt>
                <c:pt idx="155">
                  <c:v>641.83882733660596</c:v>
                </c:pt>
                <c:pt idx="156">
                  <c:v>641.83882733660596</c:v>
                </c:pt>
                <c:pt idx="157">
                  <c:v>641.83882733660596</c:v>
                </c:pt>
                <c:pt idx="158">
                  <c:v>641.83882733660596</c:v>
                </c:pt>
                <c:pt idx="159">
                  <c:v>641.83882733660596</c:v>
                </c:pt>
                <c:pt idx="160">
                  <c:v>641.83882733660596</c:v>
                </c:pt>
                <c:pt idx="161">
                  <c:v>641.83882733660596</c:v>
                </c:pt>
                <c:pt idx="162">
                  <c:v>641.83882733660596</c:v>
                </c:pt>
                <c:pt idx="163">
                  <c:v>641.83882733660596</c:v>
                </c:pt>
                <c:pt idx="164">
                  <c:v>641.83882733660596</c:v>
                </c:pt>
                <c:pt idx="165">
                  <c:v>641.83882733660596</c:v>
                </c:pt>
                <c:pt idx="166">
                  <c:v>641.83882733660596</c:v>
                </c:pt>
                <c:pt idx="167">
                  <c:v>641.83882733660596</c:v>
                </c:pt>
                <c:pt idx="168">
                  <c:v>641.83882733660596</c:v>
                </c:pt>
                <c:pt idx="169">
                  <c:v>641.83882733660596</c:v>
                </c:pt>
                <c:pt idx="170">
                  <c:v>641.83882733660596</c:v>
                </c:pt>
                <c:pt idx="171">
                  <c:v>641.83882733660596</c:v>
                </c:pt>
                <c:pt idx="172">
                  <c:v>641.83882733660596</c:v>
                </c:pt>
                <c:pt idx="173">
                  <c:v>641.83882733660596</c:v>
                </c:pt>
                <c:pt idx="174">
                  <c:v>641.83882733660596</c:v>
                </c:pt>
                <c:pt idx="175">
                  <c:v>641.83882733660596</c:v>
                </c:pt>
                <c:pt idx="176">
                  <c:v>641.83882733660596</c:v>
                </c:pt>
                <c:pt idx="177">
                  <c:v>641.83882733660596</c:v>
                </c:pt>
                <c:pt idx="178">
                  <c:v>641.83882733660596</c:v>
                </c:pt>
                <c:pt idx="179">
                  <c:v>641.83882733660596</c:v>
                </c:pt>
                <c:pt idx="180">
                  <c:v>641.83882733660596</c:v>
                </c:pt>
                <c:pt idx="181">
                  <c:v>641.83882733660596</c:v>
                </c:pt>
                <c:pt idx="182">
                  <c:v>641.83882733660596</c:v>
                </c:pt>
                <c:pt idx="183">
                  <c:v>641.83882733660596</c:v>
                </c:pt>
                <c:pt idx="184">
                  <c:v>641.83882733660596</c:v>
                </c:pt>
                <c:pt idx="185">
                  <c:v>641.83882733660596</c:v>
                </c:pt>
                <c:pt idx="186">
                  <c:v>641.83882733660596</c:v>
                </c:pt>
                <c:pt idx="187">
                  <c:v>641.83882733660596</c:v>
                </c:pt>
                <c:pt idx="188">
                  <c:v>641.83882733660596</c:v>
                </c:pt>
                <c:pt idx="189">
                  <c:v>641.83882733660596</c:v>
                </c:pt>
                <c:pt idx="190">
                  <c:v>641.83882733660596</c:v>
                </c:pt>
                <c:pt idx="191">
                  <c:v>641.83882733660596</c:v>
                </c:pt>
                <c:pt idx="192">
                  <c:v>641.83882733660596</c:v>
                </c:pt>
                <c:pt idx="193">
                  <c:v>641.83882733660596</c:v>
                </c:pt>
                <c:pt idx="194">
                  <c:v>641.83882733660596</c:v>
                </c:pt>
                <c:pt idx="195">
                  <c:v>641.83882733660596</c:v>
                </c:pt>
                <c:pt idx="196">
                  <c:v>641.83882733660596</c:v>
                </c:pt>
                <c:pt idx="197">
                  <c:v>641.83882733660596</c:v>
                </c:pt>
                <c:pt idx="198">
                  <c:v>641.83882733660596</c:v>
                </c:pt>
                <c:pt idx="199">
                  <c:v>641.83882733660596</c:v>
                </c:pt>
                <c:pt idx="200">
                  <c:v>641.83882733660596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6" zoomScaleNormal="100" workbookViewId="0">
      <selection activeCell="E21" sqref="E2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43.79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2E-3</v>
      </c>
      <c r="D9" s="33">
        <f t="shared" ref="D9:D18" si="0">C9*$C$5</f>
        <v>8.7580000000000005E-2</v>
      </c>
      <c r="E9" s="34">
        <v>161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7.5999999999999998E-2</v>
      </c>
      <c r="D10" s="33">
        <f t="shared" si="0"/>
        <v>3.3280399999999997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0.39</v>
      </c>
      <c r="D11" s="33">
        <f t="shared" si="0"/>
        <v>17.078099999999999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7.0000000000000001E-3</v>
      </c>
      <c r="D12" s="33">
        <f t="shared" si="0"/>
        <v>0.30653000000000002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164</v>
      </c>
      <c r="C13" s="32">
        <v>0.19400000000000001</v>
      </c>
      <c r="D13" s="33">
        <f t="shared" si="0"/>
        <v>8.49526</v>
      </c>
      <c r="E13" s="34">
        <v>105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50</v>
      </c>
      <c r="C14" s="32">
        <v>3.7999999999999999E-2</v>
      </c>
      <c r="D14" s="33">
        <f t="shared" si="0"/>
        <v>1.6640199999999998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52</v>
      </c>
      <c r="C15" s="32">
        <v>0.113</v>
      </c>
      <c r="D15" s="33">
        <f t="shared" si="0"/>
        <v>4.9482699999999999</v>
      </c>
      <c r="E15" s="34">
        <v>161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38</v>
      </c>
      <c r="C16" s="32">
        <v>7.5999999999999998E-2</v>
      </c>
      <c r="D16" s="33">
        <f t="shared" si="0"/>
        <v>3.3280399999999997</v>
      </c>
      <c r="E16" s="34">
        <v>100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22</v>
      </c>
      <c r="C17" s="32">
        <v>6.6000000000000003E-2</v>
      </c>
      <c r="D17" s="33">
        <f t="shared" si="0"/>
        <v>2.8901400000000002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0.96199999999999997</v>
      </c>
      <c r="D19" s="38">
        <f>SUM(D9:D18)</f>
        <v>42.125980000000006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136.82/1.56</f>
        <v>87.705128205128204</v>
      </c>
      <c r="C36" s="60"/>
      <c r="D36" s="60"/>
      <c r="E36" s="51"/>
      <c r="F36" s="51"/>
      <c r="G36" s="51"/>
      <c r="H36" s="51"/>
      <c r="I36" s="49">
        <f>IFERROR(B36/A36,"")</f>
        <v>2.9235042735042733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44</v>
      </c>
      <c r="B37" s="60">
        <f>253.38/1.56</f>
        <v>162.42307692307691</v>
      </c>
      <c r="C37" s="60">
        <v>1</v>
      </c>
      <c r="D37" s="60">
        <f>100.49/1.56</f>
        <v>64.416666666666657</v>
      </c>
      <c r="E37" s="51"/>
      <c r="F37" s="51"/>
      <c r="G37" s="51"/>
      <c r="H37" s="51"/>
      <c r="I37" s="53">
        <f t="shared" ref="I37:I55" si="1">IF(A37&lt;&gt;0,(B37-(B36-D36))/(A37-A36),"")</f>
        <v>5.3369963369963358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51</v>
      </c>
      <c r="B38" s="60">
        <f>227.43/1.56</f>
        <v>145.78846153846155</v>
      </c>
      <c r="C38" s="60">
        <v>2</v>
      </c>
      <c r="D38" s="60">
        <f>58.79/1.56</f>
        <v>37.685897435897431</v>
      </c>
      <c r="E38" s="51"/>
      <c r="F38" s="51"/>
      <c r="G38" s="51"/>
      <c r="H38" s="51"/>
      <c r="I38" s="53">
        <f t="shared" si="1"/>
        <v>6.8260073260073284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59</v>
      </c>
      <c r="B39" s="60">
        <f>248.44/1.56</f>
        <v>159.25641025641025</v>
      </c>
      <c r="C39" s="60">
        <v>3</v>
      </c>
      <c r="D39" s="60">
        <f>60.75/1.56</f>
        <v>38.942307692307693</v>
      </c>
      <c r="E39" s="51"/>
      <c r="F39" s="51"/>
      <c r="G39" s="51"/>
      <c r="H39" s="51"/>
      <c r="I39" s="49">
        <f t="shared" si="1"/>
        <v>6.3942307692307665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67</v>
      </c>
      <c r="B40" s="60">
        <f>261.86/1.56</f>
        <v>167.85897435897436</v>
      </c>
      <c r="C40" s="60">
        <v>4</v>
      </c>
      <c r="D40" s="60">
        <f>49.91/1.56</f>
        <v>31.993589743589741</v>
      </c>
      <c r="E40" s="51"/>
      <c r="F40" s="51"/>
      <c r="G40" s="51"/>
      <c r="H40" s="51"/>
      <c r="I40" s="49">
        <f t="shared" si="1"/>
        <v>5.9431089743589762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75</v>
      </c>
      <c r="B41" s="60">
        <f>282.96/1.56</f>
        <v>181.38461538461536</v>
      </c>
      <c r="C41" s="60">
        <v>5</v>
      </c>
      <c r="D41" s="60">
        <f>48.23/1.56</f>
        <v>30.916666666666664</v>
      </c>
      <c r="E41" s="51"/>
      <c r="F41" s="51"/>
      <c r="G41" s="51"/>
      <c r="H41" s="51"/>
      <c r="I41" s="53">
        <f t="shared" si="1"/>
        <v>5.6899038461538431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84</v>
      </c>
      <c r="B42" s="60">
        <f>312.01/1.56</f>
        <v>200.00641025641025</v>
      </c>
      <c r="C42" s="60">
        <v>6</v>
      </c>
      <c r="D42" s="60">
        <f>54.73/1.56</f>
        <v>35.083333333333329</v>
      </c>
      <c r="E42" s="51"/>
      <c r="F42" s="51"/>
      <c r="G42" s="51"/>
      <c r="H42" s="51"/>
      <c r="I42" s="53">
        <f t="shared" si="1"/>
        <v>5.5042735042735051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93</v>
      </c>
      <c r="B43" s="60">
        <f>331.14/1.56</f>
        <v>212.26923076923075</v>
      </c>
      <c r="C43" s="60">
        <v>7</v>
      </c>
      <c r="D43" s="60">
        <f>46.93/1.56</f>
        <v>30.083333333333332</v>
      </c>
      <c r="E43" s="51"/>
      <c r="F43" s="51"/>
      <c r="G43" s="51"/>
      <c r="H43" s="51"/>
      <c r="I43" s="49">
        <f t="shared" si="1"/>
        <v>5.2606837606837598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103</v>
      </c>
      <c r="B44" s="60">
        <f>366.24/1.56</f>
        <v>234.76923076923077</v>
      </c>
      <c r="C44" s="60">
        <v>8</v>
      </c>
      <c r="D44" s="60">
        <f>61.64/1.56</f>
        <v>39.512820512820511</v>
      </c>
      <c r="E44" s="51"/>
      <c r="F44" s="51"/>
      <c r="G44" s="51"/>
      <c r="H44" s="51"/>
      <c r="I44" s="49">
        <f t="shared" si="1"/>
        <v>5.2583333333333373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113</v>
      </c>
      <c r="B45" s="60">
        <f>384.1/1.56</f>
        <v>246.21794871794873</v>
      </c>
      <c r="C45" s="60">
        <v>9</v>
      </c>
      <c r="D45" s="60">
        <f>49.3/1.56</f>
        <v>31.602564102564099</v>
      </c>
      <c r="E45" s="51"/>
      <c r="F45" s="51"/>
      <c r="G45" s="51"/>
      <c r="H45" s="51"/>
      <c r="I45" s="49">
        <f t="shared" si="1"/>
        <v>5.0961538461538449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125</v>
      </c>
      <c r="B46" s="60">
        <f>434.14/1.56</f>
        <v>278.29487179487177</v>
      </c>
      <c r="C46" s="60">
        <v>10</v>
      </c>
      <c r="D46" s="60">
        <f>75.13/1.56</f>
        <v>48.160256410256409</v>
      </c>
      <c r="E46" s="51"/>
      <c r="F46" s="51"/>
      <c r="G46" s="51"/>
      <c r="H46" s="51"/>
      <c r="I46" s="49">
        <f t="shared" si="1"/>
        <v>5.3066239316239274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137</v>
      </c>
      <c r="B47" s="60">
        <f>457.19/1.56</f>
        <v>293.07051282051282</v>
      </c>
      <c r="C47" s="60">
        <v>11</v>
      </c>
      <c r="D47" s="60">
        <f>79.81/1.56</f>
        <v>51.160256410256409</v>
      </c>
      <c r="E47" s="51"/>
      <c r="F47" s="51"/>
      <c r="G47" s="51"/>
      <c r="H47" s="51"/>
      <c r="I47" s="49">
        <f t="shared" si="1"/>
        <v>5.2446581196581219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149</v>
      </c>
      <c r="B48" s="60">
        <f>472.97/1.56</f>
        <v>303.18589743589746</v>
      </c>
      <c r="C48" s="60">
        <v>12</v>
      </c>
      <c r="D48" s="60">
        <f>187.99/1.56</f>
        <v>120.50641025641026</v>
      </c>
      <c r="E48" s="51"/>
      <c r="F48" s="51"/>
      <c r="G48" s="51"/>
      <c r="H48" s="51"/>
      <c r="I48" s="49">
        <f t="shared" si="1"/>
        <v>5.1063034188034209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153</v>
      </c>
      <c r="B49" s="60">
        <f>304.29/1.56</f>
        <v>195.05769230769232</v>
      </c>
      <c r="C49" s="60">
        <v>13</v>
      </c>
      <c r="D49" s="60">
        <f>109.38/1.56</f>
        <v>70.115384615384613</v>
      </c>
      <c r="E49" s="51"/>
      <c r="F49" s="51"/>
      <c r="G49" s="51"/>
      <c r="H49" s="51"/>
      <c r="I49" s="49">
        <f t="shared" si="1"/>
        <v>3.0945512820512846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157</v>
      </c>
      <c r="B50" s="50">
        <f>206.59/1.56</f>
        <v>132.42948717948718</v>
      </c>
      <c r="C50" s="50">
        <v>14</v>
      </c>
      <c r="D50" s="50">
        <f>71.31/1.56</f>
        <v>45.71153846153846</v>
      </c>
      <c r="E50" s="51"/>
      <c r="F50" s="51"/>
      <c r="G50" s="51"/>
      <c r="H50" s="51"/>
      <c r="I50" s="49">
        <f t="shared" si="1"/>
        <v>1.8717948717948687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161</v>
      </c>
      <c r="B51" s="50">
        <f>142.53/1.56</f>
        <v>91.365384615384613</v>
      </c>
      <c r="C51" s="50">
        <v>15</v>
      </c>
      <c r="D51" s="50">
        <f>142.53/1.56</f>
        <v>91.365384615384613</v>
      </c>
      <c r="E51" s="51"/>
      <c r="F51" s="51"/>
      <c r="G51" s="51"/>
      <c r="H51" s="51"/>
      <c r="I51" s="49">
        <f t="shared" si="1"/>
        <v>1.1618589743589709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f>136.82/1.56</f>
        <v>87.705128205128204</v>
      </c>
      <c r="C62" s="60"/>
      <c r="D62" s="60"/>
      <c r="E62" s="51"/>
      <c r="F62" s="51"/>
      <c r="G62" s="51"/>
      <c r="H62" s="51"/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44</v>
      </c>
      <c r="B63" s="60">
        <f>253.38/1.56</f>
        <v>162.42307692307691</v>
      </c>
      <c r="C63" s="60">
        <v>1</v>
      </c>
      <c r="D63" s="60">
        <f>100.49/1.56</f>
        <v>64.416666666666657</v>
      </c>
      <c r="E63" s="51"/>
      <c r="F63" s="51"/>
      <c r="G63" s="51"/>
      <c r="H63" s="51"/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51</v>
      </c>
      <c r="B64" s="60">
        <f>227.43/1.56</f>
        <v>145.78846153846155</v>
      </c>
      <c r="C64" s="60">
        <v>2</v>
      </c>
      <c r="D64" s="60">
        <f>58.79/1.56</f>
        <v>37.685897435897431</v>
      </c>
      <c r="E64" s="51"/>
      <c r="F64" s="51"/>
      <c r="G64" s="51"/>
      <c r="H64" s="51"/>
      <c r="I64" s="49">
        <f>IF(A64&lt;&gt;0,(B64-(B63-D63))/(A64-A63),"")</f>
        <v>6.8260073260073284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59</v>
      </c>
      <c r="B65" s="60">
        <f>248.44/1.56</f>
        <v>159.25641025641025</v>
      </c>
      <c r="C65" s="60">
        <v>3</v>
      </c>
      <c r="D65" s="60">
        <f>60.75/1.56</f>
        <v>38.942307692307693</v>
      </c>
      <c r="E65" s="51"/>
      <c r="F65" s="51"/>
      <c r="G65" s="51"/>
      <c r="H65" s="51"/>
      <c r="I65" s="49">
        <f>IF(A65&lt;&gt;0,(B65-(B64-D64))/(A65-A64),"")</f>
        <v>6.3942307692307665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67</v>
      </c>
      <c r="B66" s="60">
        <f>261.86/1.56</f>
        <v>167.85897435897436</v>
      </c>
      <c r="C66" s="60">
        <v>4</v>
      </c>
      <c r="D66" s="60">
        <f>49.91/1.56</f>
        <v>31.993589743589741</v>
      </c>
      <c r="E66" s="51"/>
      <c r="F66" s="51"/>
      <c r="G66" s="51"/>
      <c r="H66" s="51"/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75</v>
      </c>
      <c r="B67" s="60">
        <f>282.96/1.56</f>
        <v>181.38461538461536</v>
      </c>
      <c r="C67" s="60">
        <v>5</v>
      </c>
      <c r="D67" s="60">
        <f>48.23/1.56</f>
        <v>30.916666666666664</v>
      </c>
      <c r="E67" s="51"/>
      <c r="F67" s="51"/>
      <c r="G67" s="51"/>
      <c r="H67" s="51"/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84</v>
      </c>
      <c r="B68" s="60">
        <f>312.01/1.56</f>
        <v>200.00641025641025</v>
      </c>
      <c r="C68" s="60">
        <v>6</v>
      </c>
      <c r="D68" s="60">
        <f>54.73/1.56</f>
        <v>35.083333333333329</v>
      </c>
      <c r="E68" s="51"/>
      <c r="F68" s="51"/>
      <c r="G68" s="51"/>
      <c r="H68" s="51"/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93</v>
      </c>
      <c r="B69" s="50">
        <f>331.14/1.56</f>
        <v>212.26923076923075</v>
      </c>
      <c r="C69" s="50">
        <v>7</v>
      </c>
      <c r="D69" s="50">
        <f>46.93/1.56</f>
        <v>30.083333333333332</v>
      </c>
      <c r="E69" s="51"/>
      <c r="F69" s="51"/>
      <c r="G69" s="51"/>
      <c r="H69" s="51"/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103</v>
      </c>
      <c r="B70" s="50">
        <f>366.24/1.56</f>
        <v>234.76923076923077</v>
      </c>
      <c r="C70" s="50">
        <v>8</v>
      </c>
      <c r="D70" s="50">
        <f>61.64/1.56</f>
        <v>39.512820512820511</v>
      </c>
      <c r="E70" s="51"/>
      <c r="F70" s="51"/>
      <c r="G70" s="51"/>
      <c r="H70" s="51"/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113</v>
      </c>
      <c r="B71" s="50">
        <f>384.1/1.56</f>
        <v>246.21794871794873</v>
      </c>
      <c r="C71" s="50">
        <v>9</v>
      </c>
      <c r="D71" s="50">
        <f>49.3/1.56</f>
        <v>31.602564102564099</v>
      </c>
      <c r="E71" s="51"/>
      <c r="F71" s="51"/>
      <c r="G71" s="51"/>
      <c r="H71" s="51"/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125</v>
      </c>
      <c r="B72" s="50">
        <f>434.14/1.56</f>
        <v>278.29487179487177</v>
      </c>
      <c r="C72" s="50">
        <v>10</v>
      </c>
      <c r="D72" s="50">
        <f>75.13/1.56</f>
        <v>48.160256410256409</v>
      </c>
      <c r="E72" s="51"/>
      <c r="F72" s="51"/>
      <c r="G72" s="51"/>
      <c r="H72" s="51"/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137</v>
      </c>
      <c r="B73" s="50">
        <f>457.19/1.56</f>
        <v>293.07051282051282</v>
      </c>
      <c r="C73" s="50">
        <v>11</v>
      </c>
      <c r="D73" s="50">
        <f>79.81/1.56</f>
        <v>51.160256410256409</v>
      </c>
      <c r="E73" s="51"/>
      <c r="F73" s="51"/>
      <c r="G73" s="51"/>
      <c r="H73" s="51"/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149</v>
      </c>
      <c r="B74" s="50">
        <f>472.97/1.56</f>
        <v>303.18589743589746</v>
      </c>
      <c r="C74" s="50">
        <v>12</v>
      </c>
      <c r="D74" s="50">
        <f>187.99/1.56</f>
        <v>120.50641025641026</v>
      </c>
      <c r="E74" s="51"/>
      <c r="F74" s="51"/>
      <c r="G74" s="51"/>
      <c r="H74" s="51"/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153</v>
      </c>
      <c r="B75" s="50">
        <f>304.29/1.56</f>
        <v>195.05769230769232</v>
      </c>
      <c r="C75" s="50">
        <v>13</v>
      </c>
      <c r="D75" s="50">
        <f>109.38/1.56</f>
        <v>70.115384615384613</v>
      </c>
      <c r="E75" s="51"/>
      <c r="F75" s="51"/>
      <c r="G75" s="51"/>
      <c r="H75" s="51"/>
      <c r="I75" s="49">
        <f t="shared" si="2"/>
        <v>3.0945512820512846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157</v>
      </c>
      <c r="B76" s="50">
        <f>206.59/1.56</f>
        <v>132.42948717948718</v>
      </c>
      <c r="C76" s="50">
        <v>14</v>
      </c>
      <c r="D76" s="50">
        <f>71.31/1.56</f>
        <v>45.71153846153846</v>
      </c>
      <c r="E76" s="51"/>
      <c r="F76" s="51"/>
      <c r="G76" s="51"/>
      <c r="H76" s="51"/>
      <c r="I76" s="49">
        <f t="shared" si="2"/>
        <v>1.8717948717948687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161</v>
      </c>
      <c r="B77" s="50">
        <f>142.53/1.56</f>
        <v>91.365384615384613</v>
      </c>
      <c r="C77" s="50">
        <v>15</v>
      </c>
      <c r="D77" s="50">
        <f>142.53/1.56</f>
        <v>91.365384615384613</v>
      </c>
      <c r="E77" s="51"/>
      <c r="F77" s="51"/>
      <c r="G77" s="51"/>
      <c r="H77" s="51"/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f>67+20</f>
        <v>87</v>
      </c>
      <c r="C88" s="60">
        <v>1</v>
      </c>
      <c r="D88" s="60">
        <v>20</v>
      </c>
      <c r="E88" s="51"/>
      <c r="F88" s="51">
        <v>0.5</v>
      </c>
      <c r="G88" s="51">
        <v>0.5</v>
      </c>
      <c r="H88" s="87"/>
      <c r="I88" s="53">
        <f>IFERROR(B88/A88,"")</f>
        <v>4.3499999999999996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140+60</f>
        <v>200</v>
      </c>
      <c r="C89" s="60">
        <v>2</v>
      </c>
      <c r="D89" s="60">
        <v>60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13.3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218+79</f>
        <v>297</v>
      </c>
      <c r="C90" s="60">
        <v>3</v>
      </c>
      <c r="D90" s="60">
        <v>79</v>
      </c>
      <c r="E90" s="87"/>
      <c r="F90" s="87"/>
      <c r="G90" s="87"/>
      <c r="H90" s="87"/>
      <c r="I90" s="53">
        <f t="shared" si="3"/>
        <v>15.7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291+89</f>
        <v>380</v>
      </c>
      <c r="C91" s="60">
        <v>4</v>
      </c>
      <c r="D91" s="60">
        <v>89</v>
      </c>
      <c r="E91" s="87"/>
      <c r="F91" s="87"/>
      <c r="G91" s="87"/>
      <c r="H91" s="87"/>
      <c r="I91" s="53">
        <f t="shared" si="3"/>
        <v>16.2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357+90</f>
        <v>447</v>
      </c>
      <c r="C92" s="60">
        <v>5</v>
      </c>
      <c r="D92" s="60">
        <v>90</v>
      </c>
      <c r="E92" s="87"/>
      <c r="F92" s="87"/>
      <c r="G92" s="87"/>
      <c r="H92" s="87"/>
      <c r="I92" s="53">
        <f t="shared" si="3"/>
        <v>15.6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412+86</f>
        <v>498</v>
      </c>
      <c r="C93" s="60">
        <v>6</v>
      </c>
      <c r="D93" s="60">
        <v>86</v>
      </c>
      <c r="E93" s="87"/>
      <c r="F93" s="87"/>
      <c r="G93" s="87"/>
      <c r="H93" s="87"/>
      <c r="I93" s="53">
        <f t="shared" si="3"/>
        <v>14.1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459+78</f>
        <v>537</v>
      </c>
      <c r="C94" s="60">
        <v>7</v>
      </c>
      <c r="D94" s="60">
        <v>78</v>
      </c>
      <c r="E94" s="87"/>
      <c r="F94" s="87"/>
      <c r="G94" s="87"/>
      <c r="H94" s="87"/>
      <c r="I94" s="53">
        <f t="shared" si="3"/>
        <v>12.5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497+70</f>
        <v>567</v>
      </c>
      <c r="C95" s="60">
        <v>8</v>
      </c>
      <c r="D95" s="60">
        <v>70</v>
      </c>
      <c r="E95" s="87"/>
      <c r="F95" s="87"/>
      <c r="G95" s="87"/>
      <c r="H95" s="87"/>
      <c r="I95" s="53">
        <f t="shared" si="3"/>
        <v>10.8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f>67+20</f>
        <v>87</v>
      </c>
      <c r="C114" s="50">
        <v>1</v>
      </c>
      <c r="D114" s="60">
        <v>20</v>
      </c>
      <c r="E114" s="51"/>
      <c r="F114" s="51">
        <v>0.5</v>
      </c>
      <c r="G114" s="51">
        <v>0.5</v>
      </c>
      <c r="H114" s="51"/>
      <c r="I114" s="53">
        <f>IFERROR(B114/A114,"")</f>
        <v>4.3499999999999996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140+60</f>
        <v>200</v>
      </c>
      <c r="C115" s="50">
        <v>2</v>
      </c>
      <c r="D115" s="60">
        <v>60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13.3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218+79</f>
        <v>297</v>
      </c>
      <c r="C116" s="50">
        <v>3</v>
      </c>
      <c r="D116" s="60">
        <v>79</v>
      </c>
      <c r="E116" s="51"/>
      <c r="F116" s="51"/>
      <c r="G116" s="51"/>
      <c r="H116" s="51"/>
      <c r="I116" s="53">
        <f t="shared" si="4"/>
        <v>15.7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291+89</f>
        <v>380</v>
      </c>
      <c r="C117" s="50">
        <v>4</v>
      </c>
      <c r="D117" s="60">
        <v>89</v>
      </c>
      <c r="E117" s="51"/>
      <c r="F117" s="51"/>
      <c r="G117" s="51"/>
      <c r="H117" s="51"/>
      <c r="I117" s="53">
        <f t="shared" si="4"/>
        <v>16.2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357+90</f>
        <v>447</v>
      </c>
      <c r="C118" s="50">
        <v>5</v>
      </c>
      <c r="D118" s="60">
        <v>90</v>
      </c>
      <c r="E118" s="51"/>
      <c r="F118" s="51"/>
      <c r="G118" s="51"/>
      <c r="H118" s="51"/>
      <c r="I118" s="53">
        <f t="shared" si="4"/>
        <v>15.6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412+86</f>
        <v>498</v>
      </c>
      <c r="C119" s="50">
        <v>6</v>
      </c>
      <c r="D119" s="60">
        <v>86</v>
      </c>
      <c r="E119" s="51"/>
      <c r="F119" s="51"/>
      <c r="G119" s="51"/>
      <c r="H119" s="51"/>
      <c r="I119" s="53">
        <f t="shared" si="4"/>
        <v>14.1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459+78</f>
        <v>537</v>
      </c>
      <c r="C120" s="60">
        <v>7</v>
      </c>
      <c r="D120" s="60">
        <v>78</v>
      </c>
      <c r="E120" s="87"/>
      <c r="F120" s="87"/>
      <c r="G120" s="87"/>
      <c r="H120" s="87"/>
      <c r="I120" s="53">
        <f t="shared" si="4"/>
        <v>12.5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497+70</f>
        <v>567</v>
      </c>
      <c r="C121" s="60">
        <v>8</v>
      </c>
      <c r="D121" s="60">
        <v>70</v>
      </c>
      <c r="E121" s="87"/>
      <c r="F121" s="87"/>
      <c r="G121" s="87"/>
      <c r="H121" s="87"/>
      <c r="I121" s="53">
        <f t="shared" si="4"/>
        <v>10.8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Cèdre de l'Atlas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30</v>
      </c>
      <c r="B140" s="60">
        <f>281.83/1.3</f>
        <v>216.79230769230767</v>
      </c>
      <c r="C140" s="50"/>
      <c r="D140" s="60"/>
      <c r="E140" s="51"/>
      <c r="F140" s="51"/>
      <c r="G140" s="51"/>
      <c r="H140" s="51"/>
      <c r="I140" s="57">
        <f>IFERROR(B140/A140,"")</f>
        <v>7.2264102564102561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42</v>
      </c>
      <c r="B141" s="60">
        <f>533.48/1.3</f>
        <v>410.3692307692308</v>
      </c>
      <c r="C141" s="50">
        <v>1</v>
      </c>
      <c r="D141" s="60">
        <f>233.8/1.3</f>
        <v>179.84615384615384</v>
      </c>
      <c r="E141" s="51"/>
      <c r="F141" s="51"/>
      <c r="G141" s="51"/>
      <c r="H141" s="51"/>
      <c r="I141" s="57">
        <f t="shared" ref="I141:I159" si="5">IF(A141&lt;&gt;0,(B141-(B140-D140))/(A141-A140),"")</f>
        <v>16.131410256410259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49</v>
      </c>
      <c r="B142" s="60">
        <f>441.81/1.3</f>
        <v>339.85384615384612</v>
      </c>
      <c r="C142" s="50">
        <v>2</v>
      </c>
      <c r="D142" s="60">
        <f>122.82/1.3</f>
        <v>94.476923076923072</v>
      </c>
      <c r="E142" s="51"/>
      <c r="F142" s="51"/>
      <c r="G142" s="51"/>
      <c r="H142" s="51"/>
      <c r="I142" s="57">
        <f t="shared" si="5"/>
        <v>15.618681318681309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56</v>
      </c>
      <c r="B143" s="60">
        <f>452.47/1.3</f>
        <v>348.05384615384617</v>
      </c>
      <c r="C143" s="50">
        <v>3</v>
      </c>
      <c r="D143" s="60">
        <f>94.6/1.3</f>
        <v>72.769230769230759</v>
      </c>
      <c r="E143" s="51"/>
      <c r="F143" s="51"/>
      <c r="G143" s="51"/>
      <c r="H143" s="51"/>
      <c r="I143" s="57">
        <f t="shared" si="5"/>
        <v>14.668131868131875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63</v>
      </c>
      <c r="B144" s="60">
        <f>487.73/1.3</f>
        <v>375.17692307692306</v>
      </c>
      <c r="C144" s="50">
        <v>4</v>
      </c>
      <c r="D144" s="60">
        <f>92.46/1.3</f>
        <v>71.123076923076923</v>
      </c>
      <c r="E144" s="51"/>
      <c r="F144" s="51"/>
      <c r="G144" s="51"/>
      <c r="H144" s="51"/>
      <c r="I144" s="57">
        <f t="shared" si="5"/>
        <v>14.270329670329668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71</v>
      </c>
      <c r="B145" s="60">
        <f>538.14/1.3</f>
        <v>413.95384615384614</v>
      </c>
      <c r="C145" s="50">
        <v>5</v>
      </c>
      <c r="D145" s="60">
        <f>104.52/1.3</f>
        <v>80.399999999999991</v>
      </c>
      <c r="E145" s="51"/>
      <c r="F145" s="51"/>
      <c r="G145" s="51"/>
      <c r="H145" s="51"/>
      <c r="I145" s="57">
        <f t="shared" si="5"/>
        <v>13.737499999999997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79</v>
      </c>
      <c r="B146" s="60">
        <f>567.92/1.3</f>
        <v>436.86153846153843</v>
      </c>
      <c r="C146" s="50">
        <v>6</v>
      </c>
      <c r="D146" s="60">
        <f>100.54/1.3</f>
        <v>77.338461538461544</v>
      </c>
      <c r="E146" s="51"/>
      <c r="F146" s="51"/>
      <c r="G146" s="51"/>
      <c r="H146" s="51"/>
      <c r="I146" s="57">
        <f t="shared" si="5"/>
        <v>12.913461538461533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87</v>
      </c>
      <c r="B147" s="60">
        <f>593.47/1.3</f>
        <v>456.51538461538462</v>
      </c>
      <c r="C147" s="50">
        <v>7</v>
      </c>
      <c r="D147" s="60">
        <f>100.53/1.3</f>
        <v>77.330769230769235</v>
      </c>
      <c r="E147" s="51"/>
      <c r="F147" s="51"/>
      <c r="G147" s="51"/>
      <c r="H147" s="51"/>
      <c r="I147" s="57">
        <f>IF(A147&lt;&gt;0,(B147-(B146-D146))/(A147-A146),"")</f>
        <v>12.124038461538468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95</v>
      </c>
      <c r="B148" s="60">
        <f>609.86/1.3</f>
        <v>469.12307692307689</v>
      </c>
      <c r="C148" s="50">
        <v>8</v>
      </c>
      <c r="D148" s="60">
        <f>304.75/1.3</f>
        <v>234.42307692307691</v>
      </c>
      <c r="E148" s="51"/>
      <c r="F148" s="51"/>
      <c r="G148" s="51"/>
      <c r="H148" s="51"/>
      <c r="I148" s="57">
        <f t="shared" si="5"/>
        <v>11.242307692307691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105</v>
      </c>
      <c r="B149" s="60">
        <f>402.63/1.3</f>
        <v>309.71538461538461</v>
      </c>
      <c r="C149" s="50">
        <v>9</v>
      </c>
      <c r="D149" s="60">
        <f>402.63/1.3</f>
        <v>309.71538461538461</v>
      </c>
      <c r="E149" s="51"/>
      <c r="F149" s="51"/>
      <c r="G149" s="51"/>
      <c r="H149" s="51"/>
      <c r="I149" s="57">
        <f t="shared" si="5"/>
        <v>7.5015384615384617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Tilleul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95</v>
      </c>
      <c r="C166" s="60">
        <v>1</v>
      </c>
      <c r="D166" s="60">
        <f>15+28</f>
        <v>43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4.75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174</v>
      </c>
      <c r="C167" s="60">
        <v>2</v>
      </c>
      <c r="D167" s="60">
        <f>28+28</f>
        <v>56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12.2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220</v>
      </c>
      <c r="C168" s="60">
        <v>3</v>
      </c>
      <c r="D168" s="60">
        <f>28+28</f>
        <v>56</v>
      </c>
      <c r="E168" s="51"/>
      <c r="F168" s="51"/>
      <c r="G168" s="51"/>
      <c r="H168" s="51"/>
      <c r="I168" s="49">
        <f t="shared" si="6"/>
        <v>10.199999999999999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241</v>
      </c>
      <c r="C169" s="60">
        <v>4</v>
      </c>
      <c r="D169" s="60">
        <f>22+17</f>
        <v>39</v>
      </c>
      <c r="E169" s="51"/>
      <c r="F169" s="51"/>
      <c r="G169" s="51"/>
      <c r="H169" s="51"/>
      <c r="I169" s="49">
        <f t="shared" si="6"/>
        <v>7.7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258</v>
      </c>
      <c r="C170" s="60">
        <v>5</v>
      </c>
      <c r="D170" s="60">
        <f>13+12</f>
        <v>25</v>
      </c>
      <c r="E170" s="51"/>
      <c r="F170" s="51"/>
      <c r="G170" s="51"/>
      <c r="H170" s="51"/>
      <c r="I170" s="49">
        <f t="shared" si="6"/>
        <v>5.6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274</v>
      </c>
      <c r="C171" s="60">
        <v>6</v>
      </c>
      <c r="D171" s="60">
        <f>11+10</f>
        <v>21</v>
      </c>
      <c r="E171" s="51"/>
      <c r="F171" s="51"/>
      <c r="G171" s="51"/>
      <c r="H171" s="51"/>
      <c r="I171" s="49">
        <f t="shared" si="6"/>
        <v>4.0999999999999996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267+9+8</f>
        <v>284</v>
      </c>
      <c r="C172" s="60">
        <v>7</v>
      </c>
      <c r="D172" s="60">
        <f>B172</f>
        <v>284</v>
      </c>
      <c r="E172" s="51"/>
      <c r="F172" s="51"/>
      <c r="G172" s="51"/>
      <c r="H172" s="51"/>
      <c r="I172" s="49">
        <f t="shared" si="6"/>
        <v>3.1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30</v>
      </c>
      <c r="B192" s="60">
        <f>136.82/1.56</f>
        <v>87.705128205128204</v>
      </c>
      <c r="C192" s="60"/>
      <c r="D192" s="60"/>
      <c r="E192" s="51"/>
      <c r="F192" s="51"/>
      <c r="G192" s="51"/>
      <c r="H192" s="51"/>
      <c r="I192" s="49">
        <f>IFERROR(B192/A192,"")</f>
        <v>2.9235042735042733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44</v>
      </c>
      <c r="B193" s="60">
        <f>253.38/1.56</f>
        <v>162.42307692307691</v>
      </c>
      <c r="C193" s="60">
        <v>1</v>
      </c>
      <c r="D193" s="60">
        <f>100.49/1.56</f>
        <v>64.416666666666657</v>
      </c>
      <c r="E193" s="51"/>
      <c r="F193" s="51"/>
      <c r="G193" s="51"/>
      <c r="H193" s="51"/>
      <c r="I193" s="49">
        <f t="shared" ref="I193:I211" si="7">IF(A193&lt;&gt;0,(B193-(B192-D192))/(A193-A192),"")</f>
        <v>5.3369963369963358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51</v>
      </c>
      <c r="B194" s="60">
        <f>227.43/1.56</f>
        <v>145.78846153846155</v>
      </c>
      <c r="C194" s="60">
        <v>2</v>
      </c>
      <c r="D194" s="60">
        <f>58.79/1.56</f>
        <v>37.685897435897431</v>
      </c>
      <c r="E194" s="51"/>
      <c r="F194" s="51"/>
      <c r="G194" s="51"/>
      <c r="H194" s="51"/>
      <c r="I194" s="49">
        <f t="shared" si="7"/>
        <v>6.8260073260073284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59</v>
      </c>
      <c r="B195" s="60">
        <f>248.44/1.56</f>
        <v>159.25641025641025</v>
      </c>
      <c r="C195" s="60">
        <v>3</v>
      </c>
      <c r="D195" s="60">
        <f>60.75/1.56</f>
        <v>38.942307692307693</v>
      </c>
      <c r="E195" s="51"/>
      <c r="F195" s="51"/>
      <c r="G195" s="51"/>
      <c r="H195" s="51"/>
      <c r="I195" s="49">
        <f t="shared" si="7"/>
        <v>6.3942307692307665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67</v>
      </c>
      <c r="B196" s="60">
        <f>261.86/1.56</f>
        <v>167.85897435897436</v>
      </c>
      <c r="C196" s="60">
        <v>4</v>
      </c>
      <c r="D196" s="60">
        <f>49.91/1.56</f>
        <v>31.993589743589741</v>
      </c>
      <c r="E196" s="51"/>
      <c r="F196" s="51"/>
      <c r="G196" s="51"/>
      <c r="H196" s="51"/>
      <c r="I196" s="49">
        <f t="shared" si="7"/>
        <v>5.9431089743589762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75</v>
      </c>
      <c r="B197" s="60">
        <f>282.96/1.56</f>
        <v>181.38461538461536</v>
      </c>
      <c r="C197" s="60">
        <v>5</v>
      </c>
      <c r="D197" s="60">
        <f>48.23/1.56</f>
        <v>30.916666666666664</v>
      </c>
      <c r="E197" s="51"/>
      <c r="F197" s="51"/>
      <c r="G197" s="51"/>
      <c r="H197" s="51"/>
      <c r="I197" s="49">
        <f t="shared" si="7"/>
        <v>5.6899038461538431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84</v>
      </c>
      <c r="B198" s="60">
        <f>312.01/1.56</f>
        <v>200.00641025641025</v>
      </c>
      <c r="C198" s="60">
        <v>6</v>
      </c>
      <c r="D198" s="60">
        <f>54.73/1.56</f>
        <v>35.083333333333329</v>
      </c>
      <c r="E198" s="51"/>
      <c r="F198" s="51"/>
      <c r="G198" s="51"/>
      <c r="H198" s="51"/>
      <c r="I198" s="49">
        <f t="shared" si="7"/>
        <v>5.5042735042735051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93</v>
      </c>
      <c r="B199" s="50">
        <f>331.14/1.56</f>
        <v>212.26923076923075</v>
      </c>
      <c r="C199" s="50">
        <v>7</v>
      </c>
      <c r="D199" s="50">
        <f>46.93/1.56</f>
        <v>30.083333333333332</v>
      </c>
      <c r="E199" s="51"/>
      <c r="F199" s="51"/>
      <c r="G199" s="51"/>
      <c r="H199" s="51"/>
      <c r="I199" s="49">
        <f t="shared" si="7"/>
        <v>5.2606837606837598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103</v>
      </c>
      <c r="B200" s="50">
        <f>366.24/1.56</f>
        <v>234.76923076923077</v>
      </c>
      <c r="C200" s="50">
        <v>8</v>
      </c>
      <c r="D200" s="50">
        <f>61.64/1.56</f>
        <v>39.512820512820511</v>
      </c>
      <c r="E200" s="51"/>
      <c r="F200" s="51"/>
      <c r="G200" s="51"/>
      <c r="H200" s="51"/>
      <c r="I200" s="49">
        <f t="shared" si="7"/>
        <v>5.2583333333333373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113</v>
      </c>
      <c r="B201" s="50">
        <f>384.1/1.56</f>
        <v>246.21794871794873</v>
      </c>
      <c r="C201" s="50">
        <v>9</v>
      </c>
      <c r="D201" s="50">
        <f>49.3/1.56</f>
        <v>31.602564102564099</v>
      </c>
      <c r="E201" s="51"/>
      <c r="F201" s="51"/>
      <c r="G201" s="51"/>
      <c r="H201" s="51"/>
      <c r="I201" s="49">
        <f t="shared" si="7"/>
        <v>5.0961538461538449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125</v>
      </c>
      <c r="B202" s="50">
        <f>434.14/1.56</f>
        <v>278.29487179487177</v>
      </c>
      <c r="C202" s="50">
        <v>10</v>
      </c>
      <c r="D202" s="50">
        <f>75.13/1.56</f>
        <v>48.160256410256409</v>
      </c>
      <c r="E202" s="51"/>
      <c r="F202" s="51"/>
      <c r="G202" s="51"/>
      <c r="H202" s="51"/>
      <c r="I202" s="49">
        <f t="shared" si="7"/>
        <v>5.3066239316239274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137</v>
      </c>
      <c r="B203" s="50">
        <f>457.19/1.56</f>
        <v>293.07051282051282</v>
      </c>
      <c r="C203" s="50">
        <v>11</v>
      </c>
      <c r="D203" s="50">
        <f>79.81/1.56</f>
        <v>51.160256410256409</v>
      </c>
      <c r="E203" s="51"/>
      <c r="F203" s="51"/>
      <c r="G203" s="51"/>
      <c r="H203" s="51"/>
      <c r="I203" s="49">
        <f t="shared" si="7"/>
        <v>5.2446581196581219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149</v>
      </c>
      <c r="B204" s="50">
        <f>472.97/1.56</f>
        <v>303.18589743589746</v>
      </c>
      <c r="C204" s="50">
        <v>12</v>
      </c>
      <c r="D204" s="50">
        <f>187.99/1.56</f>
        <v>120.50641025641026</v>
      </c>
      <c r="E204" s="51"/>
      <c r="F204" s="51"/>
      <c r="G204" s="51"/>
      <c r="H204" s="51"/>
      <c r="I204" s="49">
        <f t="shared" si="7"/>
        <v>5.1063034188034209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153</v>
      </c>
      <c r="B205" s="50">
        <f>304.29/1.56</f>
        <v>195.05769230769232</v>
      </c>
      <c r="C205" s="50">
        <v>13</v>
      </c>
      <c r="D205" s="50">
        <f>109.38/1.56</f>
        <v>70.115384615384613</v>
      </c>
      <c r="E205" s="51"/>
      <c r="F205" s="51"/>
      <c r="G205" s="51"/>
      <c r="H205" s="51"/>
      <c r="I205" s="49">
        <f t="shared" si="7"/>
        <v>3.0945512820512846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157</v>
      </c>
      <c r="B206" s="50">
        <f>206.59/1.56</f>
        <v>132.42948717948718</v>
      </c>
      <c r="C206" s="50">
        <v>14</v>
      </c>
      <c r="D206" s="50">
        <f>71.31/1.56</f>
        <v>45.71153846153846</v>
      </c>
      <c r="E206" s="51"/>
      <c r="F206" s="51"/>
      <c r="G206" s="51"/>
      <c r="H206" s="51"/>
      <c r="I206" s="49">
        <f t="shared" si="7"/>
        <v>1.8717948717948687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161</v>
      </c>
      <c r="B207" s="50">
        <f>142.53/1.56</f>
        <v>91.365384615384613</v>
      </c>
      <c r="C207" s="50">
        <v>15</v>
      </c>
      <c r="D207" s="50">
        <f>142.53/1.56</f>
        <v>91.365384615384613</v>
      </c>
      <c r="E207" s="51"/>
      <c r="F207" s="51"/>
      <c r="G207" s="51"/>
      <c r="H207" s="51"/>
      <c r="I207" s="49">
        <f t="shared" si="7"/>
        <v>1.1618589743589709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Pin noir d'Autriche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25</v>
      </c>
      <c r="B218" s="60">
        <v>86</v>
      </c>
      <c r="C218" s="50"/>
      <c r="D218" s="60"/>
      <c r="E218" s="63"/>
      <c r="F218" s="63"/>
      <c r="G218" s="63"/>
      <c r="H218" s="63"/>
      <c r="I218" s="53">
        <f>IFERROR(B218/A218,"")</f>
        <v>3.44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f>102+31</f>
        <v>133</v>
      </c>
      <c r="C219" s="50">
        <v>1</v>
      </c>
      <c r="D219" s="60">
        <v>31</v>
      </c>
      <c r="E219" s="63">
        <v>0.2</v>
      </c>
      <c r="F219" s="63">
        <v>0.4</v>
      </c>
      <c r="G219" s="63">
        <v>0.4</v>
      </c>
      <c r="H219" s="63"/>
      <c r="I219" s="53">
        <f t="shared" ref="I219:I237" si="8">IF(A219&lt;&gt;0,(B219-(B218-D218))/(A219-A218),"")</f>
        <v>9.4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f>165+44</f>
        <v>209</v>
      </c>
      <c r="C220" s="50">
        <v>2</v>
      </c>
      <c r="D220" s="60">
        <v>44</v>
      </c>
      <c r="E220" s="63"/>
      <c r="F220" s="63"/>
      <c r="G220" s="63"/>
      <c r="H220" s="63"/>
      <c r="I220" s="53">
        <f t="shared" si="8"/>
        <v>10.7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f>230+57</f>
        <v>287</v>
      </c>
      <c r="C221" s="55">
        <v>3</v>
      </c>
      <c r="D221" s="55">
        <v>57</v>
      </c>
      <c r="E221" s="63"/>
      <c r="F221" s="63"/>
      <c r="G221" s="63"/>
      <c r="H221" s="63"/>
      <c r="I221" s="53">
        <f t="shared" si="8"/>
        <v>12.2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f>293+66</f>
        <v>359</v>
      </c>
      <c r="C222" s="55">
        <v>4</v>
      </c>
      <c r="D222" s="55">
        <v>66</v>
      </c>
      <c r="E222" s="63"/>
      <c r="F222" s="63"/>
      <c r="G222" s="63"/>
      <c r="H222" s="63"/>
      <c r="I222" s="53">
        <f t="shared" si="8"/>
        <v>12.9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f>352+71</f>
        <v>423</v>
      </c>
      <c r="C223" s="55">
        <v>5</v>
      </c>
      <c r="D223" s="55">
        <v>71</v>
      </c>
      <c r="E223" s="63"/>
      <c r="F223" s="63"/>
      <c r="G223" s="63"/>
      <c r="H223" s="63"/>
      <c r="I223" s="53">
        <f t="shared" si="8"/>
        <v>13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406+74</f>
        <v>480</v>
      </c>
      <c r="C224" s="55">
        <v>6</v>
      </c>
      <c r="D224" s="55">
        <v>74</v>
      </c>
      <c r="E224" s="63"/>
      <c r="F224" s="63"/>
      <c r="G224" s="63"/>
      <c r="H224" s="63"/>
      <c r="I224" s="53">
        <f t="shared" si="8"/>
        <v>12.8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90</v>
      </c>
      <c r="B225" s="55">
        <f>454+74</f>
        <v>528</v>
      </c>
      <c r="C225" s="55">
        <v>7</v>
      </c>
      <c r="D225" s="55">
        <v>74</v>
      </c>
      <c r="E225" s="63"/>
      <c r="F225" s="63"/>
      <c r="G225" s="63"/>
      <c r="H225" s="63"/>
      <c r="I225" s="53">
        <f t="shared" si="8"/>
        <v>12.2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100</v>
      </c>
      <c r="B226" s="55">
        <f>498+73</f>
        <v>571</v>
      </c>
      <c r="C226" s="55">
        <v>8</v>
      </c>
      <c r="D226" s="55">
        <v>73</v>
      </c>
      <c r="E226" s="63"/>
      <c r="F226" s="63"/>
      <c r="G226" s="63"/>
      <c r="H226" s="63"/>
      <c r="I226" s="53">
        <f t="shared" si="8"/>
        <v>11.7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Erable plane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20</v>
      </c>
      <c r="B244" s="60">
        <v>95</v>
      </c>
      <c r="C244" s="60">
        <v>1</v>
      </c>
      <c r="D244" s="60">
        <f>15+28</f>
        <v>43</v>
      </c>
      <c r="E244" s="51"/>
      <c r="F244" s="51">
        <v>0.25</v>
      </c>
      <c r="G244" s="51">
        <v>0.25</v>
      </c>
      <c r="H244" s="63">
        <v>0.5</v>
      </c>
      <c r="I244" s="53">
        <f>IFERROR(B244/A244,"")</f>
        <v>4.75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30</v>
      </c>
      <c r="B245" s="60">
        <v>174</v>
      </c>
      <c r="C245" s="60">
        <v>2</v>
      </c>
      <c r="D245" s="60">
        <f>28+28</f>
        <v>56</v>
      </c>
      <c r="E245" s="63"/>
      <c r="F245" s="63">
        <v>0.25</v>
      </c>
      <c r="G245" s="63">
        <v>0.25</v>
      </c>
      <c r="H245" s="63">
        <v>0.5</v>
      </c>
      <c r="I245" s="53">
        <f>IF(A245&lt;&gt;0,(B245-(B244-D244))/(A245-A244),"")</f>
        <v>12.2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40</v>
      </c>
      <c r="B246" s="60">
        <v>220</v>
      </c>
      <c r="C246" s="60">
        <v>3</v>
      </c>
      <c r="D246" s="60">
        <f>28+28</f>
        <v>56</v>
      </c>
      <c r="E246" s="63"/>
      <c r="F246" s="63"/>
      <c r="G246" s="63"/>
      <c r="H246" s="63"/>
      <c r="I246" s="53">
        <f>IF(A246&lt;&gt;0,(B246-(B245-D245))/(A246-A245),"")</f>
        <v>10.199999999999999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50</v>
      </c>
      <c r="B247" s="60">
        <v>241</v>
      </c>
      <c r="C247" s="60">
        <v>4</v>
      </c>
      <c r="D247" s="60">
        <f>22+17</f>
        <v>39</v>
      </c>
      <c r="E247" s="63"/>
      <c r="F247" s="63"/>
      <c r="G247" s="63"/>
      <c r="H247" s="63"/>
      <c r="I247" s="53">
        <f t="shared" ref="I247:I263" si="9">IF(A247&lt;&gt;0,(B247-(B246-D246))/(A247-A246),"")</f>
        <v>7.7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60</v>
      </c>
      <c r="B248" s="60">
        <v>258</v>
      </c>
      <c r="C248" s="60">
        <v>5</v>
      </c>
      <c r="D248" s="60">
        <f>13+12</f>
        <v>25</v>
      </c>
      <c r="E248" s="63"/>
      <c r="F248" s="63"/>
      <c r="G248" s="63"/>
      <c r="H248" s="63"/>
      <c r="I248" s="53">
        <f t="shared" si="9"/>
        <v>5.6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70</v>
      </c>
      <c r="B249" s="60">
        <v>274</v>
      </c>
      <c r="C249" s="60">
        <v>6</v>
      </c>
      <c r="D249" s="60">
        <f>11+10</f>
        <v>21</v>
      </c>
      <c r="E249" s="63"/>
      <c r="F249" s="63"/>
      <c r="G249" s="63"/>
      <c r="H249" s="63"/>
      <c r="I249" s="53">
        <f t="shared" si="9"/>
        <v>4.0999999999999996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80</v>
      </c>
      <c r="B250" s="60">
        <f>267+9+8</f>
        <v>284</v>
      </c>
      <c r="C250" s="60">
        <v>7</v>
      </c>
      <c r="D250" s="60">
        <f>B250</f>
        <v>284</v>
      </c>
      <c r="E250" s="63"/>
      <c r="F250" s="63"/>
      <c r="G250" s="63"/>
      <c r="H250" s="63"/>
      <c r="I250" s="53">
        <f t="shared" si="9"/>
        <v>3.1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7" sqref="F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Cèdre de l'Atlas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Tilleul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Cormier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noir d'Autriche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Erable plane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153.45079678708987</v>
      </c>
      <c r="T3" s="59">
        <f>IF('Données projet'!E9&gt;30,$R$33-$H$33,LOOKUP('Données projet'!$E$9,$A$3:$A$203,R3:R203)-LOOKUP('Données projet'!$E$9,$A$3:$A$203,$H$3:$H$203))</f>
        <v>115.4217868409637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190.21499310415584</v>
      </c>
      <c r="AO3" s="59">
        <f>IF('Données projet'!E10&gt;30,$AM$33-$H$33,LOOKUP('Données projet'!$E$10,$A$3:$A$203,AM3:AM203)-LOOKUP('Données projet'!$E$10,$A$3:$A$203,$H$3:$H$203))</f>
        <v>136.15730566500173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270.30888762640245</v>
      </c>
      <c r="BJ3" s="59">
        <f>IF('Données projet'!E11&gt;30,$BH$33-$H$33,LOOKUP('Données projet'!$E$11,$A$3:$A$203,BH3:BH203)-LOOKUP('Données projet'!$E$11,$A$3:$A$203,$H$3:$H$203))</f>
        <v>202.23783851977691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270.30888762640245</v>
      </c>
      <c r="CE3" s="59">
        <f>IF('Données projet'!E12&gt;30,$CC$33-$H$33,LOOKUP('Données projet'!$E$12,$A$3:$A$203,CC3:CC203)-LOOKUP('Données projet'!$E$12,$A$3:$A$203,$H$3:$H$203))</f>
        <v>202.23783851977691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158.58786357608489</v>
      </c>
      <c r="CZ3" s="59">
        <f>IF('Données projet'!E13&gt;30,$CX$33-$H$33,LOOKUP('Données projet'!$E$13,$A$3:$A$203,CX3:CX203)-LOOKUP('Données projet'!$E$13,$A$3:$A$203,$H$3:$H$203))</f>
        <v>163.20074068819849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156.63226020379989</v>
      </c>
      <c r="DU3" s="59">
        <f>IF('Données projet'!E14&gt;30,$DS$33-$H$33,LOOKUP('Données projet'!$E$14,$A$3:$A$203,DS3:DS203)-LOOKUP('Données projet'!$E$14,$A$3:$A$203,$H$3:$H$203))</f>
        <v>196.0481096619543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211.18501783767226</v>
      </c>
      <c r="EP3" s="59">
        <f>IF('Données projet'!E15&gt;30,$EN$33-$H$33,LOOKUP('Données projet'!$E$15,$A$3:$A$203,EN3:EN203)-LOOKUP('Données projet'!$E$15,$A$3:$A$203,$H$3:$H$203))</f>
        <v>147.98306963466246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232.26937455765062</v>
      </c>
      <c r="FK3" s="59">
        <f>IF('Données projet'!E16&gt;30,$FI$33-$H$33,LOOKUP('Données projet'!$E$16,$A$3:$A$203,FI3:FI203)-LOOKUP('Données projet'!$E$16,$A$3:$A$203,$H$3:$H$203))</f>
        <v>115.80853281120301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199.58763537752952</v>
      </c>
      <c r="GF3" s="59">
        <f>IF('Données projet'!E17&gt;30,$GD$33-$H$33,LOOKUP('Données projet'!$E$17,$A$3:$A$203,GD3:GD203)-LOOKUP('Données projet'!$E$17,$A$3:$A$203,$H$3:$H$203))</f>
        <v>242.62852778451929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2.9235042735042733</v>
      </c>
      <c r="N4" s="13">
        <f>IF('Données projet'!$A$36&gt;35,N3+M4-V3,IF(A4&lt;'Données projet'!$A$36,$K$205^A4,IF(A4='Données projet'!$A$36,'Données projet'!$B$36,N3+M4-V3)))</f>
        <v>1.1608269964373037</v>
      </c>
      <c r="O4" s="13">
        <f>N4*VLOOKUP('Données projet'!$B$9,Paramètres!$A$1:$I$89,3,0)*VLOOKUP('Données projet'!$B$9,Paramètres!$A$1:$I$89,5,0)</f>
        <v>1.0503162663764722</v>
      </c>
      <c r="P4" s="13">
        <f>EXP(-1.0587+0.8836*LN(O4)+0.284)</f>
        <v>0.48127189162287909</v>
      </c>
      <c r="Q4" s="20">
        <f t="shared" ref="Q4:Q34" si="2">(O4+P4)*0.475*44/12</f>
        <v>2.6675160418488701</v>
      </c>
      <c r="R4" s="59">
        <f t="shared" si="0"/>
        <v>296.00084937518216</v>
      </c>
      <c r="S4" s="59">
        <f ca="1">AVERAGE(OFFSET($R$3,0,0,'Données projet'!$E$9+1,1))-AVERAGE(OFFSET($H$3,0,0,'Données projet'!$E$9+1,1))</f>
        <v>153.45079678708987</v>
      </c>
      <c r="T4" s="59">
        <f>$T$3</f>
        <v>115.4217868409637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1.1770785743874259</v>
      </c>
      <c r="AK4" s="13">
        <f>EXP(-1.0587+0.8836*LN(AJ4)+0.284)</f>
        <v>0.53225011573313319</v>
      </c>
      <c r="AL4" s="20">
        <f t="shared" ref="AL4:AL67" si="4">(AJ4+AK4)*0.475*44/12</f>
        <v>2.9770808019599735</v>
      </c>
      <c r="AM4" s="59">
        <f t="shared" ref="AM4:AM67" si="5">AL4+(AD4+AE4)*44/12</f>
        <v>296.31041413529329</v>
      </c>
      <c r="AN4" s="59">
        <f ca="1">AVERAGE(OFFSET($AM$3,0,0,'Données projet'!$E$10+1,1))-AVERAGE(OFFSET($H$3,0,0,'Données projet'!$E$10+1,1))</f>
        <v>190.21499310415584</v>
      </c>
      <c r="AO4" s="59">
        <f>$AO$3</f>
        <v>136.15730566500173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4.3499999999999996</v>
      </c>
      <c r="BD4" s="12">
        <f>IF('Données projet'!$A$88&gt;35,BD3+BC4-BL3,IF(A4&lt;'Données projet'!$A$88,$BA$205^A4,IF(A4='Données projet'!$A$88,'Données projet'!$B$88,BD3+BC4-BL3)))</f>
        <v>1.2501898326862695</v>
      </c>
      <c r="BE4" s="13">
        <f>BD4*VLOOKUP('Données projet'!$B$11,Paramètres!$A$1:$I$89,3,0)*VLOOKUP('Données projet'!$B$11,Paramètres!$A$1:$I$89,5,0)</f>
        <v>0.74761351994638925</v>
      </c>
      <c r="BF4" s="13">
        <f>EXP(-1.0587+0.8836*LN(BE4)+0.284)</f>
        <v>0.35639630406199418</v>
      </c>
      <c r="BG4" s="20">
        <f t="shared" ref="BG4:BG67" si="7">(BE4+BF4)*0.475*44/12</f>
        <v>1.9228171101479343</v>
      </c>
      <c r="BH4" s="59">
        <f t="shared" ref="BH4:BH67" si="8">BG4+(AY4+AZ4)*44/12</f>
        <v>295.25615044348126</v>
      </c>
      <c r="BI4" s="59">
        <f ca="1">AVERAGE(OFFSET($BH$3,0,0,'Données projet'!$E$11+1,1))-AVERAGE(OFFSET($H$3,0,0,'Données projet'!$E$11+1,1))</f>
        <v>270.30888762640245</v>
      </c>
      <c r="BJ4" s="59">
        <f>$BJ$3</f>
        <v>202.23783851977691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4.3499999999999996</v>
      </c>
      <c r="BY4" s="12">
        <f>IF('Données projet'!$A$114&gt;35,BY3+BX4-CG3,IF(A4&lt;'Données projet'!$A$114,$BV$205^A4,IF(A4='Données projet'!$A$114,'Données projet'!$B$114,BY3+BX4-CG3)))</f>
        <v>1.2501898326862695</v>
      </c>
      <c r="BZ4" s="13">
        <f>BY4*VLOOKUP('Données projet'!$B$12,Paramètres!$A$1:$I$89,3,0)*VLOOKUP('Données projet'!$B$12,Paramètres!$A$1:$I$89,5,0)</f>
        <v>0.74761351994638925</v>
      </c>
      <c r="CA4" s="13">
        <f>EXP(-1.0587+0.8836*LN(BZ4)+0.284)</f>
        <v>0.35639630406199418</v>
      </c>
      <c r="CB4" s="20">
        <f t="shared" ref="CB4:CB67" si="10">(BZ4+CA4)*0.475*44/12</f>
        <v>1.9228171101479343</v>
      </c>
      <c r="CC4" s="59">
        <f t="shared" ref="CC4:CC67" si="11">CB4+(BT4+BU4)*44/12</f>
        <v>295.25615044348126</v>
      </c>
      <c r="CD4" s="59">
        <f ca="1">AVERAGE(OFFSET($CC$3,0,0,'Données projet'!$E$12+1,1))-AVERAGE(OFFSET($H$3,0,0,'Données projet'!$E$12+1,1))</f>
        <v>270.30888762640245</v>
      </c>
      <c r="CE4" s="59">
        <f>$CE$3</f>
        <v>202.23783851977691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7.2264102564102561</v>
      </c>
      <c r="CT4" s="12">
        <f>IF('Données projet'!$A$140&gt;35,CT3+CS4-DB3,IF(A4&lt;'Données projet'!$A$140,$CQ$205^A4,IF(A4='Données projet'!$A$140,'Données projet'!$B$140,CT3+CS4-DB3)))</f>
        <v>1.1963772029987372</v>
      </c>
      <c r="CU4" s="17">
        <f>CT4*VLOOKUP('Données projet'!$B$13,Paramètres!$A$1:$I$89,3,0)*VLOOKUP('Données projet'!$B$13,Paramètres!$A$1:$I$89,5,0)</f>
        <v>0.55990453100340898</v>
      </c>
      <c r="CV4" s="13">
        <f>EXP(-1.0587+0.8836*LN(CU4)+0.284)</f>
        <v>0.2760486193577778</v>
      </c>
      <c r="CW4" s="20">
        <f t="shared" ref="CW4:CW67" si="13">(CU4+CV4)*0.475*44/12</f>
        <v>1.4559517368790669</v>
      </c>
      <c r="CX4" s="59">
        <f t="shared" ref="CX4:CX67" si="14">CW4+(CO4+CP4)*44/12</f>
        <v>294.78928507021237</v>
      </c>
      <c r="CY4" s="59">
        <f ca="1">AVERAGE(OFFSET($CX$3,0,0,'Données projet'!$E$13+1,1))-AVERAGE(OFFSET($H$3,0,0,'Données projet'!$E$13+1,1))</f>
        <v>158.58786357608489</v>
      </c>
      <c r="CZ4" s="59">
        <f>$CZ$3</f>
        <v>163.20074068819849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4.75</v>
      </c>
      <c r="DO4" s="12">
        <f>IF('Données projet'!$A$166&gt;35,DO3+DN4-DW3,IF(A4&lt;'Données projet'!$A$166,$DL$205^A4,IF(A4='Données projet'!$A$166,'Données projet'!$B$166,DO3+DN4-DW3)))</f>
        <v>1.2557008269631629</v>
      </c>
      <c r="DP4" s="17">
        <f>DO4*VLOOKUP('Données projet'!$B$14,Paramètres!$A$1:$I$89,3,0)*VLOOKUP('Données projet'!$B$14,Paramètres!$A$1:$I$89,5,0)</f>
        <v>0.84232411472688973</v>
      </c>
      <c r="DQ4" s="13">
        <f>EXP(-1.0587+0.8836*LN(DP4)+0.284)</f>
        <v>0.39600941950779012</v>
      </c>
      <c r="DR4" s="20">
        <f t="shared" ref="DR4:DR67" si="16">(DP4+DQ4)*0.475*44/12</f>
        <v>2.1567642387920674</v>
      </c>
      <c r="DS4" s="59">
        <f t="shared" ref="DS4:DS67" si="17">DR4+(DJ4+DK4)*44/12</f>
        <v>295.49009757212536</v>
      </c>
      <c r="DT4" s="59">
        <f ca="1">AVERAGE(OFFSET($DS$3,0,0,'Données projet'!$E$14+1,1))-AVERAGE(OFFSET($H$3,0,0,'Données projet'!$E$14+1,1))</f>
        <v>156.63226020379989</v>
      </c>
      <c r="DU4" s="59">
        <f>$DU$3</f>
        <v>196.0481096619543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2.9235042735042733</v>
      </c>
      <c r="EJ4" s="12">
        <f>IF('Données projet'!$A$192&gt;35,EJ3+EI4-ER3,IF(A4&lt;'Données projet'!$A$192,$EG$205^A4,IF(A4='Données projet'!$A$192,'Données projet'!$B$192,EJ3+EI4-ER3)))</f>
        <v>1.1608269964373037</v>
      </c>
      <c r="EK4" s="17">
        <f>EJ4*VLOOKUP('Données projet'!$B$15,Paramètres!$A$1:$I$89,3,0)*VLOOKUP('Données projet'!$B$15,Paramètres!$A$1:$I$89,5,0)</f>
        <v>1.2495141789651136</v>
      </c>
      <c r="EL4" s="13">
        <f>EXP(-1.0587+0.8836*LN(EK4)+0.284)</f>
        <v>0.56109006538617967</v>
      </c>
      <c r="EM4" s="20">
        <f t="shared" ref="EM4:EM67" si="19">(EK4+EL4)*0.475*44/12</f>
        <v>3.1534690589118353</v>
      </c>
      <c r="EN4" s="59">
        <f t="shared" ref="EN4:EN67" si="20">EM4+(EE4+EF4)*44/12</f>
        <v>296.48680239224512</v>
      </c>
      <c r="EO4" s="59">
        <f ca="1">AVERAGE(OFFSET($EN$3,0,0,'Données projet'!$E$15+1,1))-AVERAGE(OFFSET($H$3,0,0,'Données projet'!$E$15+1,1))</f>
        <v>211.18501783767226</v>
      </c>
      <c r="EP4" s="59">
        <f>$EP$3</f>
        <v>147.98306963466246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3.44</v>
      </c>
      <c r="FE4" s="12">
        <f>IF('Données projet'!$A$218&gt;35,FE3+FD4-FM3,IF(A4&lt;'Données projet'!$A$218,$FB$205^A4,IF(A4='Données projet'!$A$218,'Données projet'!$B$218,FE3+FD4-FM3)))</f>
        <v>1.1950331096863402</v>
      </c>
      <c r="FF4" s="17">
        <f>FE4*VLOOKUP('Données projet'!$B$16,Paramètres!$A$1:$I$89,3,0)*VLOOKUP('Données projet'!$B$16,Paramètres!$A$1:$I$89,5,0)</f>
        <v>0.71462979959243156</v>
      </c>
      <c r="FG4" s="13">
        <f>EXP(-1.0587+0.8836*LN(FF4)+0.284)</f>
        <v>0.34246653863142629</v>
      </c>
      <c r="FH4" s="20">
        <f t="shared" ref="FH4:FH67" si="22">(FF4+FG4)*0.475*44/12</f>
        <v>1.8411094557398859</v>
      </c>
      <c r="FI4" s="59">
        <f t="shared" ref="FI4:FI67" si="23">FH4+(EZ4+FA4)*44/12</f>
        <v>295.17444278907323</v>
      </c>
      <c r="FJ4" s="59">
        <f ca="1">AVERAGE(OFFSET($FI$3,0,0,'Données projet'!$E$16+1,1))-AVERAGE(OFFSET($H$3,0,0,'Données projet'!$E$16+1,1))</f>
        <v>232.26937455765062</v>
      </c>
      <c r="FK4" s="59">
        <f>$FK$3</f>
        <v>115.80853281120301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4.75</v>
      </c>
      <c r="FZ4" s="12">
        <f>IF('Données projet'!$A$244&gt;35,FZ3+FY4-GH3,IF(A4&lt;'Données projet'!$A$244,$FW$205^A4,IF(A4='Données projet'!$A$244,'Données projet'!$B$244,FZ3+FY4-GH3)))</f>
        <v>1.2557008269631629</v>
      </c>
      <c r="GA4" s="17">
        <f>FZ4*VLOOKUP('Données projet'!$B$17,Paramètres!$A$1:$I$89,3,0)*VLOOKUP('Données projet'!$B$17,Paramètres!$A$1:$I$89,5,0)</f>
        <v>0.99903557793189246</v>
      </c>
      <c r="GB4" s="13">
        <f>EXP(-1.0587+0.8836*LN(GA4)+0.284)</f>
        <v>0.46044927814777026</v>
      </c>
      <c r="GC4" s="20">
        <f t="shared" ref="GC4:GC67" si="25">(GA4+GB4)*0.475*44/12</f>
        <v>2.5419361243387457</v>
      </c>
      <c r="GD4" s="59">
        <f t="shared" ref="GD4:GD67" si="26">GC4+(FU4+FV4)*44/12</f>
        <v>295.87526945767206</v>
      </c>
      <c r="GE4" s="59">
        <f ca="1">AVERAGE(OFFSET($GD$3,0,0,'Données projet'!$E$17+1,1))-AVERAGE(OFFSET($H$3,0,0,'Données projet'!$E$17+1,1))</f>
        <v>199.58763537752952</v>
      </c>
      <c r="GF4" s="59">
        <f>$GF$3</f>
        <v>242.62852778451929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2.9235042735042733</v>
      </c>
      <c r="N5" s="13">
        <f>IF('Données projet'!$A$36&gt;35,N4+M5-V4,IF(A5&lt;'Données projet'!$A$36,$K$205^A5,IF(A5='Données projet'!$A$36,'Données projet'!$B$36,N4+M5-V4)))</f>
        <v>1.3475193156576519</v>
      </c>
      <c r="O5" s="13">
        <f>N5*VLOOKUP('Données projet'!$B$9,Paramètres!$A$1:$I$89,3,0)*VLOOKUP('Données projet'!$B$9,Paramètres!$A$1:$I$89,5,0)</f>
        <v>1.2192354768070435</v>
      </c>
      <c r="P5" s="13">
        <f t="shared" ref="P5:P68" si="33">EXP(-1.0587+0.8836*LN(O5)+0.284)</f>
        <v>0.54905905766229002</v>
      </c>
      <c r="Q5" s="20">
        <f t="shared" si="2"/>
        <v>3.0797796475340888</v>
      </c>
      <c r="R5" s="59">
        <f t="shared" si="0"/>
        <v>296.41311298086742</v>
      </c>
      <c r="S5" s="59">
        <f ca="1">AVERAGE(OFFSET($R$3,0,0,'Données projet'!$E$9+1,1))-AVERAGE(OFFSET($H$3,0,0,'Données projet'!$E$9+1,1))</f>
        <v>153.45079678708987</v>
      </c>
      <c r="T5" s="59">
        <f t="shared" ref="T5:T68" si="34">$T$3</f>
        <v>115.4217868409637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1.3663845860768591</v>
      </c>
      <c r="AK5" s="13">
        <f t="shared" ref="AK5:AK68" si="35">EXP(-1.0587+0.8836*LN(AJ5)+0.284)</f>
        <v>0.60721756676800354</v>
      </c>
      <c r="AL5" s="20">
        <f t="shared" si="4"/>
        <v>3.4373570828714688</v>
      </c>
      <c r="AM5" s="59">
        <f t="shared" si="5"/>
        <v>296.77069041620479</v>
      </c>
      <c r="AN5" s="59">
        <f ca="1">AVERAGE(OFFSET($AM$3,0,0,'Données projet'!$E$10+1,1))-AVERAGE(OFFSET($H$3,0,0,'Données projet'!$E$10+1,1))</f>
        <v>190.21499310415584</v>
      </c>
      <c r="AO5" s="59">
        <f t="shared" ref="AO5:AO68" si="36">$AO$3</f>
        <v>136.15730566500173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4.3499999999999996</v>
      </c>
      <c r="BD5" s="12">
        <f>IF('Données projet'!$A$88&gt;35,BD4+BC5-BL4,IF(A5&lt;'Données projet'!$A$88,$BA$205^A5,IF(A5='Données projet'!$A$88,'Données projet'!$B$88,BD4+BC5-BL4)))</f>
        <v>1.5629746177521224</v>
      </c>
      <c r="BE5" s="13">
        <f>BD5*VLOOKUP('Données projet'!$B$11,Paramètres!$A$1:$I$89,3,0)*VLOOKUP('Données projet'!$B$11,Paramètres!$A$1:$I$89,5,0)</f>
        <v>0.93465882141576928</v>
      </c>
      <c r="BF5" s="13">
        <f t="shared" ref="BF5:BF68" si="37">EXP(-1.0587+0.8836*LN(BE5)+0.284)</f>
        <v>0.43413135345040255</v>
      </c>
      <c r="BG5" s="20">
        <f t="shared" si="7"/>
        <v>2.3839762212252493</v>
      </c>
      <c r="BH5" s="59">
        <f t="shared" si="8"/>
        <v>295.71730955455854</v>
      </c>
      <c r="BI5" s="59">
        <f ca="1">AVERAGE(OFFSET($BH$3,0,0,'Données projet'!$E$11+1,1))-AVERAGE(OFFSET($H$3,0,0,'Données projet'!$E$11+1,1))</f>
        <v>270.30888762640245</v>
      </c>
      <c r="BJ5" s="59">
        <f t="shared" ref="BJ5:BJ68" si="38">$BJ$3</f>
        <v>202.23783851977691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4.3499999999999996</v>
      </c>
      <c r="BY5" s="12">
        <f>IF('Données projet'!$A$114&gt;35,BY4+BX5-CG4,IF(A5&lt;'Données projet'!$A$114,$BV$205^A5,IF(A5='Données projet'!$A$114,'Données projet'!$B$114,BY4+BX5-CG4)))</f>
        <v>1.5629746177521224</v>
      </c>
      <c r="BZ5" s="13">
        <f>BY5*VLOOKUP('Données projet'!$B$12,Paramètres!$A$1:$I$89,3,0)*VLOOKUP('Données projet'!$B$12,Paramètres!$A$1:$I$89,5,0)</f>
        <v>0.93465882141576928</v>
      </c>
      <c r="CA5" s="13">
        <f t="shared" ref="CA5:CA68" si="39">EXP(-1.0587+0.8836*LN(BZ5)+0.284)</f>
        <v>0.43413135345040255</v>
      </c>
      <c r="CB5" s="20">
        <f t="shared" si="10"/>
        <v>2.3839762212252493</v>
      </c>
      <c r="CC5" s="59">
        <f t="shared" si="11"/>
        <v>295.71730955455854</v>
      </c>
      <c r="CD5" s="59">
        <f ca="1">AVERAGE(OFFSET($CC$3,0,0,'Données projet'!$E$12+1,1))-AVERAGE(OFFSET($H$3,0,0,'Données projet'!$E$12+1,1))</f>
        <v>270.30888762640245</v>
      </c>
      <c r="CE5" s="59">
        <f t="shared" ref="CE5:CE68" si="40">$CE$3</f>
        <v>202.23783851977691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7.2264102564102561</v>
      </c>
      <c r="CT5" s="12">
        <f>IF('Données projet'!$A$140&gt;35,CT4+CS5-DB4,IF(A5&lt;'Données projet'!$A$140,$CQ$205^A5,IF(A5='Données projet'!$A$140,'Données projet'!$B$140,CT4+CS5-DB4)))</f>
        <v>1.4313184118550817</v>
      </c>
      <c r="CU5" s="17">
        <f>CT5*VLOOKUP('Données projet'!$B$13,Paramètres!$A$1:$I$89,3,0)*VLOOKUP('Données projet'!$B$13,Paramètres!$A$1:$I$89,5,0)</f>
        <v>0.66985701674817832</v>
      </c>
      <c r="CV5" s="13">
        <f t="shared" ref="CV5:CV68" si="41">EXP(-1.0587+0.8836*LN(CU5)+0.284)</f>
        <v>0.32343711768198868</v>
      </c>
      <c r="CW5" s="20">
        <f t="shared" si="13"/>
        <v>1.729987284132541</v>
      </c>
      <c r="CX5" s="59">
        <f t="shared" si="14"/>
        <v>295.06332061746588</v>
      </c>
      <c r="CY5" s="59">
        <f ca="1">AVERAGE(OFFSET($CX$3,0,0,'Données projet'!$E$13+1,1))-AVERAGE(OFFSET($H$3,0,0,'Données projet'!$E$13+1,1))</f>
        <v>158.58786357608489</v>
      </c>
      <c r="CZ5" s="59">
        <f t="shared" ref="CZ5:CZ68" si="42">$CZ$3</f>
        <v>163.20074068819849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4.75</v>
      </c>
      <c r="DO5" s="12">
        <f>IF('Données projet'!$A$166&gt;35,DO4+DN5-DW4,IF(A5&lt;'Données projet'!$A$166,$DL$205^A5,IF(A5='Données projet'!$A$166,'Données projet'!$B$166,DO4+DN5-DW4)))</f>
        <v>1.576784566835971</v>
      </c>
      <c r="DP5" s="17">
        <f>DO5*VLOOKUP('Données projet'!$B$14,Paramètres!$A$1:$I$89,3,0)*VLOOKUP('Données projet'!$B$14,Paramètres!$A$1:$I$89,5,0)</f>
        <v>1.0577070874335694</v>
      </c>
      <c r="DQ5" s="13">
        <f t="shared" ref="DQ5:DQ68" si="43">EXP(-1.0587+0.8836*LN(DP5)+0.284)</f>
        <v>0.484263063493652</v>
      </c>
      <c r="DR5" s="20">
        <f t="shared" si="16"/>
        <v>2.6855980128649111</v>
      </c>
      <c r="DS5" s="59">
        <f t="shared" si="17"/>
        <v>296.0189313461982</v>
      </c>
      <c r="DT5" s="59">
        <f ca="1">AVERAGE(OFFSET($DS$3,0,0,'Données projet'!$E$14+1,1))-AVERAGE(OFFSET($H$3,0,0,'Données projet'!$E$14+1,1))</f>
        <v>156.63226020379989</v>
      </c>
      <c r="DU5" s="59">
        <f t="shared" ref="DU5:DU68" si="44">$DU$3</f>
        <v>196.0481096619543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2.9235042735042733</v>
      </c>
      <c r="EJ5" s="12">
        <f>IF('Données projet'!$A$192&gt;35,EJ4+EI5-ER4,IF(A5&lt;'Données projet'!$A$192,$EG$205^A5,IF(A5='Données projet'!$A$192,'Données projet'!$B$192,EJ4+EI5-ER4)))</f>
        <v>1.3475193156576519</v>
      </c>
      <c r="EK5" s="17">
        <f>EJ5*VLOOKUP('Données projet'!$B$15,Paramètres!$A$1:$I$89,3,0)*VLOOKUP('Données projet'!$B$15,Paramètres!$A$1:$I$89,5,0)</f>
        <v>1.4504697913738964</v>
      </c>
      <c r="EL5" s="13">
        <f t="shared" ref="EL5:EL68" si="45">EXP(-1.0587+0.8836*LN(EK5)+0.284)</f>
        <v>0.64011962453442217</v>
      </c>
      <c r="EM5" s="20">
        <f t="shared" si="19"/>
        <v>3.6411098993736544</v>
      </c>
      <c r="EN5" s="59">
        <f t="shared" si="20"/>
        <v>296.97444323270696</v>
      </c>
      <c r="EO5" s="59">
        <f ca="1">AVERAGE(OFFSET($EN$3,0,0,'Données projet'!$E$15+1,1))-AVERAGE(OFFSET($H$3,0,0,'Données projet'!$E$15+1,1))</f>
        <v>211.18501783767226</v>
      </c>
      <c r="EP5" s="59">
        <f t="shared" ref="EP5:EP68" si="46">$EP$3</f>
        <v>147.98306963466246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3.44</v>
      </c>
      <c r="FE5" s="12">
        <f>IF('Données projet'!$A$218&gt;35,FE4+FD5-FM4,IF(A5&lt;'Données projet'!$A$218,$FB$205^A5,IF(A5='Données projet'!$A$218,'Données projet'!$B$218,FE4+FD5-FM4)))</f>
        <v>1.4281041332466045</v>
      </c>
      <c r="FF5" s="17">
        <f>FE5*VLOOKUP('Données projet'!$B$16,Paramètres!$A$1:$I$89,3,0)*VLOOKUP('Données projet'!$B$16,Paramètres!$A$1:$I$89,5,0)</f>
        <v>0.85400627168146948</v>
      </c>
      <c r="FG5" s="13">
        <f t="shared" ref="FG5:FG68" si="47">EXP(-1.0587+0.8836*LN(FF5)+0.284)</f>
        <v>0.40085846357728649</v>
      </c>
      <c r="FH5" s="20">
        <f t="shared" si="22"/>
        <v>2.1855560805756666</v>
      </c>
      <c r="FI5" s="59">
        <f t="shared" si="23"/>
        <v>295.51888941390899</v>
      </c>
      <c r="FJ5" s="59">
        <f ca="1">AVERAGE(OFFSET($FI$3,0,0,'Données projet'!$E$16+1,1))-AVERAGE(OFFSET($H$3,0,0,'Données projet'!$E$16+1,1))</f>
        <v>232.26937455765062</v>
      </c>
      <c r="FK5" s="59">
        <f t="shared" ref="FK5:FK68" si="48">$FK$3</f>
        <v>115.80853281120301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4.75</v>
      </c>
      <c r="FZ5" s="12">
        <f>IF('Données projet'!$A$244&gt;35,FZ4+FY5-GH4,IF(A5&lt;'Données projet'!$A$244,$FW$205^A5,IF(A5='Données projet'!$A$244,'Données projet'!$B$244,FZ4+FY5-GH4)))</f>
        <v>1.576784566835971</v>
      </c>
      <c r="GA5" s="17">
        <f>FZ5*VLOOKUP('Données projet'!$B$17,Paramètres!$A$1:$I$89,3,0)*VLOOKUP('Données projet'!$B$17,Paramètres!$A$1:$I$89,5,0)</f>
        <v>1.2544898013746986</v>
      </c>
      <c r="GB5" s="13">
        <f t="shared" ref="GB5:GB68" si="49">EXP(-1.0587+0.8836*LN(GA5)+0.284)</f>
        <v>0.56306382382627529</v>
      </c>
      <c r="GC5" s="20">
        <f t="shared" si="25"/>
        <v>3.1655725638916965</v>
      </c>
      <c r="GD5" s="59">
        <f t="shared" si="26"/>
        <v>296.49890589722503</v>
      </c>
      <c r="GE5" s="59">
        <f ca="1">AVERAGE(OFFSET($GD$3,0,0,'Données projet'!$E$17+1,1))-AVERAGE(OFFSET($H$3,0,0,'Données projet'!$E$17+1,1))</f>
        <v>199.58763537752952</v>
      </c>
      <c r="GF5" s="59">
        <f t="shared" ref="GF5:GF68" si="50">$GF$3</f>
        <v>242.62852778451929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2.9235042735042733</v>
      </c>
      <c r="N6" s="13">
        <f>IF('Données projet'!$A$36&gt;35,N5+M6-V5,IF(A6&lt;'Données projet'!$A$36,$K$205^A6,IF(A6='Données projet'!$A$36,'Données projet'!$B$36,N5+M6-V5)))</f>
        <v>1.5642367998361231</v>
      </c>
      <c r="O6" s="13">
        <f>N6*VLOOKUP('Données projet'!$B$9,Paramètres!$A$1:$I$89,3,0)*VLOOKUP('Données projet'!$B$9,Paramètres!$A$1:$I$89,5,0)</f>
        <v>1.415321456491724</v>
      </c>
      <c r="P6" s="13">
        <f t="shared" si="33"/>
        <v>0.62639404887004735</v>
      </c>
      <c r="Q6" s="20">
        <f t="shared" si="2"/>
        <v>3.5559878385050854</v>
      </c>
      <c r="R6" s="59">
        <f t="shared" si="0"/>
        <v>296.88932117183839</v>
      </c>
      <c r="S6" s="59">
        <f ca="1">AVERAGE(OFFSET($R$3,0,0,'Données projet'!$E$9+1,1))-AVERAGE(OFFSET($H$3,0,0,'Données projet'!$E$9+1,1))</f>
        <v>153.45079678708987</v>
      </c>
      <c r="T6" s="59">
        <f t="shared" si="34"/>
        <v>115.4217868409637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1.5861361150338289</v>
      </c>
      <c r="AK6" s="13">
        <f t="shared" si="35"/>
        <v>0.69274418641277524</v>
      </c>
      <c r="AL6" s="20">
        <f t="shared" si="4"/>
        <v>3.969049858352836</v>
      </c>
      <c r="AM6" s="59">
        <f t="shared" si="5"/>
        <v>297.30238319168615</v>
      </c>
      <c r="AN6" s="59">
        <f ca="1">AVERAGE(OFFSET($AM$3,0,0,'Données projet'!$E$10+1,1))-AVERAGE(OFFSET($H$3,0,0,'Données projet'!$E$10+1,1))</f>
        <v>190.21499310415584</v>
      </c>
      <c r="AO6" s="59">
        <f t="shared" si="36"/>
        <v>136.15730566500173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4.3499999999999996</v>
      </c>
      <c r="BD6" s="12">
        <f>IF('Données projet'!$A$88&gt;35,BD5+BC6-BL5,IF(A6&lt;'Données projet'!$A$88,$BA$205^A6,IF(A6='Données projet'!$A$88,'Données projet'!$B$88,BD5+BC6-BL5)))</f>
        <v>1.954014975860412</v>
      </c>
      <c r="BE6" s="13">
        <f>BD6*VLOOKUP('Données projet'!$B$11,Paramètres!$A$1:$I$89,3,0)*VLOOKUP('Données projet'!$B$11,Paramètres!$A$1:$I$89,5,0)</f>
        <v>1.1685009555645265</v>
      </c>
      <c r="BF6" s="13">
        <f t="shared" si="37"/>
        <v>0.52882151105555386</v>
      </c>
      <c r="BG6" s="20">
        <f t="shared" si="7"/>
        <v>2.9561699626966398</v>
      </c>
      <c r="BH6" s="59">
        <f t="shared" si="8"/>
        <v>296.28950329602998</v>
      </c>
      <c r="BI6" s="59">
        <f ca="1">AVERAGE(OFFSET($BH$3,0,0,'Données projet'!$E$11+1,1))-AVERAGE(OFFSET($H$3,0,0,'Données projet'!$E$11+1,1))</f>
        <v>270.30888762640245</v>
      </c>
      <c r="BJ6" s="59">
        <f t="shared" si="38"/>
        <v>202.23783851977691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4.3499999999999996</v>
      </c>
      <c r="BY6" s="12">
        <f>IF('Données projet'!$A$114&gt;35,BY5+BX6-CG5,IF(A6&lt;'Données projet'!$A$114,$BV$205^A6,IF(A6='Données projet'!$A$114,'Données projet'!$B$114,BY5+BX6-CG5)))</f>
        <v>1.954014975860412</v>
      </c>
      <c r="BZ6" s="13">
        <f>BY6*VLOOKUP('Données projet'!$B$12,Paramètres!$A$1:$I$89,3,0)*VLOOKUP('Données projet'!$B$12,Paramètres!$A$1:$I$89,5,0)</f>
        <v>1.1685009555645265</v>
      </c>
      <c r="CA6" s="13">
        <f t="shared" si="39"/>
        <v>0.52882151105555386</v>
      </c>
      <c r="CB6" s="20">
        <f t="shared" si="10"/>
        <v>2.9561699626966398</v>
      </c>
      <c r="CC6" s="59">
        <f t="shared" si="11"/>
        <v>296.28950329602998</v>
      </c>
      <c r="CD6" s="59">
        <f ca="1">AVERAGE(OFFSET($CC$3,0,0,'Données projet'!$E$12+1,1))-AVERAGE(OFFSET($H$3,0,0,'Données projet'!$E$12+1,1))</f>
        <v>270.30888762640245</v>
      </c>
      <c r="CE6" s="59">
        <f t="shared" si="40"/>
        <v>202.23783851977691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7.2264102564102561</v>
      </c>
      <c r="CT6" s="12">
        <f>IF('Données projet'!$A$140&gt;35,CT5+CS6-DB5,IF(A6&lt;'Données projet'!$A$140,$CQ$205^A6,IF(A6='Données projet'!$A$140,'Données projet'!$B$140,CT5+CS6-DB5)))</f>
        <v>1.7123967181757771</v>
      </c>
      <c r="CU6" s="17">
        <f>CT6*VLOOKUP('Données projet'!$B$13,Paramètres!$A$1:$I$89,3,0)*VLOOKUP('Données projet'!$B$13,Paramètres!$A$1:$I$89,5,0)</f>
        <v>0.80140166410626379</v>
      </c>
      <c r="CV6" s="13">
        <f t="shared" si="41"/>
        <v>0.37896066764546593</v>
      </c>
      <c r="CW6" s="20">
        <f t="shared" si="13"/>
        <v>2.0557977278009294</v>
      </c>
      <c r="CX6" s="59">
        <f t="shared" si="14"/>
        <v>295.38913106113426</v>
      </c>
      <c r="CY6" s="59">
        <f ca="1">AVERAGE(OFFSET($CX$3,0,0,'Données projet'!$E$13+1,1))-AVERAGE(OFFSET($H$3,0,0,'Données projet'!$E$13+1,1))</f>
        <v>158.58786357608489</v>
      </c>
      <c r="CZ6" s="59">
        <f t="shared" si="42"/>
        <v>163.20074068819849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4.75</v>
      </c>
      <c r="DO6" s="12">
        <f>IF('Données projet'!$A$166&gt;35,DO5+DN6-DW5,IF(A6&lt;'Données projet'!$A$166,$DL$205^A6,IF(A6='Données projet'!$A$166,'Données projet'!$B$166,DO5+DN6-DW5)))</f>
        <v>1.9799696845186814</v>
      </c>
      <c r="DP6" s="17">
        <f>DO6*VLOOKUP('Données projet'!$B$14,Paramètres!$A$1:$I$89,3,0)*VLOOKUP('Données projet'!$B$14,Paramètres!$A$1:$I$89,5,0)</f>
        <v>1.3281636643751316</v>
      </c>
      <c r="DQ6" s="13">
        <f t="shared" si="43"/>
        <v>0.5921846883231614</v>
      </c>
      <c r="DR6" s="20">
        <f t="shared" si="16"/>
        <v>3.3446067142828606</v>
      </c>
      <c r="DS6" s="59">
        <f t="shared" si="17"/>
        <v>296.67794004761618</v>
      </c>
      <c r="DT6" s="59">
        <f ca="1">AVERAGE(OFFSET($DS$3,0,0,'Données projet'!$E$14+1,1))-AVERAGE(OFFSET($H$3,0,0,'Données projet'!$E$14+1,1))</f>
        <v>156.63226020379989</v>
      </c>
      <c r="DU6" s="59">
        <f t="shared" si="44"/>
        <v>196.0481096619543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2.9235042735042733</v>
      </c>
      <c r="EJ6" s="12">
        <f>IF('Données projet'!$A$192&gt;35,EJ5+EI6-ER5,IF(A6&lt;'Données projet'!$A$192,$EG$205^A6,IF(A6='Données projet'!$A$192,'Données projet'!$B$192,EJ5+EI6-ER5)))</f>
        <v>1.5642367998361231</v>
      </c>
      <c r="EK6" s="17">
        <f>EJ6*VLOOKUP('Données projet'!$B$15,Paramètres!$A$1:$I$89,3,0)*VLOOKUP('Données projet'!$B$15,Paramètres!$A$1:$I$89,5,0)</f>
        <v>1.683744491343603</v>
      </c>
      <c r="EL6" s="13">
        <f t="shared" si="45"/>
        <v>0.73028050039002235</v>
      </c>
      <c r="EM6" s="20">
        <f t="shared" si="19"/>
        <v>4.2044268606027302</v>
      </c>
      <c r="EN6" s="59">
        <f t="shared" si="20"/>
        <v>297.53776019393604</v>
      </c>
      <c r="EO6" s="59">
        <f ca="1">AVERAGE(OFFSET($EN$3,0,0,'Données projet'!$E$15+1,1))-AVERAGE(OFFSET($H$3,0,0,'Données projet'!$E$15+1,1))</f>
        <v>211.18501783767226</v>
      </c>
      <c r="EP6" s="59">
        <f t="shared" si="46"/>
        <v>147.98306963466246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3.44</v>
      </c>
      <c r="FE6" s="12">
        <f>IF('Données projet'!$A$218&gt;35,FE5+FD6-FM5,IF(A6&lt;'Données projet'!$A$218,$FB$205^A6,IF(A6='Données projet'!$A$218,'Données projet'!$B$218,FE5+FD6-FM5)))</f>
        <v>1.7066317233096053</v>
      </c>
      <c r="FF6" s="17">
        <f>FE6*VLOOKUP('Données projet'!$B$16,Paramètres!$A$1:$I$89,3,0)*VLOOKUP('Données projet'!$B$16,Paramètres!$A$1:$I$89,5,0)</f>
        <v>1.020565770539144</v>
      </c>
      <c r="FG6" s="13">
        <f t="shared" si="47"/>
        <v>0.4692064470405965</v>
      </c>
      <c r="FH6" s="20">
        <f t="shared" si="22"/>
        <v>2.5946866122847148</v>
      </c>
      <c r="FI6" s="59">
        <f t="shared" si="23"/>
        <v>295.92801994561802</v>
      </c>
      <c r="FJ6" s="59">
        <f ca="1">AVERAGE(OFFSET($FI$3,0,0,'Données projet'!$E$16+1,1))-AVERAGE(OFFSET($H$3,0,0,'Données projet'!$E$16+1,1))</f>
        <v>232.26937455765062</v>
      </c>
      <c r="FK6" s="59">
        <f t="shared" si="48"/>
        <v>115.80853281120301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4.75</v>
      </c>
      <c r="FZ6" s="12">
        <f>IF('Données projet'!$A$244&gt;35,FZ5+FY6-GH5,IF(A6&lt;'Données projet'!$A$244,$FW$205^A6,IF(A6='Données projet'!$A$244,'Données projet'!$B$244,FZ5+FY6-GH5)))</f>
        <v>1.9799696845186814</v>
      </c>
      <c r="GA6" s="17">
        <f>FZ6*VLOOKUP('Données projet'!$B$17,Paramètres!$A$1:$I$89,3,0)*VLOOKUP('Données projet'!$B$17,Paramètres!$A$1:$I$89,5,0)</f>
        <v>1.575263881003063</v>
      </c>
      <c r="GB6" s="13">
        <f t="shared" si="49"/>
        <v>0.68854678408274117</v>
      </c>
      <c r="GC6" s="20">
        <f t="shared" si="25"/>
        <v>3.9428035750244419</v>
      </c>
      <c r="GD6" s="59">
        <f t="shared" si="26"/>
        <v>297.27613690835778</v>
      </c>
      <c r="GE6" s="59">
        <f ca="1">AVERAGE(OFFSET($GD$3,0,0,'Données projet'!$E$17+1,1))-AVERAGE(OFFSET($H$3,0,0,'Données projet'!$E$17+1,1))</f>
        <v>199.58763537752952</v>
      </c>
      <c r="GF6" s="59">
        <f t="shared" si="50"/>
        <v>242.62852778451929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2.9235042735042733</v>
      </c>
      <c r="N7" s="13">
        <f>IF('Données projet'!$A$36&gt;35,N6+M7-V6,IF(A7&lt;'Données projet'!$A$36,$K$205^A7,IF(A7='Données projet'!$A$36,'Données projet'!$B$36,N6+M7-V6)))</f>
        <v>1.8158083060704666</v>
      </c>
      <c r="O7" s="13">
        <f>N7*VLOOKUP('Données projet'!$B$9,Paramètres!$A$1:$I$89,3,0)*VLOOKUP('Données projet'!$B$9,Paramètres!$A$1:$I$89,5,0)</f>
        <v>1.6429433553325583</v>
      </c>
      <c r="P7" s="13">
        <f t="shared" si="33"/>
        <v>0.71462167681995736</v>
      </c>
      <c r="Q7" s="20">
        <f t="shared" si="2"/>
        <v>4.1060924309989639</v>
      </c>
      <c r="R7" s="59">
        <f t="shared" si="0"/>
        <v>297.43942576433227</v>
      </c>
      <c r="S7" s="59">
        <f ca="1">AVERAGE(OFFSET($R$3,0,0,'Données projet'!$E$9+1,1))-AVERAGE(OFFSET($H$3,0,0,'Données projet'!$E$9+1,1))</f>
        <v>153.45079678708987</v>
      </c>
      <c r="T7" s="59">
        <f t="shared" si="34"/>
        <v>115.4217868409637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1.8412296223554532</v>
      </c>
      <c r="AK7" s="13">
        <f t="shared" si="35"/>
        <v>0.7903172340072443</v>
      </c>
      <c r="AL7" s="20">
        <f t="shared" si="4"/>
        <v>4.5832774414983648</v>
      </c>
      <c r="AM7" s="59">
        <f t="shared" si="5"/>
        <v>297.91661077483167</v>
      </c>
      <c r="AN7" s="59">
        <f ca="1">AVERAGE(OFFSET($AM$3,0,0,'Données projet'!$E$10+1,1))-AVERAGE(OFFSET($H$3,0,0,'Données projet'!$E$10+1,1))</f>
        <v>190.21499310415584</v>
      </c>
      <c r="AO7" s="59">
        <f t="shared" si="36"/>
        <v>136.15730566500173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4.3499999999999996</v>
      </c>
      <c r="BD7" s="12">
        <f>IF('Données projet'!$A$88&gt;35,BD6+BC7-BL6,IF(A7&lt;'Données projet'!$A$88,$BA$205^A7,IF(A7='Données projet'!$A$88,'Données projet'!$B$88,BD6+BC7-BL6)))</f>
        <v>2.4428896557373934</v>
      </c>
      <c r="BE7" s="13">
        <f>BD7*VLOOKUP('Données projet'!$B$11,Paramètres!$A$1:$I$89,3,0)*VLOOKUP('Données projet'!$B$11,Paramètres!$A$1:$I$89,5,0)</f>
        <v>1.4608480141309614</v>
      </c>
      <c r="BF7" s="13">
        <f t="shared" si="37"/>
        <v>0.64416492458434726</v>
      </c>
      <c r="BG7" s="20">
        <f t="shared" si="7"/>
        <v>3.6662308682624953</v>
      </c>
      <c r="BH7" s="59">
        <f t="shared" si="8"/>
        <v>296.99956420159583</v>
      </c>
      <c r="BI7" s="59">
        <f ca="1">AVERAGE(OFFSET($BH$3,0,0,'Données projet'!$E$11+1,1))-AVERAGE(OFFSET($H$3,0,0,'Données projet'!$E$11+1,1))</f>
        <v>270.30888762640245</v>
      </c>
      <c r="BJ7" s="59">
        <f t="shared" si="38"/>
        <v>202.23783851977691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4.3499999999999996</v>
      </c>
      <c r="BY7" s="12">
        <f>IF('Données projet'!$A$114&gt;35,BY6+BX7-CG6,IF(A7&lt;'Données projet'!$A$114,$BV$205^A7,IF(A7='Données projet'!$A$114,'Données projet'!$B$114,BY6+BX7-CG6)))</f>
        <v>2.4428896557373934</v>
      </c>
      <c r="BZ7" s="13">
        <f>BY7*VLOOKUP('Données projet'!$B$12,Paramètres!$A$1:$I$89,3,0)*VLOOKUP('Données projet'!$B$12,Paramètres!$A$1:$I$89,5,0)</f>
        <v>1.4608480141309614</v>
      </c>
      <c r="CA7" s="13">
        <f t="shared" si="39"/>
        <v>0.64416492458434726</v>
      </c>
      <c r="CB7" s="20">
        <f t="shared" si="10"/>
        <v>3.6662308682624953</v>
      </c>
      <c r="CC7" s="59">
        <f t="shared" si="11"/>
        <v>296.99956420159583</v>
      </c>
      <c r="CD7" s="59">
        <f ca="1">AVERAGE(OFFSET($CC$3,0,0,'Données projet'!$E$12+1,1))-AVERAGE(OFFSET($H$3,0,0,'Données projet'!$E$12+1,1))</f>
        <v>270.30888762640245</v>
      </c>
      <c r="CE7" s="59">
        <f t="shared" si="40"/>
        <v>202.23783851977691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7.2264102564102561</v>
      </c>
      <c r="CT7" s="12">
        <f>IF('Données projet'!$A$140&gt;35,CT6+CS7-DB6,IF(A7&lt;'Données projet'!$A$140,$CQ$205^A7,IF(A7='Données projet'!$A$140,'Données projet'!$B$140,CT6+CS7-DB6)))</f>
        <v>2.0486723961153532</v>
      </c>
      <c r="CU7" s="17">
        <f>CT7*VLOOKUP('Données projet'!$B$13,Paramètres!$A$1:$I$89,3,0)*VLOOKUP('Données projet'!$B$13,Paramètres!$A$1:$I$89,5,0)</f>
        <v>0.95877868138198519</v>
      </c>
      <c r="CV7" s="13">
        <f t="shared" si="41"/>
        <v>0.44401579092570115</v>
      </c>
      <c r="CW7" s="20">
        <f t="shared" si="13"/>
        <v>2.4432003726025537</v>
      </c>
      <c r="CX7" s="59">
        <f t="shared" si="14"/>
        <v>295.77653370593589</v>
      </c>
      <c r="CY7" s="59">
        <f ca="1">AVERAGE(OFFSET($CX$3,0,0,'Données projet'!$E$13+1,1))-AVERAGE(OFFSET($H$3,0,0,'Données projet'!$E$13+1,1))</f>
        <v>158.58786357608489</v>
      </c>
      <c r="CZ7" s="59">
        <f t="shared" si="42"/>
        <v>163.20074068819849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4.75</v>
      </c>
      <c r="DO7" s="12">
        <f>IF('Données projet'!$A$166&gt;35,DO6+DN7-DW6,IF(A7&lt;'Données projet'!$A$166,$DL$205^A7,IF(A7='Données projet'!$A$166,'Données projet'!$B$166,DO6+DN7-DW6)))</f>
        <v>2.4862495702121006</v>
      </c>
      <c r="DP7" s="17">
        <f>DO7*VLOOKUP('Données projet'!$B$14,Paramètres!$A$1:$I$89,3,0)*VLOOKUP('Données projet'!$B$14,Paramètres!$A$1:$I$89,5,0)</f>
        <v>1.6677762116982771</v>
      </c>
      <c r="DQ7" s="13">
        <f t="shared" si="43"/>
        <v>0.72415744978451535</v>
      </c>
      <c r="DR7" s="20">
        <f t="shared" si="16"/>
        <v>4.16595112708253</v>
      </c>
      <c r="DS7" s="59">
        <f t="shared" si="17"/>
        <v>297.49928446041582</v>
      </c>
      <c r="DT7" s="59">
        <f ca="1">AVERAGE(OFFSET($DS$3,0,0,'Données projet'!$E$14+1,1))-AVERAGE(OFFSET($H$3,0,0,'Données projet'!$E$14+1,1))</f>
        <v>156.63226020379989</v>
      </c>
      <c r="DU7" s="59">
        <f t="shared" si="44"/>
        <v>196.0481096619543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2.9235042735042733</v>
      </c>
      <c r="EJ7" s="12">
        <f>IF('Données projet'!$A$192&gt;35,EJ6+EI7-ER6,IF(A7&lt;'Données projet'!$A$192,$EG$205^A7,IF(A7='Données projet'!$A$192,'Données projet'!$B$192,EJ6+EI7-ER6)))</f>
        <v>1.8158083060704666</v>
      </c>
      <c r="EK7" s="17">
        <f>EJ7*VLOOKUP('Données projet'!$B$15,Paramètres!$A$1:$I$89,3,0)*VLOOKUP('Données projet'!$B$15,Paramètres!$A$1:$I$89,5,0)</f>
        <v>1.9545360606542501</v>
      </c>
      <c r="EL7" s="13">
        <f t="shared" si="45"/>
        <v>0.83314053937620336</v>
      </c>
      <c r="EM7" s="20">
        <f t="shared" si="19"/>
        <v>4.8552034117197067</v>
      </c>
      <c r="EN7" s="59">
        <f t="shared" si="20"/>
        <v>298.188536745053</v>
      </c>
      <c r="EO7" s="59">
        <f ca="1">AVERAGE(OFFSET($EN$3,0,0,'Données projet'!$E$15+1,1))-AVERAGE(OFFSET($H$3,0,0,'Données projet'!$E$15+1,1))</f>
        <v>211.18501783767226</v>
      </c>
      <c r="EP7" s="59">
        <f t="shared" si="46"/>
        <v>147.98306963466246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3.44</v>
      </c>
      <c r="FE7" s="12">
        <f>IF('Données projet'!$A$218&gt;35,FE6+FD7-FM6,IF(A7&lt;'Données projet'!$A$218,$FB$205^A7,IF(A7='Données projet'!$A$218,'Données projet'!$B$218,FE6+FD7-FM6)))</f>
        <v>2.0394814153960352</v>
      </c>
      <c r="FF7" s="17">
        <f>FE7*VLOOKUP('Données projet'!$B$16,Paramètres!$A$1:$I$89,3,0)*VLOOKUP('Données projet'!$B$16,Paramètres!$A$1:$I$89,5,0)</f>
        <v>1.219609886406829</v>
      </c>
      <c r="FG7" s="13">
        <f t="shared" si="47"/>
        <v>0.54920803712059751</v>
      </c>
      <c r="FH7" s="20">
        <f t="shared" si="22"/>
        <v>3.0806912168102674</v>
      </c>
      <c r="FI7" s="59">
        <f t="shared" si="23"/>
        <v>296.41402455014361</v>
      </c>
      <c r="FJ7" s="59">
        <f ca="1">AVERAGE(OFFSET($FI$3,0,0,'Données projet'!$E$16+1,1))-AVERAGE(OFFSET($H$3,0,0,'Données projet'!$E$16+1,1))</f>
        <v>232.26937455765062</v>
      </c>
      <c r="FK7" s="59">
        <f t="shared" si="48"/>
        <v>115.80853281120301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4.75</v>
      </c>
      <c r="FZ7" s="12">
        <f>IF('Données projet'!$A$244&gt;35,FZ6+FY7-GH6,IF(A7&lt;'Données projet'!$A$244,$FW$205^A7,IF(A7='Données projet'!$A$244,'Données projet'!$B$244,FZ6+FY7-GH6)))</f>
        <v>2.4862495702121006</v>
      </c>
      <c r="GA7" s="17">
        <f>FZ7*VLOOKUP('Données projet'!$B$17,Paramètres!$A$1:$I$89,3,0)*VLOOKUP('Données projet'!$B$17,Paramètres!$A$1:$I$89,5,0)</f>
        <v>1.9780601580607473</v>
      </c>
      <c r="GB7" s="13">
        <f t="shared" si="49"/>
        <v>0.84199455516247157</v>
      </c>
      <c r="GC7" s="20">
        <f t="shared" si="25"/>
        <v>4.9115952921971058</v>
      </c>
      <c r="GD7" s="59">
        <f t="shared" si="26"/>
        <v>298.24492862553041</v>
      </c>
      <c r="GE7" s="59">
        <f ca="1">AVERAGE(OFFSET($GD$3,0,0,'Données projet'!$E$17+1,1))-AVERAGE(OFFSET($H$3,0,0,'Données projet'!$E$17+1,1))</f>
        <v>199.58763537752952</v>
      </c>
      <c r="GF7" s="59">
        <f t="shared" si="50"/>
        <v>242.62852778451929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2.9235042735042733</v>
      </c>
      <c r="N8" s="13">
        <f>IF('Données projet'!$A$36&gt;35,N7+M8-V7,IF(A8&lt;'Données projet'!$A$36,$K$205^A8,IF(A8='Données projet'!$A$36,'Données projet'!$B$36,N7+M8-V7)))</f>
        <v>2.1078393020416879</v>
      </c>
      <c r="O8" s="13">
        <f>N8*VLOOKUP('Données projet'!$B$9,Paramètres!$A$1:$I$89,3,0)*VLOOKUP('Données projet'!$B$9,Paramètres!$A$1:$I$89,5,0)</f>
        <v>1.9071730004873191</v>
      </c>
      <c r="P8" s="13">
        <f t="shared" si="33"/>
        <v>0.81527616985217366</v>
      </c>
      <c r="Q8" s="20">
        <f t="shared" si="2"/>
        <v>4.7415989716746161</v>
      </c>
      <c r="R8" s="59">
        <f t="shared" si="0"/>
        <v>298.07493230500791</v>
      </c>
      <c r="S8" s="59">
        <f ca="1">AVERAGE(OFFSET($R$3,0,0,'Données projet'!$E$9+1,1))-AVERAGE(OFFSET($H$3,0,0,'Données projet'!$E$9+1,1))</f>
        <v>153.45079678708987</v>
      </c>
      <c r="T8" s="59">
        <f t="shared" si="34"/>
        <v>115.4217868409637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2.1373490522702716</v>
      </c>
      <c r="AK8" s="13">
        <f t="shared" si="35"/>
        <v>0.90163344943134527</v>
      </c>
      <c r="AL8" s="20">
        <f t="shared" si="4"/>
        <v>5.2928945237969822</v>
      </c>
      <c r="AM8" s="59">
        <f t="shared" si="5"/>
        <v>298.62622785713029</v>
      </c>
      <c r="AN8" s="59">
        <f ca="1">AVERAGE(OFFSET($AM$3,0,0,'Données projet'!$E$10+1,1))-AVERAGE(OFFSET($H$3,0,0,'Données projet'!$E$10+1,1))</f>
        <v>190.21499310415584</v>
      </c>
      <c r="AO8" s="59">
        <f t="shared" si="36"/>
        <v>136.15730566500173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4.3499999999999996</v>
      </c>
      <c r="BD8" s="12">
        <f>IF('Données projet'!$A$88&gt;35,BD7+BC8-BL7,IF(A8&lt;'Données projet'!$A$88,$BA$205^A8,IF(A8='Données projet'!$A$88,'Données projet'!$B$88,BD7+BC8-BL7)))</f>
        <v>3.0540758099773502</v>
      </c>
      <c r="BE8" s="13">
        <f>BD8*VLOOKUP('Données projet'!$B$11,Paramètres!$A$1:$I$89,3,0)*VLOOKUP('Données projet'!$B$11,Paramètres!$A$1:$I$89,5,0)</f>
        <v>1.8263373343664557</v>
      </c>
      <c r="BF8" s="13">
        <f t="shared" si="37"/>
        <v>0.78466635980162813</v>
      </c>
      <c r="BG8" s="20">
        <f t="shared" si="7"/>
        <v>4.5474981006760791</v>
      </c>
      <c r="BH8" s="59">
        <f t="shared" si="8"/>
        <v>297.88083143400939</v>
      </c>
      <c r="BI8" s="59">
        <f ca="1">AVERAGE(OFFSET($BH$3,0,0,'Données projet'!$E$11+1,1))-AVERAGE(OFFSET($H$3,0,0,'Données projet'!$E$11+1,1))</f>
        <v>270.30888762640245</v>
      </c>
      <c r="BJ8" s="59">
        <f t="shared" si="38"/>
        <v>202.23783851977691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4.3499999999999996</v>
      </c>
      <c r="BY8" s="12">
        <f>IF('Données projet'!$A$114&gt;35,BY7+BX8-CG7,IF(A8&lt;'Données projet'!$A$114,$BV$205^A8,IF(A8='Données projet'!$A$114,'Données projet'!$B$114,BY7+BX8-CG7)))</f>
        <v>3.0540758099773502</v>
      </c>
      <c r="BZ8" s="13">
        <f>BY8*VLOOKUP('Données projet'!$B$12,Paramètres!$A$1:$I$89,3,0)*VLOOKUP('Données projet'!$B$12,Paramètres!$A$1:$I$89,5,0)</f>
        <v>1.8263373343664557</v>
      </c>
      <c r="CA8" s="13">
        <f t="shared" si="39"/>
        <v>0.78466635980162813</v>
      </c>
      <c r="CB8" s="20">
        <f t="shared" si="10"/>
        <v>4.5474981006760791</v>
      </c>
      <c r="CC8" s="59">
        <f t="shared" si="11"/>
        <v>297.88083143400939</v>
      </c>
      <c r="CD8" s="59">
        <f ca="1">AVERAGE(OFFSET($CC$3,0,0,'Données projet'!$E$12+1,1))-AVERAGE(OFFSET($H$3,0,0,'Données projet'!$E$12+1,1))</f>
        <v>270.30888762640245</v>
      </c>
      <c r="CE8" s="59">
        <f t="shared" si="40"/>
        <v>202.23783851977691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7.2264102564102561</v>
      </c>
      <c r="CT8" s="12">
        <f>IF('Données projet'!$A$140&gt;35,CT7+CS8-DB7,IF(A8&lt;'Données projet'!$A$140,$CQ$205^A8,IF(A8='Données projet'!$A$140,'Données projet'!$B$140,CT7+CS8-DB7)))</f>
        <v>2.4509849511252071</v>
      </c>
      <c r="CU8" s="17">
        <f>CT8*VLOOKUP('Données projet'!$B$13,Paramètres!$A$1:$I$89,3,0)*VLOOKUP('Données projet'!$B$13,Paramètres!$A$1:$I$89,5,0)</f>
        <v>1.1470609571265968</v>
      </c>
      <c r="CV8" s="13">
        <f t="shared" si="41"/>
        <v>0.52023874619045773</v>
      </c>
      <c r="CW8" s="20">
        <f t="shared" si="13"/>
        <v>2.9038803166105365</v>
      </c>
      <c r="CX8" s="59">
        <f t="shared" si="14"/>
        <v>296.23721364994384</v>
      </c>
      <c r="CY8" s="59">
        <f ca="1">AVERAGE(OFFSET($CX$3,0,0,'Données projet'!$E$13+1,1))-AVERAGE(OFFSET($H$3,0,0,'Données projet'!$E$13+1,1))</f>
        <v>158.58786357608489</v>
      </c>
      <c r="CZ8" s="59">
        <f t="shared" si="42"/>
        <v>163.20074068819849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4.75</v>
      </c>
      <c r="DO8" s="12">
        <f>IF('Données projet'!$A$166&gt;35,DO7+DN8-DW7,IF(A8&lt;'Données projet'!$A$166,$DL$205^A8,IF(A8='Données projet'!$A$166,'Données projet'!$B$166,DO7+DN8-DW7)))</f>
        <v>3.121985641352143</v>
      </c>
      <c r="DP8" s="17">
        <f>DO8*VLOOKUP('Données projet'!$B$14,Paramètres!$A$1:$I$89,3,0)*VLOOKUP('Données projet'!$B$14,Paramètres!$A$1:$I$89,5,0)</f>
        <v>2.0942279682190175</v>
      </c>
      <c r="DQ8" s="13">
        <f t="shared" si="43"/>
        <v>0.88554132252781281</v>
      </c>
      <c r="DR8" s="20">
        <f t="shared" si="16"/>
        <v>5.1897648480507295</v>
      </c>
      <c r="DS8" s="59">
        <f t="shared" si="17"/>
        <v>298.52309818138406</v>
      </c>
      <c r="DT8" s="59">
        <f ca="1">AVERAGE(OFFSET($DS$3,0,0,'Données projet'!$E$14+1,1))-AVERAGE(OFFSET($H$3,0,0,'Données projet'!$E$14+1,1))</f>
        <v>156.63226020379989</v>
      </c>
      <c r="DU8" s="59">
        <f t="shared" si="44"/>
        <v>196.0481096619543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2.9235042735042733</v>
      </c>
      <c r="EJ8" s="12">
        <f>IF('Données projet'!$A$192&gt;35,EJ7+EI8-ER7,IF(A8&lt;'Données projet'!$A$192,$EG$205^A8,IF(A8='Données projet'!$A$192,'Données projet'!$B$192,EJ7+EI8-ER7)))</f>
        <v>2.1078393020416879</v>
      </c>
      <c r="EK8" s="17">
        <f>EJ8*VLOOKUP('Données projet'!$B$15,Paramètres!$A$1:$I$89,3,0)*VLOOKUP('Données projet'!$B$15,Paramètres!$A$1:$I$89,5,0)</f>
        <v>2.2688782247176729</v>
      </c>
      <c r="EL8" s="13">
        <f t="shared" si="45"/>
        <v>0.95048841915039417</v>
      </c>
      <c r="EM8" s="20">
        <f t="shared" si="19"/>
        <v>5.6070635714035504</v>
      </c>
      <c r="EN8" s="59">
        <f t="shared" si="20"/>
        <v>298.94039690473687</v>
      </c>
      <c r="EO8" s="59">
        <f ca="1">AVERAGE(OFFSET($EN$3,0,0,'Données projet'!$E$15+1,1))-AVERAGE(OFFSET($H$3,0,0,'Données projet'!$E$15+1,1))</f>
        <v>211.18501783767226</v>
      </c>
      <c r="EP8" s="59">
        <f t="shared" si="46"/>
        <v>147.98306963466246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3.44</v>
      </c>
      <c r="FE8" s="12">
        <f>IF('Données projet'!$A$218&gt;35,FE7+FD8-FM7,IF(A8&lt;'Données projet'!$A$218,$FB$205^A8,IF(A8='Données projet'!$A$218,'Données projet'!$B$218,FE7+FD8-FM7)))</f>
        <v>2.4372478179882227</v>
      </c>
      <c r="FF8" s="17">
        <f>FE8*VLOOKUP('Données projet'!$B$16,Paramètres!$A$1:$I$89,3,0)*VLOOKUP('Données projet'!$B$16,Paramètres!$A$1:$I$89,5,0)</f>
        <v>1.4574741951569574</v>
      </c>
      <c r="FG8" s="13">
        <f t="shared" si="47"/>
        <v>0.64285022070841735</v>
      </c>
      <c r="FH8" s="20">
        <f t="shared" si="22"/>
        <v>3.6580650242988608</v>
      </c>
      <c r="FI8" s="59">
        <f t="shared" si="23"/>
        <v>296.99139835763219</v>
      </c>
      <c r="FJ8" s="59">
        <f ca="1">AVERAGE(OFFSET($FI$3,0,0,'Données projet'!$E$16+1,1))-AVERAGE(OFFSET($H$3,0,0,'Données projet'!$E$16+1,1))</f>
        <v>232.26937455765062</v>
      </c>
      <c r="FK8" s="59">
        <f t="shared" si="48"/>
        <v>115.80853281120301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4.75</v>
      </c>
      <c r="FZ8" s="12">
        <f>IF('Données projet'!$A$244&gt;35,FZ7+FY8-GH7,IF(A8&lt;'Données projet'!$A$244,$FW$205^A8,IF(A8='Données projet'!$A$244,'Données projet'!$B$244,FZ7+FY8-GH7)))</f>
        <v>3.121985641352143</v>
      </c>
      <c r="GA8" s="17">
        <f>FZ8*VLOOKUP('Données projet'!$B$17,Paramètres!$A$1:$I$89,3,0)*VLOOKUP('Données projet'!$B$17,Paramètres!$A$1:$I$89,5,0)</f>
        <v>2.4838517762597654</v>
      </c>
      <c r="GB8" s="13">
        <f t="shared" si="49"/>
        <v>1.0296393031124158</v>
      </c>
      <c r="GC8" s="20">
        <f t="shared" si="25"/>
        <v>6.1193302965732146</v>
      </c>
      <c r="GD8" s="59">
        <f t="shared" si="26"/>
        <v>299.45266362990651</v>
      </c>
      <c r="GE8" s="59">
        <f ca="1">AVERAGE(OFFSET($GD$3,0,0,'Données projet'!$E$17+1,1))-AVERAGE(OFFSET($H$3,0,0,'Données projet'!$E$17+1,1))</f>
        <v>199.58763537752952</v>
      </c>
      <c r="GF8" s="59">
        <f t="shared" si="50"/>
        <v>242.62852778451929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2.9235042735042733</v>
      </c>
      <c r="N9" s="13">
        <f>IF('Données projet'!$A$36&gt;35,N8+M9-V8,IF(A9&lt;'Données projet'!$A$36,$K$205^A9,IF(A9='Données projet'!$A$36,'Données projet'!$B$36,N8+M9-V8)))</f>
        <v>2.4468367659615553</v>
      </c>
      <c r="O9" s="13">
        <f>N9*VLOOKUP('Données projet'!$B$9,Paramètres!$A$1:$I$89,3,0)*VLOOKUP('Données projet'!$B$9,Paramètres!$A$1:$I$89,5,0)</f>
        <v>2.2138979058420154</v>
      </c>
      <c r="P9" s="13">
        <f t="shared" si="33"/>
        <v>0.93010785243265093</v>
      </c>
      <c r="Q9" s="20">
        <f t="shared" si="2"/>
        <v>5.4758100289950429</v>
      </c>
      <c r="R9" s="59">
        <f t="shared" si="0"/>
        <v>298.80914336232837</v>
      </c>
      <c r="S9" s="59">
        <f ca="1">AVERAGE(OFFSET($R$3,0,0,'Données projet'!$E$9+1,1))-AVERAGE(OFFSET($H$3,0,0,'Données projet'!$E$9+1,1))</f>
        <v>153.45079678708987</v>
      </c>
      <c r="T9" s="59">
        <f t="shared" si="34"/>
        <v>115.4217868409637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2.4810924806850174</v>
      </c>
      <c r="AK9" s="13">
        <f t="shared" si="35"/>
        <v>1.0286285584479797</v>
      </c>
      <c r="AL9" s="20">
        <f t="shared" si="4"/>
        <v>6.1127641431566362</v>
      </c>
      <c r="AM9" s="59">
        <f t="shared" si="5"/>
        <v>299.44609747648997</v>
      </c>
      <c r="AN9" s="59">
        <f ca="1">AVERAGE(OFFSET($AM$3,0,0,'Données projet'!$E$10+1,1))-AVERAGE(OFFSET($H$3,0,0,'Données projet'!$E$10+1,1))</f>
        <v>190.21499310415584</v>
      </c>
      <c r="AO9" s="59">
        <f t="shared" si="36"/>
        <v>136.15730566500173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4.3499999999999996</v>
      </c>
      <c r="BD9" s="12">
        <f>IF('Données projet'!$A$88&gt;35,BD8+BC9-BL8,IF(A9&lt;'Données projet'!$A$88,$BA$205^A9,IF(A9='Données projet'!$A$88,'Données projet'!$B$88,BD8+BC9-BL8)))</f>
        <v>3.8181745258867665</v>
      </c>
      <c r="BE9" s="13">
        <f>BD9*VLOOKUP('Données projet'!$B$11,Paramètres!$A$1:$I$89,3,0)*VLOOKUP('Données projet'!$B$11,Paramètres!$A$1:$I$89,5,0)</f>
        <v>2.2832683664802866</v>
      </c>
      <c r="BF9" s="13">
        <f t="shared" si="37"/>
        <v>0.95581313527995093</v>
      </c>
      <c r="BG9" s="20">
        <f t="shared" si="7"/>
        <v>5.6414002822324134</v>
      </c>
      <c r="BH9" s="59">
        <f t="shared" si="8"/>
        <v>298.97473361556575</v>
      </c>
      <c r="BI9" s="59">
        <f ca="1">AVERAGE(OFFSET($BH$3,0,0,'Données projet'!$E$11+1,1))-AVERAGE(OFFSET($H$3,0,0,'Données projet'!$E$11+1,1))</f>
        <v>270.30888762640245</v>
      </c>
      <c r="BJ9" s="59">
        <f t="shared" si="38"/>
        <v>202.23783851977691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4.3499999999999996</v>
      </c>
      <c r="BY9" s="12">
        <f>IF('Données projet'!$A$114&gt;35,BY8+BX9-CG8,IF(A9&lt;'Données projet'!$A$114,$BV$205^A9,IF(A9='Données projet'!$A$114,'Données projet'!$B$114,BY8+BX9-CG8)))</f>
        <v>3.8181745258867665</v>
      </c>
      <c r="BZ9" s="13">
        <f>BY9*VLOOKUP('Données projet'!$B$12,Paramètres!$A$1:$I$89,3,0)*VLOOKUP('Données projet'!$B$12,Paramètres!$A$1:$I$89,5,0)</f>
        <v>2.2832683664802866</v>
      </c>
      <c r="CA9" s="13">
        <f t="shared" si="39"/>
        <v>0.95581313527995093</v>
      </c>
      <c r="CB9" s="20">
        <f t="shared" si="10"/>
        <v>5.6414002822324134</v>
      </c>
      <c r="CC9" s="59">
        <f t="shared" si="11"/>
        <v>298.97473361556575</v>
      </c>
      <c r="CD9" s="59">
        <f ca="1">AVERAGE(OFFSET($CC$3,0,0,'Données projet'!$E$12+1,1))-AVERAGE(OFFSET($H$3,0,0,'Données projet'!$E$12+1,1))</f>
        <v>270.30888762640245</v>
      </c>
      <c r="CE9" s="59">
        <f t="shared" si="40"/>
        <v>202.23783851977691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7.2264102564102561</v>
      </c>
      <c r="CT9" s="12">
        <f>IF('Données projet'!$A$140&gt;35,CT8+CS9-DB8,IF(A9&lt;'Données projet'!$A$140,$CQ$205^A9,IF(A9='Données projet'!$A$140,'Données projet'!$B$140,CT8+CS9-DB8)))</f>
        <v>2.9323025204191722</v>
      </c>
      <c r="CU9" s="17">
        <f>CT9*VLOOKUP('Données projet'!$B$13,Paramètres!$A$1:$I$89,3,0)*VLOOKUP('Données projet'!$B$13,Paramètres!$A$1:$I$89,5,0)</f>
        <v>1.3723175795561726</v>
      </c>
      <c r="CV9" s="13">
        <f t="shared" si="41"/>
        <v>0.60954668407977464</v>
      </c>
      <c r="CW9" s="20">
        <f t="shared" si="13"/>
        <v>3.4517469258326074</v>
      </c>
      <c r="CX9" s="59">
        <f t="shared" si="14"/>
        <v>296.78508025916591</v>
      </c>
      <c r="CY9" s="59">
        <f ca="1">AVERAGE(OFFSET($CX$3,0,0,'Données projet'!$E$13+1,1))-AVERAGE(OFFSET($H$3,0,0,'Données projet'!$E$13+1,1))</f>
        <v>158.58786357608489</v>
      </c>
      <c r="CZ9" s="59">
        <f t="shared" si="42"/>
        <v>163.20074068819849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4.75</v>
      </c>
      <c r="DO9" s="12">
        <f>IF('Données projet'!$A$166&gt;35,DO8+DN9-DW8,IF(A9&lt;'Données projet'!$A$166,$DL$205^A9,IF(A9='Données projet'!$A$166,'Données projet'!$B$166,DO8+DN9-DW8)))</f>
        <v>3.920279951613006</v>
      </c>
      <c r="DP9" s="17">
        <f>DO9*VLOOKUP('Données projet'!$B$14,Paramètres!$A$1:$I$89,3,0)*VLOOKUP('Données projet'!$B$14,Paramètres!$A$1:$I$89,5,0)</f>
        <v>2.6297237915420046</v>
      </c>
      <c r="DQ9" s="13">
        <f t="shared" si="43"/>
        <v>1.0828907914123567</v>
      </c>
      <c r="DR9" s="20">
        <f t="shared" si="16"/>
        <v>6.4661370653121786</v>
      </c>
      <c r="DS9" s="59">
        <f t="shared" si="17"/>
        <v>299.7994703986455</v>
      </c>
      <c r="DT9" s="59">
        <f ca="1">AVERAGE(OFFSET($DS$3,0,0,'Données projet'!$E$14+1,1))-AVERAGE(OFFSET($H$3,0,0,'Données projet'!$E$14+1,1))</f>
        <v>156.63226020379989</v>
      </c>
      <c r="DU9" s="59">
        <f t="shared" si="44"/>
        <v>196.0481096619543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2.9235042735042733</v>
      </c>
      <c r="EJ9" s="12">
        <f>IF('Données projet'!$A$192&gt;35,EJ8+EI9-ER8,IF(A9&lt;'Données projet'!$A$192,$EG$205^A9,IF(A9='Données projet'!$A$192,'Données projet'!$B$192,EJ8+EI9-ER8)))</f>
        <v>2.4468367659615553</v>
      </c>
      <c r="EK9" s="17">
        <f>EJ9*VLOOKUP('Données projet'!$B$15,Paramètres!$A$1:$I$89,3,0)*VLOOKUP('Données projet'!$B$15,Paramètres!$A$1:$I$89,5,0)</f>
        <v>2.6337750948810181</v>
      </c>
      <c r="EL9" s="13">
        <f t="shared" si="45"/>
        <v>1.0843647526927913</v>
      </c>
      <c r="EM9" s="20">
        <f t="shared" si="19"/>
        <v>6.4757602345243841</v>
      </c>
      <c r="EN9" s="59">
        <f t="shared" si="20"/>
        <v>299.8090935678577</v>
      </c>
      <c r="EO9" s="59">
        <f ca="1">AVERAGE(OFFSET($EN$3,0,0,'Données projet'!$E$15+1,1))-AVERAGE(OFFSET($H$3,0,0,'Données projet'!$E$15+1,1))</f>
        <v>211.18501783767226</v>
      </c>
      <c r="EP9" s="59">
        <f t="shared" si="46"/>
        <v>147.98306963466246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3.44</v>
      </c>
      <c r="FE9" s="12">
        <f>IF('Données projet'!$A$218&gt;35,FE8+FD9-FM8,IF(A9&lt;'Données projet'!$A$218,$FB$205^A9,IF(A9='Données projet'!$A$218,'Données projet'!$B$218,FE8+FD9-FM8)))</f>
        <v>2.9125918390067129</v>
      </c>
      <c r="FF9" s="17">
        <f>FE9*VLOOKUP('Données projet'!$B$16,Paramètres!$A$1:$I$89,3,0)*VLOOKUP('Données projet'!$B$16,Paramètres!$A$1:$I$89,5,0)</f>
        <v>1.7417299197260145</v>
      </c>
      <c r="FG9" s="13">
        <f t="shared" si="47"/>
        <v>0.75245877396749772</v>
      </c>
      <c r="FH9" s="20">
        <f t="shared" si="22"/>
        <v>4.3440453081828672</v>
      </c>
      <c r="FI9" s="59">
        <f t="shared" si="23"/>
        <v>297.67737864151616</v>
      </c>
      <c r="FJ9" s="59">
        <f ca="1">AVERAGE(OFFSET($FI$3,0,0,'Données projet'!$E$16+1,1))-AVERAGE(OFFSET($H$3,0,0,'Données projet'!$E$16+1,1))</f>
        <v>232.26937455765062</v>
      </c>
      <c r="FK9" s="59">
        <f t="shared" si="48"/>
        <v>115.80853281120301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4.75</v>
      </c>
      <c r="FZ9" s="12">
        <f>IF('Données projet'!$A$244&gt;35,FZ8+FY9-GH8,IF(A9&lt;'Données projet'!$A$244,$FW$205^A9,IF(A9='Données projet'!$A$244,'Données projet'!$B$244,FZ8+FY9-GH8)))</f>
        <v>3.920279951613006</v>
      </c>
      <c r="GA9" s="17">
        <f>FZ9*VLOOKUP('Données projet'!$B$17,Paramètres!$A$1:$I$89,3,0)*VLOOKUP('Données projet'!$B$17,Paramètres!$A$1:$I$89,5,0)</f>
        <v>3.1189747295033077</v>
      </c>
      <c r="GB9" s="13">
        <f t="shared" si="49"/>
        <v>1.2591020785273992</v>
      </c>
      <c r="GC9" s="20">
        <f t="shared" si="25"/>
        <v>7.6251504406534805</v>
      </c>
      <c r="GD9" s="59">
        <f t="shared" si="26"/>
        <v>300.95848377398681</v>
      </c>
      <c r="GE9" s="59">
        <f ca="1">AVERAGE(OFFSET($GD$3,0,0,'Données projet'!$E$17+1,1))-AVERAGE(OFFSET($H$3,0,0,'Données projet'!$E$17+1,1))</f>
        <v>199.58763537752952</v>
      </c>
      <c r="GF9" s="59">
        <f t="shared" si="50"/>
        <v>242.62852778451929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2.9235042735042733</v>
      </c>
      <c r="N10" s="13">
        <f>IF('Données projet'!$A$36&gt;35,N9+M10-V9,IF(A10&lt;'Données projet'!$A$36,$K$205^A10,IF(A10='Données projet'!$A$36,'Données projet'!$B$36,N9+M10-V9)))</f>
        <v>2.8403541738035183</v>
      </c>
      <c r="O10" s="13">
        <f>N10*VLOOKUP('Données projet'!$B$9,Paramètres!$A$1:$I$89,3,0)*VLOOKUP('Données projet'!$B$9,Paramètres!$A$1:$I$89,5,0)</f>
        <v>2.5699524564574232</v>
      </c>
      <c r="P10" s="13">
        <f t="shared" si="33"/>
        <v>1.0611135823014897</v>
      </c>
      <c r="Q10" s="20">
        <f t="shared" si="2"/>
        <v>6.3241066841717739</v>
      </c>
      <c r="R10" s="59">
        <f t="shared" si="0"/>
        <v>299.65744001750511</v>
      </c>
      <c r="S10" s="59">
        <f ca="1">AVERAGE(OFFSET($R$3,0,0,'Données projet'!$E$9+1,1))-AVERAGE(OFFSET($H$3,0,0,'Données projet'!$E$9+1,1))</f>
        <v>153.45079678708987</v>
      </c>
      <c r="T10" s="59">
        <f t="shared" si="34"/>
        <v>115.4217868409637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2.8801191322367679</v>
      </c>
      <c r="AK10" s="13">
        <f t="shared" si="35"/>
        <v>1.1735109338746152</v>
      </c>
      <c r="AL10" s="20">
        <f t="shared" si="4"/>
        <v>7.0600723651439914</v>
      </c>
      <c r="AM10" s="59">
        <f t="shared" si="5"/>
        <v>300.3934056984773</v>
      </c>
      <c r="AN10" s="59">
        <f ca="1">AVERAGE(OFFSET($AM$3,0,0,'Données projet'!$E$10+1,1))-AVERAGE(OFFSET($H$3,0,0,'Données projet'!$E$10+1,1))</f>
        <v>190.21499310415584</v>
      </c>
      <c r="AO10" s="59">
        <f t="shared" si="36"/>
        <v>136.15730566500173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4.3499999999999996</v>
      </c>
      <c r="BD10" s="12">
        <f>IF('Données projet'!$A$88&gt;35,BD9+BC10-BL9,IF(A10&lt;'Données projet'!$A$88,$BA$205^A10,IF(A10='Données projet'!$A$88,'Données projet'!$B$88,BD9+BC10-BL9)))</f>
        <v>4.7734429716853528</v>
      </c>
      <c r="BE10" s="13">
        <f>BD10*VLOOKUP('Données projet'!$B$11,Paramètres!$A$1:$I$89,3,0)*VLOOKUP('Données projet'!$B$11,Paramètres!$A$1:$I$89,5,0)</f>
        <v>2.8545188970678415</v>
      </c>
      <c r="BF10" s="13">
        <f t="shared" si="37"/>
        <v>1.1642894309941516</v>
      </c>
      <c r="BG10" s="20">
        <f t="shared" si="7"/>
        <v>6.9994245047079717</v>
      </c>
      <c r="BH10" s="59">
        <f t="shared" si="8"/>
        <v>300.33275783804129</v>
      </c>
      <c r="BI10" s="59">
        <f ca="1">AVERAGE(OFFSET($BH$3,0,0,'Données projet'!$E$11+1,1))-AVERAGE(OFFSET($H$3,0,0,'Données projet'!$E$11+1,1))</f>
        <v>270.30888762640245</v>
      </c>
      <c r="BJ10" s="59">
        <f t="shared" si="38"/>
        <v>202.23783851977691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4.3499999999999996</v>
      </c>
      <c r="BY10" s="12">
        <f>IF('Données projet'!$A$114&gt;35,BY9+BX10-CG9,IF(A10&lt;'Données projet'!$A$114,$BV$205^A10,IF(A10='Données projet'!$A$114,'Données projet'!$B$114,BY9+BX10-CG9)))</f>
        <v>4.7734429716853528</v>
      </c>
      <c r="BZ10" s="13">
        <f>BY10*VLOOKUP('Données projet'!$B$12,Paramètres!$A$1:$I$89,3,0)*VLOOKUP('Données projet'!$B$12,Paramètres!$A$1:$I$89,5,0)</f>
        <v>2.8545188970678415</v>
      </c>
      <c r="CA10" s="13">
        <f t="shared" si="39"/>
        <v>1.1642894309941516</v>
      </c>
      <c r="CB10" s="20">
        <f t="shared" si="10"/>
        <v>6.9994245047079717</v>
      </c>
      <c r="CC10" s="59">
        <f t="shared" si="11"/>
        <v>300.33275783804129</v>
      </c>
      <c r="CD10" s="59">
        <f ca="1">AVERAGE(OFFSET($CC$3,0,0,'Données projet'!$E$12+1,1))-AVERAGE(OFFSET($H$3,0,0,'Données projet'!$E$12+1,1))</f>
        <v>270.30888762640245</v>
      </c>
      <c r="CE10" s="59">
        <f t="shared" si="40"/>
        <v>202.23783851977691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7.2264102564102561</v>
      </c>
      <c r="CT10" s="12">
        <f>IF('Données projet'!$A$140&gt;35,CT9+CS10-DB9,IF(A10&lt;'Données projet'!$A$140,$CQ$205^A10,IF(A10='Données projet'!$A$140,'Données projet'!$B$140,CT9+CS10-DB9)))</f>
        <v>3.5081398877252363</v>
      </c>
      <c r="CU10" s="17">
        <f>CT10*VLOOKUP('Données projet'!$B$13,Paramètres!$A$1:$I$89,3,0)*VLOOKUP('Données projet'!$B$13,Paramètres!$A$1:$I$89,5,0)</f>
        <v>1.6418094674554107</v>
      </c>
      <c r="CV10" s="13">
        <f t="shared" si="41"/>
        <v>0.71418586714920729</v>
      </c>
      <c r="CW10" s="20">
        <f t="shared" si="13"/>
        <v>4.1033585411030424</v>
      </c>
      <c r="CX10" s="59">
        <f t="shared" si="14"/>
        <v>297.43669187443635</v>
      </c>
      <c r="CY10" s="59">
        <f ca="1">AVERAGE(OFFSET($CX$3,0,0,'Données projet'!$E$13+1,1))-AVERAGE(OFFSET($H$3,0,0,'Données projet'!$E$13+1,1))</f>
        <v>158.58786357608489</v>
      </c>
      <c r="CZ10" s="59">
        <f t="shared" si="42"/>
        <v>163.20074068819849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4.75</v>
      </c>
      <c r="DO10" s="12">
        <f>IF('Données projet'!$A$166&gt;35,DO9+DN10-DW9,IF(A10&lt;'Données projet'!$A$166,$DL$205^A10,IF(A10='Données projet'!$A$166,'Données projet'!$B$166,DO9+DN10-DW9)))</f>
        <v>4.9226987771675601</v>
      </c>
      <c r="DP10" s="17">
        <f>DO10*VLOOKUP('Données projet'!$B$14,Paramètres!$A$1:$I$89,3,0)*VLOOKUP('Données projet'!$B$14,Paramètres!$A$1:$I$89,5,0)</f>
        <v>3.3021463397239992</v>
      </c>
      <c r="DQ10" s="13">
        <f t="shared" si="43"/>
        <v>1.3242210569895227</v>
      </c>
      <c r="DR10" s="20">
        <f t="shared" si="16"/>
        <v>8.057589882609383</v>
      </c>
      <c r="DS10" s="59">
        <f t="shared" si="17"/>
        <v>301.39092321594268</v>
      </c>
      <c r="DT10" s="59">
        <f ca="1">AVERAGE(OFFSET($DS$3,0,0,'Données projet'!$E$14+1,1))-AVERAGE(OFFSET($H$3,0,0,'Données projet'!$E$14+1,1))</f>
        <v>156.63226020379989</v>
      </c>
      <c r="DU10" s="59">
        <f t="shared" si="44"/>
        <v>196.0481096619543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2.9235042735042733</v>
      </c>
      <c r="EJ10" s="12">
        <f>IF('Données projet'!$A$192&gt;35,EJ9+EI10-ER9,IF(A10&lt;'Données projet'!$A$192,$EG$205^A10,IF(A10='Données projet'!$A$192,'Données projet'!$B$192,EJ9+EI10-ER9)))</f>
        <v>2.8403541738035183</v>
      </c>
      <c r="EK10" s="17">
        <f>EJ10*VLOOKUP('Données projet'!$B$15,Paramètres!$A$1:$I$89,3,0)*VLOOKUP('Données projet'!$B$15,Paramètres!$A$1:$I$89,5,0)</f>
        <v>3.057357232682107</v>
      </c>
      <c r="EL10" s="13">
        <f t="shared" si="45"/>
        <v>1.237097573407095</v>
      </c>
      <c r="EM10" s="20">
        <f t="shared" si="19"/>
        <v>7.4795087872720272</v>
      </c>
      <c r="EN10" s="59">
        <f t="shared" si="20"/>
        <v>300.81284212060535</v>
      </c>
      <c r="EO10" s="59">
        <f ca="1">AVERAGE(OFFSET($EN$3,0,0,'Données projet'!$E$15+1,1))-AVERAGE(OFFSET($H$3,0,0,'Données projet'!$E$15+1,1))</f>
        <v>211.18501783767226</v>
      </c>
      <c r="EP10" s="59">
        <f t="shared" si="46"/>
        <v>147.98306963466246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3.44</v>
      </c>
      <c r="FE10" s="12">
        <f>IF('Données projet'!$A$218&gt;35,FE9+FD10-FM9,IF(A10&lt;'Données projet'!$A$218,$FB$205^A10,IF(A10='Données projet'!$A$218,'Données projet'!$B$218,FE9+FD10-FM9)))</f>
        <v>3.4806436826152485</v>
      </c>
      <c r="FF10" s="17">
        <f>FE10*VLOOKUP('Données projet'!$B$16,Paramètres!$A$1:$I$89,3,0)*VLOOKUP('Données projet'!$B$16,Paramètres!$A$1:$I$89,5,0)</f>
        <v>2.0814249222039187</v>
      </c>
      <c r="FG10" s="13">
        <f t="shared" si="47"/>
        <v>0.8807560272698155</v>
      </c>
      <c r="FH10" s="20">
        <f t="shared" si="22"/>
        <v>5.1591318203334202</v>
      </c>
      <c r="FI10" s="59">
        <f t="shared" si="23"/>
        <v>298.49246515366673</v>
      </c>
      <c r="FJ10" s="59">
        <f ca="1">AVERAGE(OFFSET($FI$3,0,0,'Données projet'!$E$16+1,1))-AVERAGE(OFFSET($H$3,0,0,'Données projet'!$E$16+1,1))</f>
        <v>232.26937455765062</v>
      </c>
      <c r="FK10" s="59">
        <f t="shared" si="48"/>
        <v>115.80853281120301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4.75</v>
      </c>
      <c r="FZ10" s="12">
        <f>IF('Données projet'!$A$244&gt;35,FZ9+FY10-GH9,IF(A10&lt;'Données projet'!$A$244,$FW$205^A10,IF(A10='Données projet'!$A$244,'Données projet'!$B$244,FZ9+FY10-GH9)))</f>
        <v>4.9226987771675601</v>
      </c>
      <c r="GA10" s="17">
        <f>FZ10*VLOOKUP('Données projet'!$B$17,Paramètres!$A$1:$I$89,3,0)*VLOOKUP('Données projet'!$B$17,Paramètres!$A$1:$I$89,5,0)</f>
        <v>3.9164991471145107</v>
      </c>
      <c r="GB10" s="13">
        <f t="shared" si="49"/>
        <v>1.5397023397997951</v>
      </c>
      <c r="GC10" s="20">
        <f t="shared" si="25"/>
        <v>9.5028842563757507</v>
      </c>
      <c r="GD10" s="59">
        <f t="shared" si="26"/>
        <v>302.83621758970907</v>
      </c>
      <c r="GE10" s="59">
        <f ca="1">AVERAGE(OFFSET($GD$3,0,0,'Données projet'!$E$17+1,1))-AVERAGE(OFFSET($H$3,0,0,'Données projet'!$E$17+1,1))</f>
        <v>199.58763537752952</v>
      </c>
      <c r="GF10" s="59">
        <f t="shared" si="50"/>
        <v>242.62852778451929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2.9235042735042733</v>
      </c>
      <c r="N11" s="13">
        <f>IF('Données projet'!$A$36&gt;35,N10+M11-V10,IF(A11&lt;'Données projet'!$A$36,$K$205^A11,IF(A11='Données projet'!$A$36,'Données projet'!$B$36,N10+M11-V10)))</f>
        <v>3.2971598043944974</v>
      </c>
      <c r="O11" s="13">
        <f>N11*VLOOKUP('Données projet'!$B$9,Paramètres!$A$1:$I$89,3,0)*VLOOKUP('Données projet'!$B$9,Paramètres!$A$1:$I$89,5,0)</f>
        <v>2.9832701910161412</v>
      </c>
      <c r="P11" s="13">
        <f t="shared" si="33"/>
        <v>1.2105714746948997</v>
      </c>
      <c r="Q11" s="20">
        <f t="shared" si="2"/>
        <v>7.3042742344467291</v>
      </c>
      <c r="R11" s="59">
        <f t="shared" si="0"/>
        <v>300.63760756778004</v>
      </c>
      <c r="S11" s="59">
        <f ca="1">AVERAGE(OFFSET($R$3,0,0,'Données projet'!$E$9+1,1))-AVERAGE(OFFSET($H$3,0,0,'Données projet'!$E$9+1,1))</f>
        <v>153.45079678708987</v>
      </c>
      <c r="T11" s="59">
        <f t="shared" si="34"/>
        <v>115.4217868409637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3.3433200416560207</v>
      </c>
      <c r="AK11" s="13">
        <f t="shared" si="35"/>
        <v>1.3387999979323115</v>
      </c>
      <c r="AL11" s="20">
        <f t="shared" si="4"/>
        <v>8.1546924022830094</v>
      </c>
      <c r="AM11" s="59">
        <f t="shared" si="5"/>
        <v>301.4880257356163</v>
      </c>
      <c r="AN11" s="59">
        <f ca="1">AVERAGE(OFFSET($AM$3,0,0,'Données projet'!$E$10+1,1))-AVERAGE(OFFSET($H$3,0,0,'Données projet'!$E$10+1,1))</f>
        <v>190.21499310415584</v>
      </c>
      <c r="AO11" s="59">
        <f t="shared" si="36"/>
        <v>136.15730566500173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4.3499999999999996</v>
      </c>
      <c r="BD11" s="12">
        <f>IF('Données projet'!$A$88&gt;35,BD10+BC11-BL10,IF(A11&lt;'Données projet'!$A$88,$BA$205^A11,IF(A11='Données projet'!$A$88,'Données projet'!$B$88,BD10+BC11-BL10)))</f>
        <v>5.9677098701087603</v>
      </c>
      <c r="BE11" s="13">
        <f>BD11*VLOOKUP('Données projet'!$B$11,Paramètres!$A$1:$I$89,3,0)*VLOOKUP('Données projet'!$B$11,Paramètres!$A$1:$I$89,5,0)</f>
        <v>3.5686905023250386</v>
      </c>
      <c r="BF11" s="13">
        <f t="shared" si="37"/>
        <v>1.4182373406363031</v>
      </c>
      <c r="BG11" s="20">
        <f t="shared" si="7"/>
        <v>8.6855659931576685</v>
      </c>
      <c r="BH11" s="59">
        <f t="shared" si="8"/>
        <v>302.01889932649101</v>
      </c>
      <c r="BI11" s="59">
        <f ca="1">AVERAGE(OFFSET($BH$3,0,0,'Données projet'!$E$11+1,1))-AVERAGE(OFFSET($H$3,0,0,'Données projet'!$E$11+1,1))</f>
        <v>270.30888762640245</v>
      </c>
      <c r="BJ11" s="59">
        <f t="shared" si="38"/>
        <v>202.23783851977691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4.3499999999999996</v>
      </c>
      <c r="BY11" s="12">
        <f>IF('Données projet'!$A$114&gt;35,BY10+BX11-CG10,IF(A11&lt;'Données projet'!$A$114,$BV$205^A11,IF(A11='Données projet'!$A$114,'Données projet'!$B$114,BY10+BX11-CG10)))</f>
        <v>5.9677098701087603</v>
      </c>
      <c r="BZ11" s="13">
        <f>BY11*VLOOKUP('Données projet'!$B$12,Paramètres!$A$1:$I$89,3,0)*VLOOKUP('Données projet'!$B$12,Paramètres!$A$1:$I$89,5,0)</f>
        <v>3.5686905023250386</v>
      </c>
      <c r="CA11" s="13">
        <f t="shared" si="39"/>
        <v>1.4182373406363031</v>
      </c>
      <c r="CB11" s="20">
        <f t="shared" si="10"/>
        <v>8.6855659931576685</v>
      </c>
      <c r="CC11" s="59">
        <f t="shared" si="11"/>
        <v>302.01889932649101</v>
      </c>
      <c r="CD11" s="59">
        <f ca="1">AVERAGE(OFFSET($CC$3,0,0,'Données projet'!$E$12+1,1))-AVERAGE(OFFSET($H$3,0,0,'Données projet'!$E$12+1,1))</f>
        <v>270.30888762640245</v>
      </c>
      <c r="CE11" s="59">
        <f t="shared" si="40"/>
        <v>202.23783851977691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7.2264102564102561</v>
      </c>
      <c r="CT11" s="12">
        <f>IF('Données projet'!$A$140&gt;35,CT10+CS11-DB10,IF(A11&lt;'Données projet'!$A$140,$CQ$205^A11,IF(A11='Données projet'!$A$140,'Données projet'!$B$140,CT10+CS11-DB10)))</f>
        <v>4.1970585866050225</v>
      </c>
      <c r="CU11" s="17">
        <f>CT11*VLOOKUP('Données projet'!$B$13,Paramètres!$A$1:$I$89,3,0)*VLOOKUP('Données projet'!$B$13,Paramètres!$A$1:$I$89,5,0)</f>
        <v>1.9642234185311505</v>
      </c>
      <c r="CV11" s="13">
        <f t="shared" si="41"/>
        <v>0.83678816759654573</v>
      </c>
      <c r="CW11" s="20">
        <f t="shared" si="13"/>
        <v>4.8784285125057369</v>
      </c>
      <c r="CX11" s="59">
        <f t="shared" si="14"/>
        <v>298.21176184583908</v>
      </c>
      <c r="CY11" s="59">
        <f ca="1">AVERAGE(OFFSET($CX$3,0,0,'Données projet'!$E$13+1,1))-AVERAGE(OFFSET($H$3,0,0,'Données projet'!$E$13+1,1))</f>
        <v>158.58786357608489</v>
      </c>
      <c r="CZ11" s="59">
        <f t="shared" si="42"/>
        <v>163.20074068819849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4.75</v>
      </c>
      <c r="DO11" s="12">
        <f>IF('Données projet'!$A$166&gt;35,DO10+DN11-DW10,IF(A11&lt;'Données projet'!$A$166,$DL$205^A11,IF(A11='Données projet'!$A$166,'Données projet'!$B$166,DO10+DN11-DW10)))</f>
        <v>6.1814369253798551</v>
      </c>
      <c r="DP11" s="17">
        <f>DO11*VLOOKUP('Données projet'!$B$14,Paramètres!$A$1:$I$89,3,0)*VLOOKUP('Données projet'!$B$14,Paramètres!$A$1:$I$89,5,0)</f>
        <v>4.1465078895448073</v>
      </c>
      <c r="DQ11" s="13">
        <f t="shared" si="43"/>
        <v>1.6193335668570716</v>
      </c>
      <c r="DR11" s="20">
        <f t="shared" si="16"/>
        <v>10.042173869899939</v>
      </c>
      <c r="DS11" s="59">
        <f t="shared" si="17"/>
        <v>303.37550720323327</v>
      </c>
      <c r="DT11" s="59">
        <f ca="1">AVERAGE(OFFSET($DS$3,0,0,'Données projet'!$E$14+1,1))-AVERAGE(OFFSET($H$3,0,0,'Données projet'!$E$14+1,1))</f>
        <v>156.63226020379989</v>
      </c>
      <c r="DU11" s="59">
        <f t="shared" si="44"/>
        <v>196.0481096619543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2.9235042735042733</v>
      </c>
      <c r="EJ11" s="12">
        <f>IF('Données projet'!$A$192&gt;35,EJ10+EI11-ER10,IF(A11&lt;'Données projet'!$A$192,$EG$205^A11,IF(A11='Données projet'!$A$192,'Données projet'!$B$192,EJ10+EI11-ER10)))</f>
        <v>3.2971598043944974</v>
      </c>
      <c r="EK11" s="17">
        <f>EJ11*VLOOKUP('Données projet'!$B$15,Paramètres!$A$1:$I$89,3,0)*VLOOKUP('Données projet'!$B$15,Paramètres!$A$1:$I$89,5,0)</f>
        <v>3.5490628134502367</v>
      </c>
      <c r="EL11" s="13">
        <f t="shared" si="45"/>
        <v>1.4113428182991663</v>
      </c>
      <c r="EM11" s="20">
        <f t="shared" si="19"/>
        <v>8.639373141963544</v>
      </c>
      <c r="EN11" s="59">
        <f t="shared" si="20"/>
        <v>301.97270647529683</v>
      </c>
      <c r="EO11" s="59">
        <f ca="1">AVERAGE(OFFSET($EN$3,0,0,'Données projet'!$E$15+1,1))-AVERAGE(OFFSET($H$3,0,0,'Données projet'!$E$15+1,1))</f>
        <v>211.18501783767226</v>
      </c>
      <c r="EP11" s="59">
        <f t="shared" si="46"/>
        <v>147.98306963466246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3.44</v>
      </c>
      <c r="FE11" s="12">
        <f>IF('Données projet'!$A$218&gt;35,FE10+FD11-FM10,IF(A11&lt;'Données projet'!$A$218,$FB$205^A11,IF(A11='Données projet'!$A$218,'Données projet'!$B$218,FE10+FD11-FM10)))</f>
        <v>4.1594844437458152</v>
      </c>
      <c r="FF11" s="17">
        <f>FE11*VLOOKUP('Données projet'!$B$16,Paramètres!$A$1:$I$89,3,0)*VLOOKUP('Données projet'!$B$16,Paramètres!$A$1:$I$89,5,0)</f>
        <v>2.4873716973599977</v>
      </c>
      <c r="FG11" s="13">
        <f t="shared" si="47"/>
        <v>1.0309284792865152</v>
      </c>
      <c r="FH11" s="20">
        <f t="shared" si="22"/>
        <v>6.1277061409926761</v>
      </c>
      <c r="FI11" s="59">
        <f t="shared" si="23"/>
        <v>299.46103947432601</v>
      </c>
      <c r="FJ11" s="59">
        <f ca="1">AVERAGE(OFFSET($FI$3,0,0,'Données projet'!$E$16+1,1))-AVERAGE(OFFSET($H$3,0,0,'Données projet'!$E$16+1,1))</f>
        <v>232.26937455765062</v>
      </c>
      <c r="FK11" s="59">
        <f t="shared" si="48"/>
        <v>115.80853281120301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4.75</v>
      </c>
      <c r="FZ11" s="12">
        <f>IF('Données projet'!$A$244&gt;35,FZ10+FY11-GH10,IF(A11&lt;'Données projet'!$A$244,$FW$205^A11,IF(A11='Données projet'!$A$244,'Données projet'!$B$244,FZ10+FY11-GH10)))</f>
        <v>6.1814369253798551</v>
      </c>
      <c r="GA11" s="17">
        <f>FZ11*VLOOKUP('Données projet'!$B$17,Paramètres!$A$1:$I$89,3,0)*VLOOKUP('Données projet'!$B$17,Paramètres!$A$1:$I$89,5,0)</f>
        <v>4.9179512178322131</v>
      </c>
      <c r="GB11" s="13">
        <f t="shared" si="49"/>
        <v>1.8828364559270923</v>
      </c>
      <c r="GC11" s="20">
        <f t="shared" si="25"/>
        <v>11.844705198464125</v>
      </c>
      <c r="GD11" s="59">
        <f t="shared" si="26"/>
        <v>305.17803853179743</v>
      </c>
      <c r="GE11" s="59">
        <f ca="1">AVERAGE(OFFSET($GD$3,0,0,'Données projet'!$E$17+1,1))-AVERAGE(OFFSET($H$3,0,0,'Données projet'!$E$17+1,1))</f>
        <v>199.58763537752952</v>
      </c>
      <c r="GF11" s="59">
        <f t="shared" si="50"/>
        <v>242.62852778451929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2.9235042735042733</v>
      </c>
      <c r="N12" s="13">
        <f>IF('Données projet'!$A$36&gt;35,N11+M12-V11,IF(A12&lt;'Données projet'!$A$36,$K$205^A12,IF(A12='Données projet'!$A$36,'Données projet'!$B$36,N11+M12-V11)))</f>
        <v>3.8274321125090722</v>
      </c>
      <c r="O12" s="13">
        <f>N12*VLOOKUP('Données projet'!$B$9,Paramètres!$A$1:$I$89,3,0)*VLOOKUP('Données projet'!$B$9,Paramètres!$A$1:$I$89,5,0)</f>
        <v>3.4630605753982087</v>
      </c>
      <c r="P12" s="13">
        <f t="shared" si="33"/>
        <v>1.3810805174752749</v>
      </c>
      <c r="Q12" s="20">
        <f t="shared" si="2"/>
        <v>8.4368790700879845</v>
      </c>
      <c r="R12" s="59">
        <f t="shared" si="0"/>
        <v>301.77021240342128</v>
      </c>
      <c r="S12" s="59">
        <f ca="1">AVERAGE(OFFSET($R$3,0,0,'Données projet'!$E$9+1,1))-AVERAGE(OFFSET($H$3,0,0,'Données projet'!$E$9+1,1))</f>
        <v>153.45079678708987</v>
      </c>
      <c r="T12" s="59">
        <f t="shared" si="34"/>
        <v>115.4217868409637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3.8810161620841996</v>
      </c>
      <c r="AK12" s="13">
        <f t="shared" si="35"/>
        <v>1.5273700335672085</v>
      </c>
      <c r="AL12" s="20">
        <f t="shared" si="4"/>
        <v>9.4196059574262012</v>
      </c>
      <c r="AM12" s="59">
        <f t="shared" si="5"/>
        <v>302.75293929075951</v>
      </c>
      <c r="AN12" s="59">
        <f ca="1">AVERAGE(OFFSET($AM$3,0,0,'Données projet'!$E$10+1,1))-AVERAGE(OFFSET($H$3,0,0,'Données projet'!$E$10+1,1))</f>
        <v>190.21499310415584</v>
      </c>
      <c r="AO12" s="59">
        <f t="shared" si="36"/>
        <v>136.15730566500173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4.3499999999999996</v>
      </c>
      <c r="BD12" s="12">
        <f>IF('Données projet'!$A$88&gt;35,BD11+BC12-BL11,IF(A12&lt;'Données projet'!$A$88,$BA$205^A12,IF(A12='Données projet'!$A$88,'Données projet'!$B$88,BD11+BC12-BL11)))</f>
        <v>7.4607702040314701</v>
      </c>
      <c r="BE12" s="13">
        <f>BD12*VLOOKUP('Données projet'!$B$11,Paramètres!$A$1:$I$89,3,0)*VLOOKUP('Données projet'!$B$11,Paramètres!$A$1:$I$89,5,0)</f>
        <v>4.4615405820108194</v>
      </c>
      <c r="BF12" s="13">
        <f t="shared" si="37"/>
        <v>1.7275748631142889</v>
      </c>
      <c r="BG12" s="20">
        <f t="shared" si="7"/>
        <v>10.779376066926231</v>
      </c>
      <c r="BH12" s="59">
        <f t="shared" si="8"/>
        <v>304.11270940025952</v>
      </c>
      <c r="BI12" s="59">
        <f ca="1">AVERAGE(OFFSET($BH$3,0,0,'Données projet'!$E$11+1,1))-AVERAGE(OFFSET($H$3,0,0,'Données projet'!$E$11+1,1))</f>
        <v>270.30888762640245</v>
      </c>
      <c r="BJ12" s="59">
        <f t="shared" si="38"/>
        <v>202.23783851977691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4.3499999999999996</v>
      </c>
      <c r="BY12" s="12">
        <f>IF('Données projet'!$A$114&gt;35,BY11+BX12-CG11,IF(A12&lt;'Données projet'!$A$114,$BV$205^A12,IF(A12='Données projet'!$A$114,'Données projet'!$B$114,BY11+BX12-CG11)))</f>
        <v>7.4607702040314701</v>
      </c>
      <c r="BZ12" s="13">
        <f>BY12*VLOOKUP('Données projet'!$B$12,Paramètres!$A$1:$I$89,3,0)*VLOOKUP('Données projet'!$B$12,Paramètres!$A$1:$I$89,5,0)</f>
        <v>4.4615405820108194</v>
      </c>
      <c r="CA12" s="13">
        <f t="shared" si="39"/>
        <v>1.7275748631142889</v>
      </c>
      <c r="CB12" s="20">
        <f t="shared" si="10"/>
        <v>10.779376066926231</v>
      </c>
      <c r="CC12" s="59">
        <f t="shared" si="11"/>
        <v>304.11270940025952</v>
      </c>
      <c r="CD12" s="59">
        <f ca="1">AVERAGE(OFFSET($CC$3,0,0,'Données projet'!$E$12+1,1))-AVERAGE(OFFSET($H$3,0,0,'Données projet'!$E$12+1,1))</f>
        <v>270.30888762640245</v>
      </c>
      <c r="CE12" s="59">
        <f t="shared" si="40"/>
        <v>202.23783851977691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7.2264102564102561</v>
      </c>
      <c r="CT12" s="12">
        <f>IF('Données projet'!$A$140&gt;35,CT11+CS12-DB11,IF(A12&lt;'Données projet'!$A$140,$CQ$205^A12,IF(A12='Données projet'!$A$140,'Données projet'!$B$140,CT11+CS12-DB11)))</f>
        <v>5.0212652126643498</v>
      </c>
      <c r="CU12" s="17">
        <f>CT12*VLOOKUP('Données projet'!$B$13,Paramètres!$A$1:$I$89,3,0)*VLOOKUP('Données projet'!$B$13,Paramètres!$A$1:$I$89,5,0)</f>
        <v>2.349952119526916</v>
      </c>
      <c r="CV12" s="13">
        <f t="shared" si="41"/>
        <v>0.98043726379605944</v>
      </c>
      <c r="CW12" s="20">
        <f t="shared" si="13"/>
        <v>5.8004281759541811</v>
      </c>
      <c r="CX12" s="59">
        <f t="shared" si="14"/>
        <v>299.13376150928752</v>
      </c>
      <c r="CY12" s="59">
        <f ca="1">AVERAGE(OFFSET($CX$3,0,0,'Données projet'!$E$13+1,1))-AVERAGE(OFFSET($H$3,0,0,'Données projet'!$E$13+1,1))</f>
        <v>158.58786357608489</v>
      </c>
      <c r="CZ12" s="59">
        <f t="shared" si="42"/>
        <v>163.20074068819849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4.75</v>
      </c>
      <c r="DO12" s="12">
        <f>IF('Données projet'!$A$166&gt;35,DO11+DN12-DW11,IF(A12&lt;'Données projet'!$A$166,$DL$205^A12,IF(A12='Données projet'!$A$166,'Données projet'!$B$166,DO11+DN12-DW11)))</f>
        <v>7.7620354590201153</v>
      </c>
      <c r="DP12" s="17">
        <f>DO12*VLOOKUP('Données projet'!$B$14,Paramètres!$A$1:$I$89,3,0)*VLOOKUP('Données projet'!$B$14,Paramètres!$A$1:$I$89,5,0)</f>
        <v>5.2067733859106937</v>
      </c>
      <c r="DQ12" s="13">
        <f t="shared" si="43"/>
        <v>1.980214094096522</v>
      </c>
      <c r="DR12" s="20">
        <f t="shared" si="16"/>
        <v>12.517336527679234</v>
      </c>
      <c r="DS12" s="59">
        <f t="shared" si="17"/>
        <v>305.85066986101253</v>
      </c>
      <c r="DT12" s="59">
        <f ca="1">AVERAGE(OFFSET($DS$3,0,0,'Données projet'!$E$14+1,1))-AVERAGE(OFFSET($H$3,0,0,'Données projet'!$E$14+1,1))</f>
        <v>156.63226020379989</v>
      </c>
      <c r="DU12" s="59">
        <f t="shared" si="44"/>
        <v>196.0481096619543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2.9235042735042733</v>
      </c>
      <c r="EJ12" s="12">
        <f>IF('Données projet'!$A$192&gt;35,EJ11+EI12-ER11,IF(A12&lt;'Données projet'!$A$192,$EG$205^A12,IF(A12='Données projet'!$A$192,'Données projet'!$B$192,EJ11+EI12-ER11)))</f>
        <v>3.8274321125090722</v>
      </c>
      <c r="EK12" s="17">
        <f>EJ12*VLOOKUP('Données projet'!$B$15,Paramètres!$A$1:$I$89,3,0)*VLOOKUP('Données projet'!$B$15,Paramètres!$A$1:$I$89,5,0)</f>
        <v>4.1198479259047653</v>
      </c>
      <c r="EL12" s="13">
        <f t="shared" si="45"/>
        <v>1.6101305132130899</v>
      </c>
      <c r="EM12" s="20">
        <f t="shared" si="19"/>
        <v>9.9797124481302628</v>
      </c>
      <c r="EN12" s="59">
        <f t="shared" si="20"/>
        <v>303.31304578146359</v>
      </c>
      <c r="EO12" s="59">
        <f ca="1">AVERAGE(OFFSET($EN$3,0,0,'Données projet'!$E$15+1,1))-AVERAGE(OFFSET($H$3,0,0,'Données projet'!$E$15+1,1))</f>
        <v>211.18501783767226</v>
      </c>
      <c r="EP12" s="59">
        <f t="shared" si="46"/>
        <v>147.98306963466246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3.44</v>
      </c>
      <c r="FE12" s="12">
        <f>IF('Données projet'!$A$218&gt;35,FE11+FD12-FM11,IF(A12&lt;'Données projet'!$A$218,$FB$205^A12,IF(A12='Données projet'!$A$218,'Données projet'!$B$218,FE11+FD12-FM11)))</f>
        <v>4.9707216295015186</v>
      </c>
      <c r="FF12" s="17">
        <f>FE12*VLOOKUP('Données projet'!$B$16,Paramètres!$A$1:$I$89,3,0)*VLOOKUP('Données projet'!$B$16,Paramètres!$A$1:$I$89,5,0)</f>
        <v>2.9724915344419083</v>
      </c>
      <c r="FG12" s="13">
        <f t="shared" si="47"/>
        <v>1.2067059395534727</v>
      </c>
      <c r="FH12" s="20">
        <f t="shared" si="22"/>
        <v>7.2787689338752886</v>
      </c>
      <c r="FI12" s="59">
        <f t="shared" si="23"/>
        <v>300.61210226720863</v>
      </c>
      <c r="FJ12" s="59">
        <f ca="1">AVERAGE(OFFSET($FI$3,0,0,'Données projet'!$E$16+1,1))-AVERAGE(OFFSET($H$3,0,0,'Données projet'!$E$16+1,1))</f>
        <v>232.26937455765062</v>
      </c>
      <c r="FK12" s="59">
        <f t="shared" si="48"/>
        <v>115.80853281120301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4.75</v>
      </c>
      <c r="FZ12" s="12">
        <f>IF('Données projet'!$A$244&gt;35,FZ11+FY12-GH11,IF(A12&lt;'Données projet'!$A$244,$FW$205^A12,IF(A12='Données projet'!$A$244,'Données projet'!$B$244,FZ11+FY12-GH11)))</f>
        <v>7.7620354590201153</v>
      </c>
      <c r="GA12" s="17">
        <f>FZ12*VLOOKUP('Données projet'!$B$17,Paramètres!$A$1:$I$89,3,0)*VLOOKUP('Données projet'!$B$17,Paramètres!$A$1:$I$89,5,0)</f>
        <v>6.1754754111964036</v>
      </c>
      <c r="GB12" s="13">
        <f t="shared" si="49"/>
        <v>2.3024405614847958</v>
      </c>
      <c r="GC12" s="20">
        <f t="shared" si="25"/>
        <v>14.765703652419754</v>
      </c>
      <c r="GD12" s="59">
        <f t="shared" si="26"/>
        <v>308.09903698575306</v>
      </c>
      <c r="GE12" s="59">
        <f ca="1">AVERAGE(OFFSET($GD$3,0,0,'Données projet'!$E$17+1,1))-AVERAGE(OFFSET($H$3,0,0,'Données projet'!$E$17+1,1))</f>
        <v>199.58763537752952</v>
      </c>
      <c r="GF12" s="59">
        <f t="shared" si="50"/>
        <v>242.62852778451929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2.9235042735042733</v>
      </c>
      <c r="N13" s="13">
        <f>IF('Données projet'!$A$36&gt;35,N12+M13-V12,IF(A13&lt;'Données projet'!$A$36,$K$205^A13,IF(A13='Données projet'!$A$36,'Données projet'!$B$36,N12+M13-V12)))</f>
        <v>4.4429865232315908</v>
      </c>
      <c r="O13" s="13">
        <f>N13*VLOOKUP('Données projet'!$B$9,Paramètres!$A$1:$I$89,3,0)*VLOOKUP('Données projet'!$B$9,Paramètres!$A$1:$I$89,5,0)</f>
        <v>4.0200142062199431</v>
      </c>
      <c r="P13" s="13">
        <f t="shared" si="33"/>
        <v>1.5756057660539962</v>
      </c>
      <c r="Q13" s="20">
        <f t="shared" si="2"/>
        <v>9.7457047850437757</v>
      </c>
      <c r="R13" s="59">
        <f t="shared" si="0"/>
        <v>303.07903811837707</v>
      </c>
      <c r="S13" s="59">
        <f ca="1">AVERAGE(OFFSET($R$3,0,0,'Données projet'!$E$9+1,1))-AVERAGE(OFFSET($H$3,0,0,'Données projet'!$E$9+1,1))</f>
        <v>153.45079678708987</v>
      </c>
      <c r="T13" s="59">
        <f t="shared" si="34"/>
        <v>115.4217868409637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4.5051883345568333</v>
      </c>
      <c r="AK13" s="13">
        <f t="shared" si="35"/>
        <v>1.7425001665984783</v>
      </c>
      <c r="AL13" s="20">
        <f t="shared" si="4"/>
        <v>10.881390806178834</v>
      </c>
      <c r="AM13" s="59">
        <f t="shared" si="5"/>
        <v>304.21472413951216</v>
      </c>
      <c r="AN13" s="59">
        <f ca="1">AVERAGE(OFFSET($AM$3,0,0,'Données projet'!$E$10+1,1))-AVERAGE(OFFSET($H$3,0,0,'Données projet'!$E$10+1,1))</f>
        <v>190.21499310415584</v>
      </c>
      <c r="AO13" s="59">
        <f t="shared" si="36"/>
        <v>136.15730566500173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4.3499999999999996</v>
      </c>
      <c r="BD13" s="12">
        <f>IF('Données projet'!$A$88&gt;35,BD12+BC13-BL12,IF(A13&lt;'Données projet'!$A$88,$BA$205^A13,IF(A13='Données projet'!$A$88,'Données projet'!$B$88,BD12+BC13-BL12)))</f>
        <v>9.3273790530888085</v>
      </c>
      <c r="BE13" s="13">
        <f>BD13*VLOOKUP('Données projet'!$B$11,Paramètres!$A$1:$I$89,3,0)*VLOOKUP('Données projet'!$B$11,Paramètres!$A$1:$I$89,5,0)</f>
        <v>5.5777726737471083</v>
      </c>
      <c r="BF13" s="13">
        <f t="shared" si="37"/>
        <v>2.1043832524712172</v>
      </c>
      <c r="BG13" s="20">
        <f t="shared" si="7"/>
        <v>13.379754904830248</v>
      </c>
      <c r="BH13" s="59">
        <f t="shared" si="8"/>
        <v>306.71308823816355</v>
      </c>
      <c r="BI13" s="59">
        <f ca="1">AVERAGE(OFFSET($BH$3,0,0,'Données projet'!$E$11+1,1))-AVERAGE(OFFSET($H$3,0,0,'Données projet'!$E$11+1,1))</f>
        <v>270.30888762640245</v>
      </c>
      <c r="BJ13" s="59">
        <f t="shared" si="38"/>
        <v>202.23783851977691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4.3499999999999996</v>
      </c>
      <c r="BY13" s="12">
        <f>IF('Données projet'!$A$114&gt;35,BY12+BX13-CG12,IF(A13&lt;'Données projet'!$A$114,$BV$205^A13,IF(A13='Données projet'!$A$114,'Données projet'!$B$114,BY12+BX13-CG12)))</f>
        <v>9.3273790530888085</v>
      </c>
      <c r="BZ13" s="13">
        <f>BY13*VLOOKUP('Données projet'!$B$12,Paramètres!$A$1:$I$89,3,0)*VLOOKUP('Données projet'!$B$12,Paramètres!$A$1:$I$89,5,0)</f>
        <v>5.5777726737471083</v>
      </c>
      <c r="CA13" s="13">
        <f t="shared" si="39"/>
        <v>2.1043832524712172</v>
      </c>
      <c r="CB13" s="20">
        <f t="shared" si="10"/>
        <v>13.379754904830248</v>
      </c>
      <c r="CC13" s="59">
        <f t="shared" si="11"/>
        <v>306.71308823816355</v>
      </c>
      <c r="CD13" s="59">
        <f ca="1">AVERAGE(OFFSET($CC$3,0,0,'Données projet'!$E$12+1,1))-AVERAGE(OFFSET($H$3,0,0,'Données projet'!$E$12+1,1))</f>
        <v>270.30888762640245</v>
      </c>
      <c r="CE13" s="59">
        <f t="shared" si="40"/>
        <v>202.23783851977691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7.2264102564102561</v>
      </c>
      <c r="CT13" s="12">
        <f>IF('Données projet'!$A$140&gt;35,CT12+CS13-DB12,IF(A13&lt;'Données projet'!$A$140,$CQ$205^A13,IF(A13='Données projet'!$A$140,'Données projet'!$B$140,CT12+CS13-DB12)))</f>
        <v>6.0073272306422343</v>
      </c>
      <c r="CU13" s="17">
        <f>CT13*VLOOKUP('Données projet'!$B$13,Paramètres!$A$1:$I$89,3,0)*VLOOKUP('Données projet'!$B$13,Paramètres!$A$1:$I$89,5,0)</f>
        <v>2.8114291439405656</v>
      </c>
      <c r="CV13" s="13">
        <f t="shared" si="41"/>
        <v>1.1487462006075717</v>
      </c>
      <c r="CW13" s="20">
        <f t="shared" si="13"/>
        <v>6.8973053917546716</v>
      </c>
      <c r="CX13" s="59">
        <f t="shared" si="14"/>
        <v>300.230638725088</v>
      </c>
      <c r="CY13" s="59">
        <f ca="1">AVERAGE(OFFSET($CX$3,0,0,'Données projet'!$E$13+1,1))-AVERAGE(OFFSET($H$3,0,0,'Données projet'!$E$13+1,1))</f>
        <v>158.58786357608489</v>
      </c>
      <c r="CZ13" s="59">
        <f t="shared" si="42"/>
        <v>163.20074068819849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4.75</v>
      </c>
      <c r="DO13" s="12">
        <f>IF('Données projet'!$A$166&gt;35,DO12+DN13-DW12,IF(A13&lt;'Données projet'!$A$166,$DL$205^A13,IF(A13='Données projet'!$A$166,'Données projet'!$B$166,DO12+DN13-DW12)))</f>
        <v>9.7467943448089507</v>
      </c>
      <c r="DP13" s="17">
        <f>DO13*VLOOKUP('Données projet'!$B$14,Paramètres!$A$1:$I$89,3,0)*VLOOKUP('Données projet'!$B$14,Paramètres!$A$1:$I$89,5,0)</f>
        <v>6.5381496464978444</v>
      </c>
      <c r="DQ13" s="13">
        <f t="shared" si="43"/>
        <v>2.4215195304505239</v>
      </c>
      <c r="DR13" s="20">
        <f t="shared" si="16"/>
        <v>15.604757149851741</v>
      </c>
      <c r="DS13" s="59">
        <f t="shared" si="17"/>
        <v>308.93809048318508</v>
      </c>
      <c r="DT13" s="59">
        <f ca="1">AVERAGE(OFFSET($DS$3,0,0,'Données projet'!$E$14+1,1))-AVERAGE(OFFSET($H$3,0,0,'Données projet'!$E$14+1,1))</f>
        <v>156.63226020379989</v>
      </c>
      <c r="DU13" s="59">
        <f t="shared" si="44"/>
        <v>196.0481096619543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2.9235042735042733</v>
      </c>
      <c r="EJ13" s="12">
        <f>IF('Données projet'!$A$192&gt;35,EJ12+EI13-ER12,IF(A13&lt;'Données projet'!$A$192,$EG$205^A13,IF(A13='Données projet'!$A$192,'Données projet'!$B$192,EJ12+EI13-ER12)))</f>
        <v>4.4429865232315908</v>
      </c>
      <c r="EK13" s="17">
        <f>EJ13*VLOOKUP('Données projet'!$B$15,Paramètres!$A$1:$I$89,3,0)*VLOOKUP('Données projet'!$B$15,Paramètres!$A$1:$I$89,5,0)</f>
        <v>4.782430693606484</v>
      </c>
      <c r="EL13" s="13">
        <f t="shared" si="45"/>
        <v>1.836917463259663</v>
      </c>
      <c r="EM13" s="20">
        <f t="shared" si="19"/>
        <v>11.528698039875204</v>
      </c>
      <c r="EN13" s="59">
        <f t="shared" si="20"/>
        <v>304.86203137320854</v>
      </c>
      <c r="EO13" s="59">
        <f ca="1">AVERAGE(OFFSET($EN$3,0,0,'Données projet'!$E$15+1,1))-AVERAGE(OFFSET($H$3,0,0,'Données projet'!$E$15+1,1))</f>
        <v>211.18501783767226</v>
      </c>
      <c r="EP13" s="59">
        <f t="shared" si="46"/>
        <v>147.98306963466246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3.44</v>
      </c>
      <c r="FE13" s="12">
        <f>IF('Données projet'!$A$218&gt;35,FE12+FD13-FM12,IF(A13&lt;'Données projet'!$A$218,$FB$205^A13,IF(A13='Données projet'!$A$218,'Données projet'!$B$218,FE12+FD13-FM12)))</f>
        <v>5.9401769262883519</v>
      </c>
      <c r="FF13" s="17">
        <f>FE13*VLOOKUP('Données projet'!$B$16,Paramètres!$A$1:$I$89,3,0)*VLOOKUP('Données projet'!$B$16,Paramètres!$A$1:$I$89,5,0)</f>
        <v>3.5522258019204345</v>
      </c>
      <c r="FG13" s="13">
        <f t="shared" si="47"/>
        <v>1.4124541651632263</v>
      </c>
      <c r="FH13" s="20">
        <f t="shared" si="22"/>
        <v>8.6468176093373756</v>
      </c>
      <c r="FI13" s="59">
        <f t="shared" si="23"/>
        <v>301.98015094267066</v>
      </c>
      <c r="FJ13" s="59">
        <f ca="1">AVERAGE(OFFSET($FI$3,0,0,'Données projet'!$E$16+1,1))-AVERAGE(OFFSET($H$3,0,0,'Données projet'!$E$16+1,1))</f>
        <v>232.26937455765062</v>
      </c>
      <c r="FK13" s="59">
        <f t="shared" si="48"/>
        <v>115.80853281120301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4.75</v>
      </c>
      <c r="FZ13" s="12">
        <f>IF('Données projet'!$A$244&gt;35,FZ12+FY13-GH12,IF(A13&lt;'Données projet'!$A$244,$FW$205^A13,IF(A13='Données projet'!$A$244,'Données projet'!$B$244,FZ12+FY13-GH12)))</f>
        <v>9.7467943448089507</v>
      </c>
      <c r="GA13" s="17">
        <f>FZ13*VLOOKUP('Données projet'!$B$17,Paramètres!$A$1:$I$89,3,0)*VLOOKUP('Données projet'!$B$17,Paramètres!$A$1:$I$89,5,0)</f>
        <v>7.7545495807300009</v>
      </c>
      <c r="GB13" s="13">
        <f t="shared" si="49"/>
        <v>2.815556562271968</v>
      </c>
      <c r="GC13" s="20">
        <f t="shared" si="25"/>
        <v>18.409601532395097</v>
      </c>
      <c r="GD13" s="59">
        <f t="shared" si="26"/>
        <v>311.74293486572839</v>
      </c>
      <c r="GE13" s="59">
        <f ca="1">AVERAGE(OFFSET($GD$3,0,0,'Données projet'!$E$17+1,1))-AVERAGE(OFFSET($H$3,0,0,'Données projet'!$E$17+1,1))</f>
        <v>199.58763537752952</v>
      </c>
      <c r="GF13" s="59">
        <f t="shared" si="50"/>
        <v>242.62852778451929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2.9235042735042733</v>
      </c>
      <c r="N14" s="13">
        <f>IF('Données projet'!$A$36&gt;35,N13+M14-V13,IF(A14&lt;'Données projet'!$A$36,$K$205^A14,IF(A14='Données projet'!$A$36,'Données projet'!$B$36,N13+M14-V13)))</f>
        <v>5.1575387009743459</v>
      </c>
      <c r="O14" s="13">
        <f>N14*VLOOKUP('Données projet'!$B$9,Paramètres!$A$1:$I$89,3,0)*VLOOKUP('Données projet'!$B$9,Paramètres!$A$1:$I$89,5,0)</f>
        <v>4.6665410166415882</v>
      </c>
      <c r="P14" s="13">
        <f t="shared" si="33"/>
        <v>1.7975299040209971</v>
      </c>
      <c r="Q14" s="20">
        <f t="shared" si="2"/>
        <v>11.258256853487337</v>
      </c>
      <c r="R14" s="59">
        <f t="shared" si="0"/>
        <v>304.59159018682067</v>
      </c>
      <c r="S14" s="59">
        <f ca="1">AVERAGE(OFFSET($R$3,0,0,'Données projet'!$E$9+1,1))-AVERAGE(OFFSET($H$3,0,0,'Données projet'!$E$9+1,1))</f>
        <v>153.45079678708987</v>
      </c>
      <c r="T14" s="59">
        <f t="shared" si="34"/>
        <v>115.4217868409637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5.2297442427879863</v>
      </c>
      <c r="AK14" s="13">
        <f t="shared" si="35"/>
        <v>1.9879313878539038</v>
      </c>
      <c r="AL14" s="20">
        <f t="shared" si="4"/>
        <v>12.570785056701292</v>
      </c>
      <c r="AM14" s="59">
        <f t="shared" si="5"/>
        <v>305.90411839003463</v>
      </c>
      <c r="AN14" s="59">
        <f ca="1">AVERAGE(OFFSET($AM$3,0,0,'Données projet'!$E$10+1,1))-AVERAGE(OFFSET($H$3,0,0,'Données projet'!$E$10+1,1))</f>
        <v>190.21499310415584</v>
      </c>
      <c r="AO14" s="59">
        <f t="shared" si="36"/>
        <v>136.15730566500173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4.3499999999999996</v>
      </c>
      <c r="BD14" s="12">
        <f>IF('Données projet'!$A$88&gt;35,BD13+BC14-BL13,IF(A14&lt;'Données projet'!$A$88,$BA$205^A14,IF(A14='Données projet'!$A$88,'Données projet'!$B$88,BD13+BC14-BL13)))</f>
        <v>11.660994457782511</v>
      </c>
      <c r="BE14" s="13">
        <f>BD14*VLOOKUP('Données projet'!$B$11,Paramètres!$A$1:$I$89,3,0)*VLOOKUP('Données projet'!$B$11,Paramètres!$A$1:$I$89,5,0)</f>
        <v>6.9732746857539425</v>
      </c>
      <c r="BF14" s="13">
        <f t="shared" si="37"/>
        <v>2.563378854273346</v>
      </c>
      <c r="BG14" s="20">
        <f t="shared" si="7"/>
        <v>16.609671582214194</v>
      </c>
      <c r="BH14" s="59">
        <f t="shared" si="8"/>
        <v>309.94300491554753</v>
      </c>
      <c r="BI14" s="59">
        <f ca="1">AVERAGE(OFFSET($BH$3,0,0,'Données projet'!$E$11+1,1))-AVERAGE(OFFSET($H$3,0,0,'Données projet'!$E$11+1,1))</f>
        <v>270.30888762640245</v>
      </c>
      <c r="BJ14" s="59">
        <f t="shared" si="38"/>
        <v>202.23783851977691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4.3499999999999996</v>
      </c>
      <c r="BY14" s="12">
        <f>IF('Données projet'!$A$114&gt;35,BY13+BX14-CG13,IF(A14&lt;'Données projet'!$A$114,$BV$205^A14,IF(A14='Données projet'!$A$114,'Données projet'!$B$114,BY13+BX14-CG13)))</f>
        <v>11.660994457782511</v>
      </c>
      <c r="BZ14" s="13">
        <f>BY14*VLOOKUP('Données projet'!$B$12,Paramètres!$A$1:$I$89,3,0)*VLOOKUP('Données projet'!$B$12,Paramètres!$A$1:$I$89,5,0)</f>
        <v>6.9732746857539425</v>
      </c>
      <c r="CA14" s="13">
        <f t="shared" si="39"/>
        <v>2.563378854273346</v>
      </c>
      <c r="CB14" s="20">
        <f t="shared" si="10"/>
        <v>16.609671582214194</v>
      </c>
      <c r="CC14" s="59">
        <f t="shared" si="11"/>
        <v>309.94300491554753</v>
      </c>
      <c r="CD14" s="59">
        <f ca="1">AVERAGE(OFFSET($CC$3,0,0,'Données projet'!$E$12+1,1))-AVERAGE(OFFSET($H$3,0,0,'Données projet'!$E$12+1,1))</f>
        <v>270.30888762640245</v>
      </c>
      <c r="CE14" s="59">
        <f t="shared" si="40"/>
        <v>202.23783851977691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7.2264102564102561</v>
      </c>
      <c r="CT14" s="12">
        <f>IF('Données projet'!$A$140&gt;35,CT13+CS14-DB13,IF(A14&lt;'Données projet'!$A$140,$CQ$205^A14,IF(A14='Données projet'!$A$140,'Données projet'!$B$140,CT13+CS14-DB13)))</f>
        <v>7.1870293496939057</v>
      </c>
      <c r="CU14" s="17">
        <f>CT14*VLOOKUP('Données projet'!$B$13,Paramètres!$A$1:$I$89,3,0)*VLOOKUP('Données projet'!$B$13,Paramètres!$A$1:$I$89,5,0)</f>
        <v>3.3635297356567477</v>
      </c>
      <c r="CV14" s="13">
        <f t="shared" si="41"/>
        <v>1.3459482642479659</v>
      </c>
      <c r="CW14" s="20">
        <f t="shared" si="13"/>
        <v>8.2023408498340427</v>
      </c>
      <c r="CX14" s="59">
        <f t="shared" si="14"/>
        <v>301.53567418316737</v>
      </c>
      <c r="CY14" s="59">
        <f ca="1">AVERAGE(OFFSET($CX$3,0,0,'Données projet'!$E$13+1,1))-AVERAGE(OFFSET($H$3,0,0,'Données projet'!$E$13+1,1))</f>
        <v>158.58786357608489</v>
      </c>
      <c r="CZ14" s="59">
        <f t="shared" si="42"/>
        <v>163.20074068819849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4.75</v>
      </c>
      <c r="DO14" s="12">
        <f>IF('Données projet'!$A$166&gt;35,DO13+DN14-DW13,IF(A14&lt;'Données projet'!$A$166,$DL$205^A14,IF(A14='Données projet'!$A$166,'Données projet'!$B$166,DO13+DN14-DW13)))</f>
        <v>12.239057719016479</v>
      </c>
      <c r="DP14" s="17">
        <f>DO14*VLOOKUP('Données projet'!$B$14,Paramètres!$A$1:$I$89,3,0)*VLOOKUP('Données projet'!$B$14,Paramètres!$A$1:$I$89,5,0)</f>
        <v>8.2099599179162546</v>
      </c>
      <c r="DQ14" s="13">
        <f t="shared" si="43"/>
        <v>2.9611731649797601</v>
      </c>
      <c r="DR14" s="20">
        <f t="shared" si="16"/>
        <v>19.456390119377222</v>
      </c>
      <c r="DS14" s="59">
        <f t="shared" si="17"/>
        <v>312.78972345271052</v>
      </c>
      <c r="DT14" s="59">
        <f ca="1">AVERAGE(OFFSET($DS$3,0,0,'Données projet'!$E$14+1,1))-AVERAGE(OFFSET($H$3,0,0,'Données projet'!$E$14+1,1))</f>
        <v>156.63226020379989</v>
      </c>
      <c r="DU14" s="59">
        <f t="shared" si="44"/>
        <v>196.0481096619543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2.9235042735042733</v>
      </c>
      <c r="EJ14" s="12">
        <f>IF('Données projet'!$A$192&gt;35,EJ13+EI14-ER13,IF(A14&lt;'Données projet'!$A$192,$EG$205^A14,IF(A14='Données projet'!$A$192,'Données projet'!$B$192,EJ13+EI14-ER13)))</f>
        <v>5.1575387009743459</v>
      </c>
      <c r="EK14" s="17">
        <f>EJ14*VLOOKUP('Données projet'!$B$15,Paramètres!$A$1:$I$89,3,0)*VLOOKUP('Données projet'!$B$15,Paramètres!$A$1:$I$89,5,0)</f>
        <v>5.5515746577287857</v>
      </c>
      <c r="EL14" s="13">
        <f t="shared" si="45"/>
        <v>2.0956473646939413</v>
      </c>
      <c r="EM14" s="20">
        <f t="shared" si="19"/>
        <v>13.318911689052916</v>
      </c>
      <c r="EN14" s="59">
        <f t="shared" si="20"/>
        <v>306.65224502238624</v>
      </c>
      <c r="EO14" s="59">
        <f ca="1">AVERAGE(OFFSET($EN$3,0,0,'Données projet'!$E$15+1,1))-AVERAGE(OFFSET($H$3,0,0,'Données projet'!$E$15+1,1))</f>
        <v>211.18501783767226</v>
      </c>
      <c r="EP14" s="59">
        <f t="shared" si="46"/>
        <v>147.98306963466246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3.44</v>
      </c>
      <c r="FE14" s="12">
        <f>IF('Données projet'!$A$218&gt;35,FE13+FD14-FM13,IF(A14&lt;'Données projet'!$A$218,$FB$205^A14,IF(A14='Données projet'!$A$218,'Données projet'!$B$218,FE13+FD14-FM13)))</f>
        <v>7.0987081043094156</v>
      </c>
      <c r="FF14" s="17">
        <f>FE14*VLOOKUP('Données projet'!$B$16,Paramètres!$A$1:$I$89,3,0)*VLOOKUP('Données projet'!$B$16,Paramètres!$A$1:$I$89,5,0)</f>
        <v>4.2450274463770308</v>
      </c>
      <c r="FG14" s="13">
        <f t="shared" si="47"/>
        <v>1.6532832923861991</v>
      </c>
      <c r="FH14" s="20">
        <f t="shared" si="22"/>
        <v>10.272891203345958</v>
      </c>
      <c r="FI14" s="59">
        <f t="shared" si="23"/>
        <v>303.60622453667929</v>
      </c>
      <c r="FJ14" s="59">
        <f ca="1">AVERAGE(OFFSET($FI$3,0,0,'Données projet'!$E$16+1,1))-AVERAGE(OFFSET($H$3,0,0,'Données projet'!$E$16+1,1))</f>
        <v>232.26937455765062</v>
      </c>
      <c r="FK14" s="59">
        <f t="shared" si="48"/>
        <v>115.80853281120301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4.75</v>
      </c>
      <c r="FZ14" s="12">
        <f>IF('Données projet'!$A$244&gt;35,FZ13+FY14-GH13,IF(A14&lt;'Données projet'!$A$244,$FW$205^A14,IF(A14='Données projet'!$A$244,'Données projet'!$B$244,FZ13+FY14-GH13)))</f>
        <v>12.239057719016479</v>
      </c>
      <c r="GA14" s="17">
        <f>FZ14*VLOOKUP('Données projet'!$B$17,Paramètres!$A$1:$I$89,3,0)*VLOOKUP('Données projet'!$B$17,Paramètres!$A$1:$I$89,5,0)</f>
        <v>9.7373943212495124</v>
      </c>
      <c r="GB14" s="13">
        <f t="shared" si="49"/>
        <v>3.4430242795238799</v>
      </c>
      <c r="GC14" s="20">
        <f t="shared" si="25"/>
        <v>22.955895729680325</v>
      </c>
      <c r="GD14" s="59">
        <f t="shared" si="26"/>
        <v>316.28922906301364</v>
      </c>
      <c r="GE14" s="59">
        <f ca="1">AVERAGE(OFFSET($GD$3,0,0,'Données projet'!$E$17+1,1))-AVERAGE(OFFSET($H$3,0,0,'Données projet'!$E$17+1,1))</f>
        <v>199.58763537752952</v>
      </c>
      <c r="GF14" s="59">
        <f t="shared" si="50"/>
        <v>242.62852778451929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2.9235042735042733</v>
      </c>
      <c r="N15" s="13">
        <f>IF('Données projet'!$A$36&gt;35,N14+M15-V14,IF(A15&lt;'Données projet'!$A$36,$K$205^A15,IF(A15='Données projet'!$A$36,'Données projet'!$B$36,N14+M15-V14)))</f>
        <v>5.9870101592612031</v>
      </c>
      <c r="O15" s="13">
        <f>N15*VLOOKUP('Données projet'!$B$9,Paramètres!$A$1:$I$89,3,0)*VLOOKUP('Données projet'!$B$9,Paramètres!$A$1:$I$89,5,0)</f>
        <v>5.4170467920995362</v>
      </c>
      <c r="P15" s="13">
        <f t="shared" si="33"/>
        <v>2.05071206609116</v>
      </c>
      <c r="Q15" s="20">
        <f t="shared" si="2"/>
        <v>13.006346678015461</v>
      </c>
      <c r="R15" s="59">
        <f t="shared" si="0"/>
        <v>306.33968001134878</v>
      </c>
      <c r="S15" s="59">
        <f ca="1">AVERAGE(OFFSET($R$3,0,0,'Données projet'!$E$9+1,1))-AVERAGE(OFFSET($H$3,0,0,'Données projet'!$E$9+1,1))</f>
        <v>153.45079678708987</v>
      </c>
      <c r="T15" s="59">
        <f t="shared" si="34"/>
        <v>115.4217868409637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6.0708283014908604</v>
      </c>
      <c r="AK15" s="13">
        <f t="shared" si="35"/>
        <v>2.2679316068756354</v>
      </c>
      <c r="AL15" s="20">
        <f t="shared" si="4"/>
        <v>14.523340173738314</v>
      </c>
      <c r="AM15" s="59">
        <f t="shared" si="5"/>
        <v>307.8566735070716</v>
      </c>
      <c r="AN15" s="59">
        <f ca="1">AVERAGE(OFFSET($AM$3,0,0,'Données projet'!$E$10+1,1))-AVERAGE(OFFSET($H$3,0,0,'Données projet'!$E$10+1,1))</f>
        <v>190.21499310415584</v>
      </c>
      <c r="AO15" s="59">
        <f t="shared" si="36"/>
        <v>136.15730566500173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4.3499999999999996</v>
      </c>
      <c r="BD15" s="12">
        <f>IF('Données projet'!$A$88&gt;35,BD14+BC15-BL14,IF(A15&lt;'Données projet'!$A$88,$BA$205^A15,IF(A15='Données projet'!$A$88,'Données projet'!$B$88,BD14+BC15-BL14)))</f>
        <v>14.578456710130634</v>
      </c>
      <c r="BE15" s="13">
        <f>BD15*VLOOKUP('Données projet'!$B$11,Paramètres!$A$1:$I$89,3,0)*VLOOKUP('Données projet'!$B$11,Paramètres!$A$1:$I$89,5,0)</f>
        <v>8.7179171126581192</v>
      </c>
      <c r="BF15" s="13">
        <f t="shared" si="37"/>
        <v>3.1224878561542369</v>
      </c>
      <c r="BG15" s="20">
        <f t="shared" si="7"/>
        <v>20.622038654014851</v>
      </c>
      <c r="BH15" s="59">
        <f t="shared" si="8"/>
        <v>313.95537198734814</v>
      </c>
      <c r="BI15" s="59">
        <f ca="1">AVERAGE(OFFSET($BH$3,0,0,'Données projet'!$E$11+1,1))-AVERAGE(OFFSET($H$3,0,0,'Données projet'!$E$11+1,1))</f>
        <v>270.30888762640245</v>
      </c>
      <c r="BJ15" s="59">
        <f t="shared" si="38"/>
        <v>202.23783851977691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4.3499999999999996</v>
      </c>
      <c r="BY15" s="12">
        <f>IF('Données projet'!$A$114&gt;35,BY14+BX15-CG14,IF(A15&lt;'Données projet'!$A$114,$BV$205^A15,IF(A15='Données projet'!$A$114,'Données projet'!$B$114,BY14+BX15-CG14)))</f>
        <v>14.578456710130634</v>
      </c>
      <c r="BZ15" s="13">
        <f>BY15*VLOOKUP('Données projet'!$B$12,Paramètres!$A$1:$I$89,3,0)*VLOOKUP('Données projet'!$B$12,Paramètres!$A$1:$I$89,5,0)</f>
        <v>8.7179171126581192</v>
      </c>
      <c r="CA15" s="13">
        <f t="shared" si="39"/>
        <v>3.1224878561542369</v>
      </c>
      <c r="CB15" s="20">
        <f t="shared" si="10"/>
        <v>20.622038654014851</v>
      </c>
      <c r="CC15" s="59">
        <f t="shared" si="11"/>
        <v>313.95537198734814</v>
      </c>
      <c r="CD15" s="59">
        <f ca="1">AVERAGE(OFFSET($CC$3,0,0,'Données projet'!$E$12+1,1))-AVERAGE(OFFSET($H$3,0,0,'Données projet'!$E$12+1,1))</f>
        <v>270.30888762640245</v>
      </c>
      <c r="CE15" s="59">
        <f t="shared" si="40"/>
        <v>202.23783851977691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7.2264102564102561</v>
      </c>
      <c r="CT15" s="12">
        <f>IF('Données projet'!$A$140&gt;35,CT14+CS15-DB14,IF(A15&lt;'Données projet'!$A$140,$CQ$205^A15,IF(A15='Données projet'!$A$140,'Données projet'!$B$140,CT14+CS15-DB14)))</f>
        <v>8.5983980712566286</v>
      </c>
      <c r="CU15" s="17">
        <f>CT15*VLOOKUP('Données projet'!$B$13,Paramètres!$A$1:$I$89,3,0)*VLOOKUP('Données projet'!$B$13,Paramètres!$A$1:$I$89,5,0)</f>
        <v>4.0240502973481025</v>
      </c>
      <c r="CV15" s="13">
        <f t="shared" si="41"/>
        <v>1.5770034573990057</v>
      </c>
      <c r="CW15" s="20">
        <f t="shared" si="13"/>
        <v>9.7551686228512136</v>
      </c>
      <c r="CX15" s="59">
        <f t="shared" si="14"/>
        <v>303.08850195618453</v>
      </c>
      <c r="CY15" s="59">
        <f ca="1">AVERAGE(OFFSET($CX$3,0,0,'Données projet'!$E$13+1,1))-AVERAGE(OFFSET($H$3,0,0,'Données projet'!$E$13+1,1))</f>
        <v>158.58786357608489</v>
      </c>
      <c r="CZ15" s="59">
        <f t="shared" si="42"/>
        <v>163.20074068819849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4.75</v>
      </c>
      <c r="DO15" s="12">
        <f>IF('Données projet'!$A$166&gt;35,DO14+DN15-DW14,IF(A15&lt;'Données projet'!$A$166,$DL$205^A15,IF(A15='Données projet'!$A$166,'Données projet'!$B$166,DO14+DN15-DW14)))</f>
        <v>15.368594899018873</v>
      </c>
      <c r="DP15" s="17">
        <f>DO15*VLOOKUP('Données projet'!$B$14,Paramètres!$A$1:$I$89,3,0)*VLOOKUP('Données projet'!$B$14,Paramètres!$A$1:$I$89,5,0)</f>
        <v>10.30925345826186</v>
      </c>
      <c r="DQ15" s="13">
        <f t="shared" si="43"/>
        <v>3.6210926249952076</v>
      </c>
      <c r="DR15" s="20">
        <f t="shared" si="16"/>
        <v>24.262019428339389</v>
      </c>
      <c r="DS15" s="59">
        <f t="shared" si="17"/>
        <v>317.5953527616727</v>
      </c>
      <c r="DT15" s="59">
        <f ca="1">AVERAGE(OFFSET($DS$3,0,0,'Données projet'!$E$14+1,1))-AVERAGE(OFFSET($H$3,0,0,'Données projet'!$E$14+1,1))</f>
        <v>156.63226020379989</v>
      </c>
      <c r="DU15" s="59">
        <f t="shared" si="44"/>
        <v>196.0481096619543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2.9235042735042733</v>
      </c>
      <c r="EJ15" s="12">
        <f>IF('Données projet'!$A$192&gt;35,EJ14+EI15-ER14,IF(A15&lt;'Données projet'!$A$192,$EG$205^A15,IF(A15='Données projet'!$A$192,'Données projet'!$B$192,EJ14+EI15-ER14)))</f>
        <v>5.9870101592612031</v>
      </c>
      <c r="EK15" s="17">
        <f>EJ15*VLOOKUP('Données projet'!$B$15,Paramètres!$A$1:$I$89,3,0)*VLOOKUP('Données projet'!$B$15,Paramètres!$A$1:$I$89,5,0)</f>
        <v>6.4444177354287593</v>
      </c>
      <c r="EL15" s="13">
        <f t="shared" si="45"/>
        <v>2.390819383553247</v>
      </c>
      <c r="EM15" s="20">
        <f t="shared" si="19"/>
        <v>15.38803798222699</v>
      </c>
      <c r="EN15" s="59">
        <f t="shared" si="20"/>
        <v>308.7213713155603</v>
      </c>
      <c r="EO15" s="59">
        <f ca="1">AVERAGE(OFFSET($EN$3,0,0,'Données projet'!$E$15+1,1))-AVERAGE(OFFSET($H$3,0,0,'Données projet'!$E$15+1,1))</f>
        <v>211.18501783767226</v>
      </c>
      <c r="EP15" s="59">
        <f t="shared" si="46"/>
        <v>147.98306963466246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3.44</v>
      </c>
      <c r="FE15" s="12">
        <f>IF('Données projet'!$A$218&gt;35,FE14+FD15-FM14,IF(A15&lt;'Données projet'!$A$218,$FB$205^A15,IF(A15='Données projet'!$A$218,'Données projet'!$B$218,FE14+FD15-FM14)))</f>
        <v>8.4831912206485054</v>
      </c>
      <c r="FF15" s="17">
        <f>FE15*VLOOKUP('Données projet'!$B$16,Paramètres!$A$1:$I$89,3,0)*VLOOKUP('Données projet'!$B$16,Paramètres!$A$1:$I$89,5,0)</f>
        <v>5.072948349947807</v>
      </c>
      <c r="FG15" s="13">
        <f t="shared" si="47"/>
        <v>1.935174756320307</v>
      </c>
      <c r="FH15" s="20">
        <f t="shared" si="22"/>
        <v>12.205814410083631</v>
      </c>
      <c r="FI15" s="59">
        <f t="shared" si="23"/>
        <v>305.53914774341695</v>
      </c>
      <c r="FJ15" s="59">
        <f ca="1">AVERAGE(OFFSET($FI$3,0,0,'Données projet'!$E$16+1,1))-AVERAGE(OFFSET($H$3,0,0,'Données projet'!$E$16+1,1))</f>
        <v>232.26937455765062</v>
      </c>
      <c r="FK15" s="59">
        <f t="shared" si="48"/>
        <v>115.80853281120301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4.75</v>
      </c>
      <c r="FZ15" s="12">
        <f>IF('Données projet'!$A$244&gt;35,FZ14+FY15-GH14,IF(A15&lt;'Données projet'!$A$244,$FW$205^A15,IF(A15='Données projet'!$A$244,'Données projet'!$B$244,FZ14+FY15-GH14)))</f>
        <v>15.368594899018873</v>
      </c>
      <c r="GA15" s="17">
        <f>FZ15*VLOOKUP('Données projet'!$B$17,Paramètres!$A$1:$I$89,3,0)*VLOOKUP('Données projet'!$B$17,Paramètres!$A$1:$I$89,5,0)</f>
        <v>12.227254101659417</v>
      </c>
      <c r="GB15" s="13">
        <f t="shared" si="49"/>
        <v>4.2103278436094334</v>
      </c>
      <c r="GC15" s="20">
        <f t="shared" si="25"/>
        <v>28.628788554676579</v>
      </c>
      <c r="GD15" s="59">
        <f t="shared" si="26"/>
        <v>321.9621218880099</v>
      </c>
      <c r="GE15" s="59">
        <f ca="1">AVERAGE(OFFSET($GD$3,0,0,'Données projet'!$E$17+1,1))-AVERAGE(OFFSET($H$3,0,0,'Données projet'!$E$17+1,1))</f>
        <v>199.58763537752952</v>
      </c>
      <c r="GF15" s="59">
        <f t="shared" si="50"/>
        <v>242.62852778451929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2.9235042735042733</v>
      </c>
      <c r="N16" s="13">
        <f>IF('Données projet'!$A$36&gt;35,N15+M16-V15,IF(A16&lt;'Données projet'!$A$36,$K$205^A16,IF(A16='Données projet'!$A$36,'Données projet'!$B$36,N15+M16-V15)))</f>
        <v>6.9498830208148057</v>
      </c>
      <c r="O16" s="13">
        <f>N16*VLOOKUP('Données projet'!$B$9,Paramètres!$A$1:$I$89,3,0)*VLOOKUP('Données projet'!$B$9,Paramètres!$A$1:$I$89,5,0)</f>
        <v>6.2882541572332364</v>
      </c>
      <c r="P16" s="13">
        <f t="shared" si="33"/>
        <v>2.3395549462651668</v>
      </c>
      <c r="Q16" s="20">
        <f t="shared" si="2"/>
        <v>15.026767521926386</v>
      </c>
      <c r="R16" s="59">
        <f t="shared" si="0"/>
        <v>308.3601008552597</v>
      </c>
      <c r="S16" s="59">
        <f ca="1">AVERAGE(OFFSET($R$3,0,0,'Données projet'!$E$9+1,1))-AVERAGE(OFFSET($H$3,0,0,'Données projet'!$E$9+1,1))</f>
        <v>153.45079678708987</v>
      </c>
      <c r="T16" s="59">
        <f t="shared" si="34"/>
        <v>115.4217868409637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7.0471813831062136</v>
      </c>
      <c r="AK16" s="13">
        <f t="shared" si="35"/>
        <v>2.5873698684431186</v>
      </c>
      <c r="AL16" s="20">
        <f t="shared" si="4"/>
        <v>16.780176763115087</v>
      </c>
      <c r="AM16" s="59">
        <f t="shared" si="5"/>
        <v>310.11351009644841</v>
      </c>
      <c r="AN16" s="59">
        <f ca="1">AVERAGE(OFFSET($AM$3,0,0,'Données projet'!$E$10+1,1))-AVERAGE(OFFSET($H$3,0,0,'Données projet'!$E$10+1,1))</f>
        <v>190.21499310415584</v>
      </c>
      <c r="AO16" s="59">
        <f t="shared" si="36"/>
        <v>136.15730566500173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4.3499999999999996</v>
      </c>
      <c r="BD16" s="12">
        <f>IF('Données projet'!$A$88&gt;35,BD15+BC16-BL15,IF(A16&lt;'Données projet'!$A$88,$BA$205^A16,IF(A16='Données projet'!$A$88,'Données projet'!$B$88,BD15+BC16-BL15)))</f>
        <v>18.22583835526224</v>
      </c>
      <c r="BE16" s="13">
        <f>BD16*VLOOKUP('Données projet'!$B$11,Paramètres!$A$1:$I$89,3,0)*VLOOKUP('Données projet'!$B$11,Paramètres!$A$1:$I$89,5,0)</f>
        <v>10.899051336446822</v>
      </c>
      <c r="BF16" s="13">
        <f t="shared" si="37"/>
        <v>3.8035463995409109</v>
      </c>
      <c r="BG16" s="20">
        <f t="shared" si="7"/>
        <v>25.607024390178637</v>
      </c>
      <c r="BH16" s="59">
        <f t="shared" si="8"/>
        <v>318.94035772351197</v>
      </c>
      <c r="BI16" s="59">
        <f ca="1">AVERAGE(OFFSET($BH$3,0,0,'Données projet'!$E$11+1,1))-AVERAGE(OFFSET($H$3,0,0,'Données projet'!$E$11+1,1))</f>
        <v>270.30888762640245</v>
      </c>
      <c r="BJ16" s="59">
        <f t="shared" si="38"/>
        <v>202.23783851977691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4.3499999999999996</v>
      </c>
      <c r="BY16" s="12">
        <f>IF('Données projet'!$A$114&gt;35,BY15+BX16-CG15,IF(A16&lt;'Données projet'!$A$114,$BV$205^A16,IF(A16='Données projet'!$A$114,'Données projet'!$B$114,BY15+BX16-CG15)))</f>
        <v>18.22583835526224</v>
      </c>
      <c r="BZ16" s="13">
        <f>BY16*VLOOKUP('Données projet'!$B$12,Paramètres!$A$1:$I$89,3,0)*VLOOKUP('Données projet'!$B$12,Paramètres!$A$1:$I$89,5,0)</f>
        <v>10.899051336446822</v>
      </c>
      <c r="CA16" s="13">
        <f t="shared" si="39"/>
        <v>3.8035463995409109</v>
      </c>
      <c r="CB16" s="20">
        <f t="shared" si="10"/>
        <v>25.607024390178637</v>
      </c>
      <c r="CC16" s="59">
        <f t="shared" si="11"/>
        <v>318.94035772351197</v>
      </c>
      <c r="CD16" s="59">
        <f ca="1">AVERAGE(OFFSET($CC$3,0,0,'Données projet'!$E$12+1,1))-AVERAGE(OFFSET($H$3,0,0,'Données projet'!$E$12+1,1))</f>
        <v>270.30888762640245</v>
      </c>
      <c r="CE16" s="59">
        <f t="shared" si="40"/>
        <v>202.23783851977691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7.2264102564102561</v>
      </c>
      <c r="CT16" s="12">
        <f>IF('Données projet'!$A$140&gt;35,CT15+CS16-DB15,IF(A16&lt;'Données projet'!$A$140,$CQ$205^A16,IF(A16='Données projet'!$A$140,'Données projet'!$B$140,CT15+CS16-DB15)))</f>
        <v>10.286927434759741</v>
      </c>
      <c r="CU16" s="17">
        <f>CT16*VLOOKUP('Données projet'!$B$13,Paramètres!$A$1:$I$89,3,0)*VLOOKUP('Données projet'!$B$13,Paramètres!$A$1:$I$89,5,0)</f>
        <v>4.8142820394675585</v>
      </c>
      <c r="CV16" s="13">
        <f t="shared" si="41"/>
        <v>1.8477232526006253</v>
      </c>
      <c r="CW16" s="20">
        <f t="shared" si="13"/>
        <v>11.602992550352086</v>
      </c>
      <c r="CX16" s="59">
        <f t="shared" si="14"/>
        <v>304.93632588368541</v>
      </c>
      <c r="CY16" s="59">
        <f ca="1">AVERAGE(OFFSET($CX$3,0,0,'Données projet'!$E$13+1,1))-AVERAGE(OFFSET($H$3,0,0,'Données projet'!$E$13+1,1))</f>
        <v>158.58786357608489</v>
      </c>
      <c r="CZ16" s="59">
        <f t="shared" si="42"/>
        <v>163.20074068819849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4.75</v>
      </c>
      <c r="DO16" s="12">
        <f>IF('Données projet'!$A$166&gt;35,DO15+DN16-DW15,IF(A16&lt;'Données projet'!$A$166,$DL$205^A16,IF(A16='Données projet'!$A$166,'Données projet'!$B$166,DO15+DN16-DW15)))</f>
        <v>19.298357323959845</v>
      </c>
      <c r="DP16" s="17">
        <f>DO16*VLOOKUP('Données projet'!$B$14,Paramètres!$A$1:$I$89,3,0)*VLOOKUP('Données projet'!$B$14,Paramètres!$A$1:$I$89,5,0)</f>
        <v>12.945338092912264</v>
      </c>
      <c r="DQ16" s="13">
        <f t="shared" si="43"/>
        <v>4.4280800440403496</v>
      </c>
      <c r="DR16" s="20">
        <f t="shared" si="16"/>
        <v>30.258703255192469</v>
      </c>
      <c r="DS16" s="59">
        <f t="shared" si="17"/>
        <v>323.59203658852579</v>
      </c>
      <c r="DT16" s="59">
        <f ca="1">AVERAGE(OFFSET($DS$3,0,0,'Données projet'!$E$14+1,1))-AVERAGE(OFFSET($H$3,0,0,'Données projet'!$E$14+1,1))</f>
        <v>156.63226020379989</v>
      </c>
      <c r="DU16" s="59">
        <f t="shared" si="44"/>
        <v>196.0481096619543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2.9235042735042733</v>
      </c>
      <c r="EJ16" s="12">
        <f>IF('Données projet'!$A$192&gt;35,EJ15+EI16-ER15,IF(A16&lt;'Données projet'!$A$192,$EG$205^A16,IF(A16='Données projet'!$A$192,'Données projet'!$B$192,EJ15+EI16-ER15)))</f>
        <v>6.9498830208148057</v>
      </c>
      <c r="EK16" s="17">
        <f>EJ16*VLOOKUP('Données projet'!$B$15,Paramètres!$A$1:$I$89,3,0)*VLOOKUP('Données projet'!$B$15,Paramètres!$A$1:$I$89,5,0)</f>
        <v>7.4808540836050561</v>
      </c>
      <c r="EL16" s="13">
        <f t="shared" si="45"/>
        <v>2.7275663935992016</v>
      </c>
      <c r="EM16" s="20">
        <f t="shared" si="19"/>
        <v>17.77966566446408</v>
      </c>
      <c r="EN16" s="59">
        <f t="shared" si="20"/>
        <v>311.11299899779738</v>
      </c>
      <c r="EO16" s="59">
        <f ca="1">AVERAGE(OFFSET($EN$3,0,0,'Données projet'!$E$15+1,1))-AVERAGE(OFFSET($H$3,0,0,'Données projet'!$E$15+1,1))</f>
        <v>211.18501783767226</v>
      </c>
      <c r="EP16" s="59">
        <f t="shared" si="46"/>
        <v>147.98306963466246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3.44</v>
      </c>
      <c r="FE16" s="12">
        <f>IF('Données projet'!$A$218&gt;35,FE15+FD16-FM15,IF(A16&lt;'Données projet'!$A$218,$FB$205^A16,IF(A16='Données projet'!$A$218,'Données projet'!$B$218,FE15+FD16-FM15)))</f>
        <v>10.137694384475443</v>
      </c>
      <c r="FF16" s="17">
        <f>FE16*VLOOKUP('Données projet'!$B$16,Paramètres!$A$1:$I$89,3,0)*VLOOKUP('Données projet'!$B$16,Paramètres!$A$1:$I$89,5,0)</f>
        <v>6.0623412419163154</v>
      </c>
      <c r="FG16" s="13">
        <f t="shared" si="47"/>
        <v>2.2651298508523059</v>
      </c>
      <c r="FH16" s="20">
        <f t="shared" si="22"/>
        <v>14.503678819905351</v>
      </c>
      <c r="FI16" s="59">
        <f t="shared" si="23"/>
        <v>307.83701215323867</v>
      </c>
      <c r="FJ16" s="59">
        <f ca="1">AVERAGE(OFFSET($FI$3,0,0,'Données projet'!$E$16+1,1))-AVERAGE(OFFSET($H$3,0,0,'Données projet'!$E$16+1,1))</f>
        <v>232.26937455765062</v>
      </c>
      <c r="FK16" s="59">
        <f t="shared" si="48"/>
        <v>115.80853281120301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4.75</v>
      </c>
      <c r="FZ16" s="12">
        <f>IF('Données projet'!$A$244&gt;35,FZ15+FY16-GH15,IF(A16&lt;'Données projet'!$A$244,$FW$205^A16,IF(A16='Données projet'!$A$244,'Données projet'!$B$244,FZ15+FY16-GH15)))</f>
        <v>19.298357323959845</v>
      </c>
      <c r="GA16" s="17">
        <f>FZ16*VLOOKUP('Données projet'!$B$17,Paramètres!$A$1:$I$89,3,0)*VLOOKUP('Données projet'!$B$17,Paramètres!$A$1:$I$89,5,0)</f>
        <v>15.353773086942452</v>
      </c>
      <c r="GB16" s="13">
        <f t="shared" si="49"/>
        <v>5.1486307128581252</v>
      </c>
      <c r="GC16" s="20">
        <f t="shared" si="25"/>
        <v>35.708353284652667</v>
      </c>
      <c r="GD16" s="59">
        <f t="shared" si="26"/>
        <v>329.04168661798599</v>
      </c>
      <c r="GE16" s="59">
        <f ca="1">AVERAGE(OFFSET($GD$3,0,0,'Données projet'!$E$17+1,1))-AVERAGE(OFFSET($H$3,0,0,'Données projet'!$E$17+1,1))</f>
        <v>199.58763537752952</v>
      </c>
      <c r="GF16" s="59">
        <f t="shared" si="50"/>
        <v>242.62852778451929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2.9235042735042733</v>
      </c>
      <c r="N17" s="13">
        <f>IF('Données projet'!$A$36&gt;35,N16+M17-V16,IF(A17&lt;'Données projet'!$A$36,$K$205^A17,IF(A17='Données projet'!$A$36,'Données projet'!$B$36,N16+M17-V16)))</f>
        <v>8.0676118326430668</v>
      </c>
      <c r="O17" s="13">
        <f>N17*VLOOKUP('Données projet'!$B$9,Paramètres!$A$1:$I$89,3,0)*VLOOKUP('Données projet'!$B$9,Paramètres!$A$1:$I$89,5,0)</f>
        <v>7.2995751861754465</v>
      </c>
      <c r="P17" s="13">
        <f t="shared" si="33"/>
        <v>2.6690813581776105</v>
      </c>
      <c r="Q17" s="20">
        <f t="shared" si="2"/>
        <v>17.362076814748239</v>
      </c>
      <c r="R17" s="59">
        <f t="shared" si="0"/>
        <v>310.69541014808158</v>
      </c>
      <c r="S17" s="59">
        <f ca="1">AVERAGE(OFFSET($R$3,0,0,'Données projet'!$E$9+1,1))-AVERAGE(OFFSET($H$3,0,0,'Données projet'!$E$9+1,1))</f>
        <v>153.45079678708987</v>
      </c>
      <c r="T17" s="59">
        <f t="shared" si="34"/>
        <v>115.4217868409637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8.1805583983000698</v>
      </c>
      <c r="AK17" s="13">
        <f t="shared" si="35"/>
        <v>2.9518010224963804</v>
      </c>
      <c r="AL17" s="20">
        <f t="shared" si="4"/>
        <v>19.388859324553817</v>
      </c>
      <c r="AM17" s="59">
        <f t="shared" si="5"/>
        <v>312.72219265788715</v>
      </c>
      <c r="AN17" s="59">
        <f ca="1">AVERAGE(OFFSET($AM$3,0,0,'Données projet'!$E$10+1,1))-AVERAGE(OFFSET($H$3,0,0,'Données projet'!$E$10+1,1))</f>
        <v>190.21499310415584</v>
      </c>
      <c r="AO17" s="59">
        <f t="shared" si="36"/>
        <v>136.15730566500173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4.3499999999999996</v>
      </c>
      <c r="BD17" s="12">
        <f>IF('Données projet'!$A$88&gt;35,BD16+BC17-BL16,IF(A17&lt;'Données projet'!$A$88,$BA$205^A17,IF(A17='Données projet'!$A$88,'Données projet'!$B$88,BD16+BC17-BL16)))</f>
        <v>22.785757803932292</v>
      </c>
      <c r="BE17" s="13">
        <f>BD17*VLOOKUP('Données projet'!$B$11,Paramètres!$A$1:$I$89,3,0)*VLOOKUP('Données projet'!$B$11,Paramètres!$A$1:$I$89,5,0)</f>
        <v>13.625883166751512</v>
      </c>
      <c r="BF17" s="13">
        <f t="shared" si="37"/>
        <v>4.6331533955999511</v>
      </c>
      <c r="BG17" s="20">
        <f t="shared" si="7"/>
        <v>31.801155346095459</v>
      </c>
      <c r="BH17" s="59">
        <f t="shared" si="8"/>
        <v>325.13448867942878</v>
      </c>
      <c r="BI17" s="59">
        <f ca="1">AVERAGE(OFFSET($BH$3,0,0,'Données projet'!$E$11+1,1))-AVERAGE(OFFSET($H$3,0,0,'Données projet'!$E$11+1,1))</f>
        <v>270.30888762640245</v>
      </c>
      <c r="BJ17" s="59">
        <f t="shared" si="38"/>
        <v>202.23783851977691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4.3499999999999996</v>
      </c>
      <c r="BY17" s="12">
        <f>IF('Données projet'!$A$114&gt;35,BY16+BX17-CG16,IF(A17&lt;'Données projet'!$A$114,$BV$205^A17,IF(A17='Données projet'!$A$114,'Données projet'!$B$114,BY16+BX17-CG16)))</f>
        <v>22.785757803932292</v>
      </c>
      <c r="BZ17" s="13">
        <f>BY17*VLOOKUP('Données projet'!$B$12,Paramètres!$A$1:$I$89,3,0)*VLOOKUP('Données projet'!$B$12,Paramètres!$A$1:$I$89,5,0)</f>
        <v>13.625883166751512</v>
      </c>
      <c r="CA17" s="13">
        <f t="shared" si="39"/>
        <v>4.6331533955999511</v>
      </c>
      <c r="CB17" s="20">
        <f t="shared" si="10"/>
        <v>31.801155346095459</v>
      </c>
      <c r="CC17" s="59">
        <f t="shared" si="11"/>
        <v>325.13448867942878</v>
      </c>
      <c r="CD17" s="59">
        <f ca="1">AVERAGE(OFFSET($CC$3,0,0,'Données projet'!$E$12+1,1))-AVERAGE(OFFSET($H$3,0,0,'Données projet'!$E$12+1,1))</f>
        <v>270.30888762640245</v>
      </c>
      <c r="CE17" s="59">
        <f t="shared" si="40"/>
        <v>202.23783851977691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7.2264102564102561</v>
      </c>
      <c r="CT17" s="12">
        <f>IF('Données projet'!$A$140&gt;35,CT16+CS17-DB16,IF(A17&lt;'Données projet'!$A$140,$CQ$205^A17,IF(A17='Données projet'!$A$140,'Données projet'!$B$140,CT16+CS17-DB16)))</f>
        <v>12.307045471848836</v>
      </c>
      <c r="CU17" s="17">
        <f>CT17*VLOOKUP('Données projet'!$B$13,Paramètres!$A$1:$I$89,3,0)*VLOOKUP('Données projet'!$B$13,Paramètres!$A$1:$I$89,5,0)</f>
        <v>5.7596972808252556</v>
      </c>
      <c r="CV17" s="13">
        <f t="shared" si="41"/>
        <v>2.1649167617120959</v>
      </c>
      <c r="CW17" s="20">
        <f t="shared" si="13"/>
        <v>13.802036124085888</v>
      </c>
      <c r="CX17" s="59">
        <f t="shared" si="14"/>
        <v>307.13536945741919</v>
      </c>
      <c r="CY17" s="59">
        <f ca="1">AVERAGE(OFFSET($CX$3,0,0,'Données projet'!$E$13+1,1))-AVERAGE(OFFSET($H$3,0,0,'Données projet'!$E$13+1,1))</f>
        <v>158.58786357608489</v>
      </c>
      <c r="CZ17" s="59">
        <f t="shared" si="42"/>
        <v>163.20074068819849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4.75</v>
      </c>
      <c r="DO17" s="12">
        <f>IF('Données projet'!$A$166&gt;35,DO16+DN17-DW16,IF(A17&lt;'Données projet'!$A$166,$DL$205^A17,IF(A17='Données projet'!$A$166,'Données projet'!$B$166,DO16+DN17-DW16)))</f>
        <v>24.232963250726986</v>
      </c>
      <c r="DP17" s="17">
        <f>DO17*VLOOKUP('Données projet'!$B$14,Paramètres!$A$1:$I$89,3,0)*VLOOKUP('Données projet'!$B$14,Paramètres!$A$1:$I$89,5,0)</f>
        <v>16.255471748587663</v>
      </c>
      <c r="DQ17" s="13">
        <f t="shared" si="43"/>
        <v>5.4149106104277989</v>
      </c>
      <c r="DR17" s="20">
        <f t="shared" si="16"/>
        <v>37.742582608618598</v>
      </c>
      <c r="DS17" s="59">
        <f t="shared" si="17"/>
        <v>331.07591594195191</v>
      </c>
      <c r="DT17" s="59">
        <f ca="1">AVERAGE(OFFSET($DS$3,0,0,'Données projet'!$E$14+1,1))-AVERAGE(OFFSET($H$3,0,0,'Données projet'!$E$14+1,1))</f>
        <v>156.63226020379989</v>
      </c>
      <c r="DU17" s="59">
        <f t="shared" si="44"/>
        <v>196.0481096619543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2.9235042735042733</v>
      </c>
      <c r="EJ17" s="12">
        <f>IF('Données projet'!$A$192&gt;35,EJ16+EI17-ER16,IF(A17&lt;'Données projet'!$A$192,$EG$205^A17,IF(A17='Données projet'!$A$192,'Données projet'!$B$192,EJ16+EI17-ER16)))</f>
        <v>8.0676118326430668</v>
      </c>
      <c r="EK17" s="17">
        <f>EJ17*VLOOKUP('Données projet'!$B$15,Paramètres!$A$1:$I$89,3,0)*VLOOKUP('Données projet'!$B$15,Paramètres!$A$1:$I$89,5,0)</f>
        <v>8.6839773766569976</v>
      </c>
      <c r="EL17" s="13">
        <f t="shared" si="45"/>
        <v>3.1117442340771748</v>
      </c>
      <c r="EM17" s="20">
        <f t="shared" si="19"/>
        <v>20.54421513869535</v>
      </c>
      <c r="EN17" s="59">
        <f t="shared" si="20"/>
        <v>313.87754847202865</v>
      </c>
      <c r="EO17" s="59">
        <f ca="1">AVERAGE(OFFSET($EN$3,0,0,'Données projet'!$E$15+1,1))-AVERAGE(OFFSET($H$3,0,0,'Données projet'!$E$15+1,1))</f>
        <v>211.18501783767226</v>
      </c>
      <c r="EP17" s="59">
        <f t="shared" si="46"/>
        <v>147.98306963466246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3.44</v>
      </c>
      <c r="FE17" s="12">
        <f>IF('Données projet'!$A$218&gt;35,FE16+FD17-FM16,IF(A17&lt;'Données projet'!$A$218,$FB$205^A17,IF(A17='Données projet'!$A$218,'Données projet'!$B$218,FE16+FD17-FM16)))</f>
        <v>12.114880445329439</v>
      </c>
      <c r="FF17" s="17">
        <f>FE17*VLOOKUP('Données projet'!$B$16,Paramètres!$A$1:$I$89,3,0)*VLOOKUP('Données projet'!$B$16,Paramètres!$A$1:$I$89,5,0)</f>
        <v>7.2446985063070048</v>
      </c>
      <c r="FG17" s="13">
        <f t="shared" si="47"/>
        <v>2.6513436186912238</v>
      </c>
      <c r="FH17" s="20">
        <f t="shared" si="22"/>
        <v>17.235606701038581</v>
      </c>
      <c r="FI17" s="59">
        <f t="shared" si="23"/>
        <v>310.56894003437191</v>
      </c>
      <c r="FJ17" s="59">
        <f ca="1">AVERAGE(OFFSET($FI$3,0,0,'Données projet'!$E$16+1,1))-AVERAGE(OFFSET($H$3,0,0,'Données projet'!$E$16+1,1))</f>
        <v>232.26937455765062</v>
      </c>
      <c r="FK17" s="59">
        <f t="shared" si="48"/>
        <v>115.80853281120301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4.75</v>
      </c>
      <c r="FZ17" s="12">
        <f>IF('Données projet'!$A$244&gt;35,FZ16+FY17-GH16,IF(A17&lt;'Données projet'!$A$244,$FW$205^A17,IF(A17='Données projet'!$A$244,'Données projet'!$B$244,FZ16+FY17-GH16)))</f>
        <v>24.232963250726986</v>
      </c>
      <c r="GA17" s="17">
        <f>FZ17*VLOOKUP('Données projet'!$B$17,Paramètres!$A$1:$I$89,3,0)*VLOOKUP('Données projet'!$B$17,Paramètres!$A$1:$I$89,5,0)</f>
        <v>19.279745562278389</v>
      </c>
      <c r="GB17" s="13">
        <f t="shared" si="49"/>
        <v>6.2960413540292901</v>
      </c>
      <c r="GC17" s="20">
        <f t="shared" si="25"/>
        <v>44.544495545902528</v>
      </c>
      <c r="GD17" s="59">
        <f t="shared" si="26"/>
        <v>337.87782887923584</v>
      </c>
      <c r="GE17" s="59">
        <f ca="1">AVERAGE(OFFSET($GD$3,0,0,'Données projet'!$E$17+1,1))-AVERAGE(OFFSET($H$3,0,0,'Données projet'!$E$17+1,1))</f>
        <v>199.58763537752952</v>
      </c>
      <c r="GF17" s="59">
        <f t="shared" si="50"/>
        <v>242.62852778451929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2.9235042735042733</v>
      </c>
      <c r="N18" s="13">
        <f>IF('Données projet'!$A$36&gt;35,N17+M18-V17,IF(A18&lt;'Données projet'!$A$36,$K$205^A18,IF(A18='Données projet'!$A$36,'Données projet'!$B$36,N17+M18-V17)))</f>
        <v>9.3651016121091022</v>
      </c>
      <c r="O18" s="13">
        <f>N18*VLOOKUP('Données projet'!$B$9,Paramètres!$A$1:$I$89,3,0)*VLOOKUP('Données projet'!$B$9,Paramètres!$A$1:$I$89,5,0)</f>
        <v>8.4735439386363147</v>
      </c>
      <c r="P18" s="13">
        <f t="shared" si="33"/>
        <v>3.045021578973337</v>
      </c>
      <c r="Q18" s="20">
        <f t="shared" si="2"/>
        <v>20.06150160983681</v>
      </c>
      <c r="R18" s="59">
        <f t="shared" si="0"/>
        <v>313.39483494317011</v>
      </c>
      <c r="S18" s="59">
        <f ca="1">AVERAGE(OFFSET($R$3,0,0,'Données projet'!$E$9+1,1))-AVERAGE(OFFSET($H$3,0,0,'Données projet'!$E$9+1,1))</f>
        <v>153.45079678708987</v>
      </c>
      <c r="T18" s="59">
        <f t="shared" si="34"/>
        <v>115.4217868409637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9.4962130346786306</v>
      </c>
      <c r="AK18" s="13">
        <f t="shared" si="35"/>
        <v>3.3675623198215465</v>
      </c>
      <c r="AL18" s="20">
        <f t="shared" si="4"/>
        <v>22.40440874242114</v>
      </c>
      <c r="AM18" s="59">
        <f t="shared" si="5"/>
        <v>315.73774207575445</v>
      </c>
      <c r="AN18" s="59">
        <f ca="1">AVERAGE(OFFSET($AM$3,0,0,'Données projet'!$E$10+1,1))-AVERAGE(OFFSET($H$3,0,0,'Données projet'!$E$10+1,1))</f>
        <v>190.21499310415584</v>
      </c>
      <c r="AO18" s="59">
        <f t="shared" si="36"/>
        <v>136.15730566500173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4.3499999999999996</v>
      </c>
      <c r="BD18" s="12">
        <f>IF('Données projet'!$A$88&gt;35,BD17+BC18-BL17,IF(A18&lt;'Données projet'!$A$88,$BA$205^A18,IF(A18='Données projet'!$A$88,'Données projet'!$B$88,BD17+BC18-BL17)))</f>
        <v>28.48652273652797</v>
      </c>
      <c r="BE18" s="13">
        <f>BD18*VLOOKUP('Données projet'!$B$11,Paramètres!$A$1:$I$89,3,0)*VLOOKUP('Données projet'!$B$11,Paramètres!$A$1:$I$89,5,0)</f>
        <v>17.034940596443729</v>
      </c>
      <c r="BF18" s="13">
        <f t="shared" si="37"/>
        <v>5.6437093523429409</v>
      </c>
      <c r="BG18" s="20">
        <f t="shared" si="7"/>
        <v>39.498648660803447</v>
      </c>
      <c r="BH18" s="59">
        <f t="shared" si="8"/>
        <v>332.83198199413675</v>
      </c>
      <c r="BI18" s="59">
        <f ca="1">AVERAGE(OFFSET($BH$3,0,0,'Données projet'!$E$11+1,1))-AVERAGE(OFFSET($H$3,0,0,'Données projet'!$E$11+1,1))</f>
        <v>270.30888762640245</v>
      </c>
      <c r="BJ18" s="59">
        <f t="shared" si="38"/>
        <v>202.23783851977691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4.3499999999999996</v>
      </c>
      <c r="BY18" s="12">
        <f>IF('Données projet'!$A$114&gt;35,BY17+BX18-CG17,IF(A18&lt;'Données projet'!$A$114,$BV$205^A18,IF(A18='Données projet'!$A$114,'Données projet'!$B$114,BY17+BX18-CG17)))</f>
        <v>28.48652273652797</v>
      </c>
      <c r="BZ18" s="13">
        <f>BY18*VLOOKUP('Données projet'!$B$12,Paramètres!$A$1:$I$89,3,0)*VLOOKUP('Données projet'!$B$12,Paramètres!$A$1:$I$89,5,0)</f>
        <v>17.034940596443729</v>
      </c>
      <c r="CA18" s="13">
        <f t="shared" si="39"/>
        <v>5.6437093523429409</v>
      </c>
      <c r="CB18" s="20">
        <f t="shared" si="10"/>
        <v>39.498648660803447</v>
      </c>
      <c r="CC18" s="59">
        <f t="shared" si="11"/>
        <v>332.83198199413675</v>
      </c>
      <c r="CD18" s="59">
        <f ca="1">AVERAGE(OFFSET($CC$3,0,0,'Données projet'!$E$12+1,1))-AVERAGE(OFFSET($H$3,0,0,'Données projet'!$E$12+1,1))</f>
        <v>270.30888762640245</v>
      </c>
      <c r="CE18" s="59">
        <f t="shared" si="40"/>
        <v>202.23783851977691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7.2264102564102561</v>
      </c>
      <c r="CT18" s="12">
        <f>IF('Données projet'!$A$140&gt;35,CT17+CS18-DB17,IF(A18&lt;'Données projet'!$A$140,$CQ$205^A18,IF(A18='Données projet'!$A$140,'Données projet'!$B$140,CT17+CS18-DB17)))</f>
        <v>14.723868638788783</v>
      </c>
      <c r="CU18" s="17">
        <f>CT18*VLOOKUP('Données projet'!$B$13,Paramètres!$A$1:$I$89,3,0)*VLOOKUP('Données projet'!$B$13,Paramètres!$A$1:$I$89,5,0)</f>
        <v>6.89077052295315</v>
      </c>
      <c r="CV18" s="13">
        <f t="shared" si="41"/>
        <v>2.5365619978778424</v>
      </c>
      <c r="CW18" s="20">
        <f t="shared" si="13"/>
        <v>16.419270807113978</v>
      </c>
      <c r="CX18" s="59">
        <f t="shared" si="14"/>
        <v>309.75260414044732</v>
      </c>
      <c r="CY18" s="59">
        <f ca="1">AVERAGE(OFFSET($CX$3,0,0,'Données projet'!$E$13+1,1))-AVERAGE(OFFSET($H$3,0,0,'Données projet'!$E$13+1,1))</f>
        <v>158.58786357608489</v>
      </c>
      <c r="CZ18" s="59">
        <f t="shared" si="42"/>
        <v>163.20074068819849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4.75</v>
      </c>
      <c r="DO18" s="12">
        <f>IF('Données projet'!$A$166&gt;35,DO17+DN18-DW17,IF(A18&lt;'Données projet'!$A$166,$DL$205^A18,IF(A18='Données projet'!$A$166,'Données projet'!$B$166,DO17+DN18-DW17)))</f>
        <v>30.429351993705815</v>
      </c>
      <c r="DP18" s="17">
        <f>DO18*VLOOKUP('Données projet'!$B$14,Paramètres!$A$1:$I$89,3,0)*VLOOKUP('Données projet'!$B$14,Paramètres!$A$1:$I$89,5,0)</f>
        <v>20.412009317377862</v>
      </c>
      <c r="DQ18" s="13">
        <f t="shared" si="43"/>
        <v>6.6216637069120585</v>
      </c>
      <c r="DR18" s="20">
        <f t="shared" si="16"/>
        <v>47.083647183971607</v>
      </c>
      <c r="DS18" s="59">
        <f t="shared" si="17"/>
        <v>340.41698051730492</v>
      </c>
      <c r="DT18" s="59">
        <f ca="1">AVERAGE(OFFSET($DS$3,0,0,'Données projet'!$E$14+1,1))-AVERAGE(OFFSET($H$3,0,0,'Données projet'!$E$14+1,1))</f>
        <v>156.63226020379989</v>
      </c>
      <c r="DU18" s="59">
        <f t="shared" si="44"/>
        <v>196.0481096619543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2.9235042735042733</v>
      </c>
      <c r="EJ18" s="12">
        <f>IF('Données projet'!$A$192&gt;35,EJ17+EI18-ER17,IF(A18&lt;'Données projet'!$A$192,$EG$205^A18,IF(A18='Données projet'!$A$192,'Données projet'!$B$192,EJ17+EI18-ER17)))</f>
        <v>9.3651016121091022</v>
      </c>
      <c r="EK18" s="17">
        <f>EJ18*VLOOKUP('Données projet'!$B$15,Paramètres!$A$1:$I$89,3,0)*VLOOKUP('Données projet'!$B$15,Paramètres!$A$1:$I$89,5,0)</f>
        <v>10.080595375274237</v>
      </c>
      <c r="EL18" s="13">
        <f t="shared" si="45"/>
        <v>3.5500335394348563</v>
      </c>
      <c r="EM18" s="20">
        <f t="shared" si="19"/>
        <v>23.740012026451669</v>
      </c>
      <c r="EN18" s="59">
        <f t="shared" si="20"/>
        <v>317.07334535978498</v>
      </c>
      <c r="EO18" s="59">
        <f ca="1">AVERAGE(OFFSET($EN$3,0,0,'Données projet'!$E$15+1,1))-AVERAGE(OFFSET($H$3,0,0,'Données projet'!$E$15+1,1))</f>
        <v>211.18501783767226</v>
      </c>
      <c r="EP18" s="59">
        <f t="shared" si="46"/>
        <v>147.98306963466246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3.44</v>
      </c>
      <c r="FE18" s="12">
        <f>IF('Données projet'!$A$218&gt;35,FE17+FD18-FM17,IF(A18&lt;'Données projet'!$A$218,$FB$205^A18,IF(A18='Données projet'!$A$218,'Données projet'!$B$218,FE17+FD18-FM17)))</f>
        <v>14.477683252060272</v>
      </c>
      <c r="FF18" s="17">
        <f>FE18*VLOOKUP('Données projet'!$B$16,Paramètres!$A$1:$I$89,3,0)*VLOOKUP('Données projet'!$B$16,Paramètres!$A$1:$I$89,5,0)</f>
        <v>8.6576545847320432</v>
      </c>
      <c r="FG18" s="13">
        <f t="shared" si="47"/>
        <v>3.1034083903532586</v>
      </c>
      <c r="FH18" s="20">
        <f t="shared" si="22"/>
        <v>20.483851348273564</v>
      </c>
      <c r="FI18" s="59">
        <f t="shared" si="23"/>
        <v>313.81718468160688</v>
      </c>
      <c r="FJ18" s="59">
        <f ca="1">AVERAGE(OFFSET($FI$3,0,0,'Données projet'!$E$16+1,1))-AVERAGE(OFFSET($H$3,0,0,'Données projet'!$E$16+1,1))</f>
        <v>232.26937455765062</v>
      </c>
      <c r="FK18" s="59">
        <f t="shared" si="48"/>
        <v>115.80853281120301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4.75</v>
      </c>
      <c r="FZ18" s="12">
        <f>IF('Données projet'!$A$244&gt;35,FZ17+FY18-GH17,IF(A18&lt;'Données projet'!$A$244,$FW$205^A18,IF(A18='Données projet'!$A$244,'Données projet'!$B$244,FZ17+FY18-GH17)))</f>
        <v>30.429351993705815</v>
      </c>
      <c r="GA18" s="17">
        <f>FZ18*VLOOKUP('Données projet'!$B$17,Paramètres!$A$1:$I$89,3,0)*VLOOKUP('Données projet'!$B$17,Paramètres!$A$1:$I$89,5,0)</f>
        <v>24.209592446192346</v>
      </c>
      <c r="GB18" s="13">
        <f t="shared" si="49"/>
        <v>7.6991609890859385</v>
      </c>
      <c r="GC18" s="20">
        <f t="shared" si="25"/>
        <v>55.574412233109683</v>
      </c>
      <c r="GD18" s="59">
        <f t="shared" si="26"/>
        <v>348.907745566443</v>
      </c>
      <c r="GE18" s="59">
        <f ca="1">AVERAGE(OFFSET($GD$3,0,0,'Données projet'!$E$17+1,1))-AVERAGE(OFFSET($H$3,0,0,'Données projet'!$E$17+1,1))</f>
        <v>199.58763537752952</v>
      </c>
      <c r="GF18" s="59">
        <f t="shared" si="50"/>
        <v>242.62852778451929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2.9235042735042733</v>
      </c>
      <c r="N19" s="13">
        <f>IF('Données projet'!$A$36&gt;35,N18+M19-V18,IF(A19&lt;'Données projet'!$A$36,$K$205^A19,IF(A19='Données projet'!$A$36,'Données projet'!$B$36,N18+M19-V18)))</f>
        <v>10.87126277571476</v>
      </c>
      <c r="O19" s="13">
        <f>N19*VLOOKUP('Données projet'!$B$9,Paramètres!$A$1:$I$89,3,0)*VLOOKUP('Données projet'!$B$9,Paramètres!$A$1:$I$89,5,0)</f>
        <v>9.8363185594667133</v>
      </c>
      <c r="P19" s="13">
        <f t="shared" si="33"/>
        <v>3.4739129955724146</v>
      </c>
      <c r="Q19" s="20">
        <f t="shared" si="2"/>
        <v>23.181986625026479</v>
      </c>
      <c r="R19" s="59">
        <f t="shared" si="0"/>
        <v>316.51531995835978</v>
      </c>
      <c r="S19" s="59">
        <f ca="1">AVERAGE(OFFSET($R$3,0,0,'Données projet'!$E$9+1,1))-AVERAGE(OFFSET($H$3,0,0,'Données projet'!$E$9+1,1))</f>
        <v>153.45079678708987</v>
      </c>
      <c r="T19" s="59">
        <f t="shared" si="34"/>
        <v>115.4217868409637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11.023460454574767</v>
      </c>
      <c r="AK19" s="13">
        <f t="shared" si="35"/>
        <v>3.8418836132426954</v>
      </c>
      <c r="AL19" s="20">
        <f t="shared" si="4"/>
        <v>25.890474251448747</v>
      </c>
      <c r="AM19" s="59">
        <f t="shared" si="5"/>
        <v>319.22380758478204</v>
      </c>
      <c r="AN19" s="59">
        <f ca="1">AVERAGE(OFFSET($AM$3,0,0,'Données projet'!$E$10+1,1))-AVERAGE(OFFSET($H$3,0,0,'Données projet'!$E$10+1,1))</f>
        <v>190.21499310415584</v>
      </c>
      <c r="AO19" s="59">
        <f t="shared" si="36"/>
        <v>136.15730566500173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4.3499999999999996</v>
      </c>
      <c r="BD19" s="12">
        <f>IF('Données projet'!$A$88&gt;35,BD18+BC19-BL18,IF(A19&lt;'Données projet'!$A$88,$BA$205^A19,IF(A19='Données projet'!$A$88,'Données projet'!$B$88,BD18+BC19-BL18)))</f>
        <v>35.613561093793514</v>
      </c>
      <c r="BE19" s="13">
        <f>BD19*VLOOKUP('Données projet'!$B$11,Paramètres!$A$1:$I$89,3,0)*VLOOKUP('Données projet'!$B$11,Paramètres!$A$1:$I$89,5,0)</f>
        <v>21.296909534088524</v>
      </c>
      <c r="BF19" s="13">
        <f t="shared" si="37"/>
        <v>6.874681784542708</v>
      </c>
      <c r="BG19" s="20">
        <f t="shared" si="7"/>
        <v>49.065521546616061</v>
      </c>
      <c r="BH19" s="59">
        <f t="shared" si="8"/>
        <v>342.3988548799494</v>
      </c>
      <c r="BI19" s="59">
        <f ca="1">AVERAGE(OFFSET($BH$3,0,0,'Données projet'!$E$11+1,1))-AVERAGE(OFFSET($H$3,0,0,'Données projet'!$E$11+1,1))</f>
        <v>270.30888762640245</v>
      </c>
      <c r="BJ19" s="59">
        <f t="shared" si="38"/>
        <v>202.23783851977691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4.3499999999999996</v>
      </c>
      <c r="BY19" s="12">
        <f>IF('Données projet'!$A$114&gt;35,BY18+BX19-CG18,IF(A19&lt;'Données projet'!$A$114,$BV$205^A19,IF(A19='Données projet'!$A$114,'Données projet'!$B$114,BY18+BX19-CG18)))</f>
        <v>35.613561093793514</v>
      </c>
      <c r="BZ19" s="13">
        <f>BY19*VLOOKUP('Données projet'!$B$12,Paramètres!$A$1:$I$89,3,0)*VLOOKUP('Données projet'!$B$12,Paramètres!$A$1:$I$89,5,0)</f>
        <v>21.296909534088524</v>
      </c>
      <c r="CA19" s="13">
        <f t="shared" si="39"/>
        <v>6.874681784542708</v>
      </c>
      <c r="CB19" s="20">
        <f t="shared" si="10"/>
        <v>49.065521546616061</v>
      </c>
      <c r="CC19" s="59">
        <f t="shared" si="11"/>
        <v>342.3988548799494</v>
      </c>
      <c r="CD19" s="59">
        <f ca="1">AVERAGE(OFFSET($CC$3,0,0,'Données projet'!$E$12+1,1))-AVERAGE(OFFSET($H$3,0,0,'Données projet'!$E$12+1,1))</f>
        <v>270.30888762640245</v>
      </c>
      <c r="CE19" s="59">
        <f t="shared" si="40"/>
        <v>202.23783851977691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7.2264102564102561</v>
      </c>
      <c r="CT19" s="12">
        <f>IF('Données projet'!$A$140&gt;35,CT18+CS19-DB18,IF(A19&lt;'Données projet'!$A$140,$CQ$205^A19,IF(A19='Données projet'!$A$140,'Données projet'!$B$140,CT18+CS19-DB18)))</f>
        <v>17.61530077939495</v>
      </c>
      <c r="CU19" s="17">
        <f>CT19*VLOOKUP('Données projet'!$B$13,Paramètres!$A$1:$I$89,3,0)*VLOOKUP('Données projet'!$B$13,Paramètres!$A$1:$I$89,5,0)</f>
        <v>8.2439607647568369</v>
      </c>
      <c r="CV19" s="13">
        <f t="shared" si="41"/>
        <v>2.972006537558364</v>
      </c>
      <c r="CW19" s="20">
        <f t="shared" si="13"/>
        <v>19.534476384865641</v>
      </c>
      <c r="CX19" s="59">
        <f t="shared" si="14"/>
        <v>312.86780971819894</v>
      </c>
      <c r="CY19" s="59">
        <f ca="1">AVERAGE(OFFSET($CX$3,0,0,'Données projet'!$E$13+1,1))-AVERAGE(OFFSET($H$3,0,0,'Données projet'!$E$13+1,1))</f>
        <v>158.58786357608489</v>
      </c>
      <c r="CZ19" s="59">
        <f t="shared" si="42"/>
        <v>163.20074068819849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4.75</v>
      </c>
      <c r="DO19" s="12">
        <f>IF('Données projet'!$A$166&gt;35,DO18+DN19-DW18,IF(A19&lt;'Données projet'!$A$166,$DL$205^A19,IF(A19='Données projet'!$A$166,'Données projet'!$B$166,DO18+DN19-DW18)))</f>
        <v>38.21016246244956</v>
      </c>
      <c r="DP19" s="17">
        <f>DO19*VLOOKUP('Données projet'!$B$14,Paramètres!$A$1:$I$89,3,0)*VLOOKUP('Données projet'!$B$14,Paramètres!$A$1:$I$89,5,0)</f>
        <v>25.631376979811165</v>
      </c>
      <c r="DQ19" s="13">
        <f t="shared" si="43"/>
        <v>8.0973507047371776</v>
      </c>
      <c r="DR19" s="20">
        <f t="shared" si="16"/>
        <v>58.744200717255033</v>
      </c>
      <c r="DS19" s="59">
        <f t="shared" si="17"/>
        <v>352.07753405058833</v>
      </c>
      <c r="DT19" s="59">
        <f ca="1">AVERAGE(OFFSET($DS$3,0,0,'Données projet'!$E$14+1,1))-AVERAGE(OFFSET($H$3,0,0,'Données projet'!$E$14+1,1))</f>
        <v>156.63226020379989</v>
      </c>
      <c r="DU19" s="59">
        <f t="shared" si="44"/>
        <v>196.0481096619543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2.9235042735042733</v>
      </c>
      <c r="EJ19" s="12">
        <f>IF('Données projet'!$A$192&gt;35,EJ18+EI19-ER18,IF(A19&lt;'Données projet'!$A$192,$EG$205^A19,IF(A19='Données projet'!$A$192,'Données projet'!$B$192,EJ18+EI19-ER18)))</f>
        <v>10.87126277571476</v>
      </c>
      <c r="EK19" s="17">
        <f>EJ19*VLOOKUP('Données projet'!$B$15,Paramètres!$A$1:$I$89,3,0)*VLOOKUP('Données projet'!$B$15,Paramètres!$A$1:$I$89,5,0)</f>
        <v>11.701827251779367</v>
      </c>
      <c r="EL19" s="13">
        <f t="shared" si="45"/>
        <v>4.0500559117609676</v>
      </c>
      <c r="EM19" s="20">
        <f t="shared" si="19"/>
        <v>27.434529843166086</v>
      </c>
      <c r="EN19" s="59">
        <f t="shared" si="20"/>
        <v>320.76786317649942</v>
      </c>
      <c r="EO19" s="59">
        <f ca="1">AVERAGE(OFFSET($EN$3,0,0,'Données projet'!$E$15+1,1))-AVERAGE(OFFSET($H$3,0,0,'Données projet'!$E$15+1,1))</f>
        <v>211.18501783767226</v>
      </c>
      <c r="EP19" s="59">
        <f t="shared" si="46"/>
        <v>147.98306963466246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3.44</v>
      </c>
      <c r="FE19" s="12">
        <f>IF('Données projet'!$A$218&gt;35,FE18+FD19-FM18,IF(A19&lt;'Données projet'!$A$218,$FB$205^A19,IF(A19='Données projet'!$A$218,'Données projet'!$B$218,FE18+FD19-FM18)))</f>
        <v>17.301310837763435</v>
      </c>
      <c r="FF19" s="17">
        <f>FE19*VLOOKUP('Données projet'!$B$16,Paramètres!$A$1:$I$89,3,0)*VLOOKUP('Données projet'!$B$16,Paramètres!$A$1:$I$89,5,0)</f>
        <v>10.346183880982535</v>
      </c>
      <c r="FG19" s="13">
        <f t="shared" si="47"/>
        <v>3.6325520273638481</v>
      </c>
      <c r="FH19" s="20">
        <f t="shared" si="22"/>
        <v>24.346298373703281</v>
      </c>
      <c r="FI19" s="59">
        <f t="shared" si="23"/>
        <v>317.67963170703661</v>
      </c>
      <c r="FJ19" s="59">
        <f ca="1">AVERAGE(OFFSET($FI$3,0,0,'Données projet'!$E$16+1,1))-AVERAGE(OFFSET($H$3,0,0,'Données projet'!$E$16+1,1))</f>
        <v>232.26937455765062</v>
      </c>
      <c r="FK19" s="59">
        <f t="shared" si="48"/>
        <v>115.80853281120301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4.75</v>
      </c>
      <c r="FZ19" s="12">
        <f>IF('Données projet'!$A$244&gt;35,FZ18+FY19-GH18,IF(A19&lt;'Données projet'!$A$244,$FW$205^A19,IF(A19='Données projet'!$A$244,'Données projet'!$B$244,FZ18+FY19-GH18)))</f>
        <v>38.21016246244956</v>
      </c>
      <c r="GA19" s="17">
        <f>FZ19*VLOOKUP('Données projet'!$B$17,Paramètres!$A$1:$I$89,3,0)*VLOOKUP('Données projet'!$B$17,Paramètres!$A$1:$I$89,5,0)</f>
        <v>30.400005255124871</v>
      </c>
      <c r="GB19" s="13">
        <f t="shared" si="49"/>
        <v>9.4149762688466279</v>
      </c>
      <c r="GC19" s="20">
        <f t="shared" si="25"/>
        <v>69.344426154250357</v>
      </c>
      <c r="GD19" s="59">
        <f t="shared" si="26"/>
        <v>362.67775948758367</v>
      </c>
      <c r="GE19" s="59">
        <f ca="1">AVERAGE(OFFSET($GD$3,0,0,'Données projet'!$E$17+1,1))-AVERAGE(OFFSET($H$3,0,0,'Données projet'!$E$17+1,1))</f>
        <v>199.58763537752952</v>
      </c>
      <c r="GF19" s="59">
        <f t="shared" si="50"/>
        <v>242.62852778451929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2.9235042735042733</v>
      </c>
      <c r="N20" s="13">
        <f>IF('Données projet'!$A$36&gt;35,N19+M20-V19,IF(A20&lt;'Données projet'!$A$36,$K$205^A20,IF(A20='Données projet'!$A$36,'Données projet'!$B$36,N19+M20-V19)))</f>
        <v>12.619655315413629</v>
      </c>
      <c r="O20" s="13">
        <f>N20*VLOOKUP('Données projet'!$B$9,Paramètres!$A$1:$I$89,3,0)*VLOOKUP('Données projet'!$B$9,Paramètres!$A$1:$I$89,5,0)</f>
        <v>11.418264129386252</v>
      </c>
      <c r="P20" s="13">
        <f t="shared" si="33"/>
        <v>3.9632137861156949</v>
      </c>
      <c r="Q20" s="20">
        <f t="shared" si="2"/>
        <v>26.789407369499227</v>
      </c>
      <c r="R20" s="59">
        <f t="shared" si="0"/>
        <v>320.12274070283252</v>
      </c>
      <c r="S20" s="59">
        <f ca="1">AVERAGE(OFFSET($R$3,0,0,'Données projet'!$E$9+1,1))-AVERAGE(OFFSET($H$3,0,0,'Données projet'!$E$9+1,1))</f>
        <v>153.45079678708987</v>
      </c>
      <c r="T20" s="59">
        <f t="shared" si="34"/>
        <v>115.4217868409637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12.796330489829421</v>
      </c>
      <c r="AK20" s="13">
        <f t="shared" si="35"/>
        <v>4.383013080656192</v>
      </c>
      <c r="AL20" s="20">
        <f t="shared" si="4"/>
        <v>29.92069005192911</v>
      </c>
      <c r="AM20" s="59">
        <f t="shared" si="5"/>
        <v>323.25402338526243</v>
      </c>
      <c r="AN20" s="59">
        <f ca="1">AVERAGE(OFFSET($AM$3,0,0,'Données projet'!$E$10+1,1))-AVERAGE(OFFSET($H$3,0,0,'Données projet'!$E$10+1,1))</f>
        <v>190.21499310415584</v>
      </c>
      <c r="AO20" s="59">
        <f t="shared" si="36"/>
        <v>136.15730566500173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4.3499999999999996</v>
      </c>
      <c r="BD20" s="12">
        <f>IF('Données projet'!$A$88&gt;35,BD19+BC20-BL19,IF(A20&lt;'Données projet'!$A$88,$BA$205^A20,IF(A20='Données projet'!$A$88,'Données projet'!$B$88,BD19+BC20-BL19)))</f>
        <v>44.523711985211953</v>
      </c>
      <c r="BE20" s="13">
        <f>BD20*VLOOKUP('Données projet'!$B$11,Paramètres!$A$1:$I$89,3,0)*VLOOKUP('Données projet'!$B$11,Paramètres!$A$1:$I$89,5,0)</f>
        <v>26.625179767156752</v>
      </c>
      <c r="BF20" s="13">
        <f t="shared" si="37"/>
        <v>8.3741466273601048</v>
      </c>
      <c r="BG20" s="20">
        <f t="shared" si="7"/>
        <v>60.957160137116858</v>
      </c>
      <c r="BH20" s="59">
        <f t="shared" si="8"/>
        <v>354.2904934704502</v>
      </c>
      <c r="BI20" s="59">
        <f ca="1">AVERAGE(OFFSET($BH$3,0,0,'Données projet'!$E$11+1,1))-AVERAGE(OFFSET($H$3,0,0,'Données projet'!$E$11+1,1))</f>
        <v>270.30888762640245</v>
      </c>
      <c r="BJ20" s="59">
        <f t="shared" si="38"/>
        <v>202.23783851977691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4.3499999999999996</v>
      </c>
      <c r="BY20" s="12">
        <f>IF('Données projet'!$A$114&gt;35,BY19+BX20-CG19,IF(A20&lt;'Données projet'!$A$114,$BV$205^A20,IF(A20='Données projet'!$A$114,'Données projet'!$B$114,BY19+BX20-CG19)))</f>
        <v>44.523711985211953</v>
      </c>
      <c r="BZ20" s="13">
        <f>BY20*VLOOKUP('Données projet'!$B$12,Paramètres!$A$1:$I$89,3,0)*VLOOKUP('Données projet'!$B$12,Paramètres!$A$1:$I$89,5,0)</f>
        <v>26.625179767156752</v>
      </c>
      <c r="CA20" s="13">
        <f t="shared" si="39"/>
        <v>8.3741466273601048</v>
      </c>
      <c r="CB20" s="20">
        <f t="shared" si="10"/>
        <v>60.957160137116858</v>
      </c>
      <c r="CC20" s="59">
        <f t="shared" si="11"/>
        <v>354.2904934704502</v>
      </c>
      <c r="CD20" s="59">
        <f ca="1">AVERAGE(OFFSET($CC$3,0,0,'Données projet'!$E$12+1,1))-AVERAGE(OFFSET($H$3,0,0,'Données projet'!$E$12+1,1))</f>
        <v>270.30888762640245</v>
      </c>
      <c r="CE20" s="59">
        <f t="shared" si="40"/>
        <v>202.23783851977691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7.2264102564102561</v>
      </c>
      <c r="CT20" s="12">
        <f>IF('Données projet'!$A$140&gt;35,CT19+CS20-DB19,IF(A20&lt;'Données projet'!$A$140,$CQ$205^A20,IF(A20='Données projet'!$A$140,'Données projet'!$B$140,CT19+CS20-DB19)))</f>
        <v>21.074544276434004</v>
      </c>
      <c r="CU20" s="17">
        <f>CT20*VLOOKUP('Données projet'!$B$13,Paramètres!$A$1:$I$89,3,0)*VLOOKUP('Données projet'!$B$13,Paramètres!$A$1:$I$89,5,0)</f>
        <v>9.8628867213711136</v>
      </c>
      <c r="CV20" s="13">
        <f t="shared" si="41"/>
        <v>3.4822026296536168</v>
      </c>
      <c r="CW20" s="20">
        <f t="shared" si="13"/>
        <v>23.24269728636807</v>
      </c>
      <c r="CX20" s="59">
        <f t="shared" si="14"/>
        <v>316.57603061970138</v>
      </c>
      <c r="CY20" s="59">
        <f ca="1">AVERAGE(OFFSET($CX$3,0,0,'Données projet'!$E$13+1,1))-AVERAGE(OFFSET($H$3,0,0,'Données projet'!$E$13+1,1))</f>
        <v>158.58786357608489</v>
      </c>
      <c r="CZ20" s="59">
        <f t="shared" si="42"/>
        <v>163.20074068819849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4.75</v>
      </c>
      <c r="DO20" s="12">
        <f>IF('Données projet'!$A$166&gt;35,DO19+DN20-DW19,IF(A20&lt;'Données projet'!$A$166,$DL$205^A20,IF(A20='Données projet'!$A$166,'Données projet'!$B$166,DO19+DN20-DW19)))</f>
        <v>47.980532602494719</v>
      </c>
      <c r="DP20" s="17">
        <f>DO20*VLOOKUP('Données projet'!$B$14,Paramètres!$A$1:$I$89,3,0)*VLOOKUP('Données projet'!$B$14,Paramètres!$A$1:$I$89,5,0)</f>
        <v>32.185341269753458</v>
      </c>
      <c r="DQ20" s="13">
        <f t="shared" si="43"/>
        <v>9.901905523692653</v>
      </c>
      <c r="DR20" s="20">
        <f t="shared" si="16"/>
        <v>73.30195483191865</v>
      </c>
      <c r="DS20" s="59">
        <f t="shared" si="17"/>
        <v>366.63528816525195</v>
      </c>
      <c r="DT20" s="59">
        <f ca="1">AVERAGE(OFFSET($DS$3,0,0,'Données projet'!$E$14+1,1))-AVERAGE(OFFSET($H$3,0,0,'Données projet'!$E$14+1,1))</f>
        <v>156.63226020379989</v>
      </c>
      <c r="DU20" s="59">
        <f t="shared" si="44"/>
        <v>196.0481096619543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2.9235042735042733</v>
      </c>
      <c r="EJ20" s="12">
        <f>IF('Données projet'!$A$192&gt;35,EJ19+EI20-ER19,IF(A20&lt;'Données projet'!$A$192,$EG$205^A20,IF(A20='Données projet'!$A$192,'Données projet'!$B$192,EJ19+EI20-ER19)))</f>
        <v>12.619655315413629</v>
      </c>
      <c r="EK20" s="17">
        <f>EJ20*VLOOKUP('Données projet'!$B$15,Paramètres!$A$1:$I$89,3,0)*VLOOKUP('Données projet'!$B$15,Paramètres!$A$1:$I$89,5,0)</f>
        <v>13.583796981511231</v>
      </c>
      <c r="EL20" s="13">
        <f t="shared" si="45"/>
        <v>4.6205064561168125</v>
      </c>
      <c r="EM20" s="20">
        <f t="shared" si="19"/>
        <v>31.705828487202169</v>
      </c>
      <c r="EN20" s="59">
        <f t="shared" si="20"/>
        <v>325.03916182053547</v>
      </c>
      <c r="EO20" s="59">
        <f ca="1">AVERAGE(OFFSET($EN$3,0,0,'Données projet'!$E$15+1,1))-AVERAGE(OFFSET($H$3,0,0,'Données projet'!$E$15+1,1))</f>
        <v>211.18501783767226</v>
      </c>
      <c r="EP20" s="59">
        <f t="shared" si="46"/>
        <v>147.98306963466246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3.44</v>
      </c>
      <c r="FE20" s="12">
        <f>IF('Données projet'!$A$218&gt;35,FE19+FD20-FM19,IF(A20&lt;'Données projet'!$A$218,$FB$205^A20,IF(A20='Données projet'!$A$218,'Données projet'!$B$218,FE19+FD20-FM19)))</f>
        <v>20.675639292102417</v>
      </c>
      <c r="FF20" s="17">
        <f>FE20*VLOOKUP('Données projet'!$B$16,Paramètres!$A$1:$I$89,3,0)*VLOOKUP('Données projet'!$B$16,Paramètres!$A$1:$I$89,5,0)</f>
        <v>12.364032296677246</v>
      </c>
      <c r="FG20" s="13">
        <f t="shared" si="47"/>
        <v>4.251916786885781</v>
      </c>
      <c r="FH20" s="20">
        <f t="shared" si="22"/>
        <v>28.939444653872272</v>
      </c>
      <c r="FI20" s="59">
        <f t="shared" si="23"/>
        <v>322.27277798720559</v>
      </c>
      <c r="FJ20" s="59">
        <f ca="1">AVERAGE(OFFSET($FI$3,0,0,'Données projet'!$E$16+1,1))-AVERAGE(OFFSET($H$3,0,0,'Données projet'!$E$16+1,1))</f>
        <v>232.26937455765062</v>
      </c>
      <c r="FK20" s="59">
        <f t="shared" si="48"/>
        <v>115.80853281120301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4.75</v>
      </c>
      <c r="FZ20" s="12">
        <f>IF('Données projet'!$A$244&gt;35,FZ19+FY20-GH19,IF(A20&lt;'Données projet'!$A$244,$FW$205^A20,IF(A20='Données projet'!$A$244,'Données projet'!$B$244,FZ19+FY20-GH19)))</f>
        <v>47.980532602494719</v>
      </c>
      <c r="GA20" s="17">
        <f>FZ20*VLOOKUP('Données projet'!$B$17,Paramètres!$A$1:$I$89,3,0)*VLOOKUP('Données projet'!$B$17,Paramètres!$A$1:$I$89,5,0)</f>
        <v>38.173311738544804</v>
      </c>
      <c r="GB20" s="13">
        <f t="shared" si="49"/>
        <v>11.513173743035207</v>
      </c>
      <c r="GC20" s="20">
        <f t="shared" si="25"/>
        <v>86.537295547085179</v>
      </c>
      <c r="GD20" s="59">
        <f t="shared" si="26"/>
        <v>379.87062888041851</v>
      </c>
      <c r="GE20" s="59">
        <f ca="1">AVERAGE(OFFSET($GD$3,0,0,'Données projet'!$E$17+1,1))-AVERAGE(OFFSET($H$3,0,0,'Données projet'!$E$17+1,1))</f>
        <v>199.58763537752952</v>
      </c>
      <c r="GF20" s="59">
        <f t="shared" si="50"/>
        <v>242.62852778451929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2.9235042735042733</v>
      </c>
      <c r="N21" s="13">
        <f>IF('Données projet'!$A$36&gt;35,N20+M21-V20,IF(A21&lt;'Données projet'!$A$36,$K$205^A21,IF(A21='Données projet'!$A$36,'Données projet'!$B$36,N20+M21-V20)))</f>
        <v>14.649236575865659</v>
      </c>
      <c r="O21" s="13">
        <f>N21*VLOOKUP('Données projet'!$B$9,Paramètres!$A$1:$I$89,3,0)*VLOOKUP('Données projet'!$B$9,Paramètres!$A$1:$I$89,5,0)</f>
        <v>13.254629253843246</v>
      </c>
      <c r="P21" s="13">
        <f t="shared" si="33"/>
        <v>4.5214326134467182</v>
      </c>
      <c r="Q21" s="20">
        <f t="shared" si="2"/>
        <v>30.959974418863357</v>
      </c>
      <c r="R21" s="59">
        <f t="shared" si="0"/>
        <v>324.29330775219665</v>
      </c>
      <c r="S21" s="59">
        <f ca="1">AVERAGE(OFFSET($R$3,0,0,'Données projet'!$E$9+1,1))-AVERAGE(OFFSET($H$3,0,0,'Données projet'!$E$9+1,1))</f>
        <v>153.45079678708987</v>
      </c>
      <c r="T21" s="59">
        <f t="shared" si="34"/>
        <v>115.4217868409637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14.85432588792778</v>
      </c>
      <c r="AK21" s="13">
        <f t="shared" si="35"/>
        <v>5.000360656159657</v>
      </c>
      <c r="AL21" s="20">
        <f t="shared" si="4"/>
        <v>34.580245730952278</v>
      </c>
      <c r="AM21" s="59">
        <f t="shared" si="5"/>
        <v>327.91357906428561</v>
      </c>
      <c r="AN21" s="59">
        <f ca="1">AVERAGE(OFFSET($AM$3,0,0,'Données projet'!$E$10+1,1))-AVERAGE(OFFSET($H$3,0,0,'Données projet'!$E$10+1,1))</f>
        <v>190.21499310415584</v>
      </c>
      <c r="AO21" s="59">
        <f t="shared" si="36"/>
        <v>136.15730566500173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4.3499999999999996</v>
      </c>
      <c r="BD21" s="12">
        <f>IF('Données projet'!$A$88&gt;35,BD20+BC21-BL20,IF(A21&lt;'Données projet'!$A$88,$BA$205^A21,IF(A21='Données projet'!$A$88,'Données projet'!$B$88,BD20+BC21-BL20)))</f>
        <v>55.663092037363775</v>
      </c>
      <c r="BE21" s="13">
        <f>BD21*VLOOKUP('Données projet'!$B$11,Paramètres!$A$1:$I$89,3,0)*VLOOKUP('Données projet'!$B$11,Paramètres!$A$1:$I$89,5,0)</f>
        <v>33.286529038343545</v>
      </c>
      <c r="BF21" s="13">
        <f t="shared" si="37"/>
        <v>10.200665853974691</v>
      </c>
      <c r="BG21" s="20">
        <f t="shared" si="7"/>
        <v>75.740197770787589</v>
      </c>
      <c r="BH21" s="59">
        <f t="shared" si="8"/>
        <v>369.07353110412089</v>
      </c>
      <c r="BI21" s="59">
        <f ca="1">AVERAGE(OFFSET($BH$3,0,0,'Données projet'!$E$11+1,1))-AVERAGE(OFFSET($H$3,0,0,'Données projet'!$E$11+1,1))</f>
        <v>270.30888762640245</v>
      </c>
      <c r="BJ21" s="59">
        <f t="shared" si="38"/>
        <v>202.23783851977691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4.3499999999999996</v>
      </c>
      <c r="BY21" s="12">
        <f>IF('Données projet'!$A$114&gt;35,BY20+BX21-CG20,IF(A21&lt;'Données projet'!$A$114,$BV$205^A21,IF(A21='Données projet'!$A$114,'Données projet'!$B$114,BY20+BX21-CG20)))</f>
        <v>55.663092037363775</v>
      </c>
      <c r="BZ21" s="13">
        <f>BY21*VLOOKUP('Données projet'!$B$12,Paramètres!$A$1:$I$89,3,0)*VLOOKUP('Données projet'!$B$12,Paramètres!$A$1:$I$89,5,0)</f>
        <v>33.286529038343545</v>
      </c>
      <c r="CA21" s="13">
        <f t="shared" si="39"/>
        <v>10.200665853974691</v>
      </c>
      <c r="CB21" s="20">
        <f t="shared" si="10"/>
        <v>75.740197770787589</v>
      </c>
      <c r="CC21" s="59">
        <f t="shared" si="11"/>
        <v>369.07353110412089</v>
      </c>
      <c r="CD21" s="59">
        <f ca="1">AVERAGE(OFFSET($CC$3,0,0,'Données projet'!$E$12+1,1))-AVERAGE(OFFSET($H$3,0,0,'Données projet'!$E$12+1,1))</f>
        <v>270.30888762640245</v>
      </c>
      <c r="CE21" s="59">
        <f t="shared" si="40"/>
        <v>202.23783851977691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7.2264102564102561</v>
      </c>
      <c r="CT21" s="12">
        <f>IF('Données projet'!$A$140&gt;35,CT20+CS21-DB20,IF(A21&lt;'Données projet'!$A$140,$CQ$205^A21,IF(A21='Données projet'!$A$140,'Données projet'!$B$140,CT20+CS21-DB20)))</f>
        <v>25.213104335913162</v>
      </c>
      <c r="CU21" s="17">
        <f>CT21*VLOOKUP('Données projet'!$B$13,Paramètres!$A$1:$I$89,3,0)*VLOOKUP('Données projet'!$B$13,Paramètres!$A$1:$I$89,5,0)</f>
        <v>11.799732829207361</v>
      </c>
      <c r="CV21" s="13">
        <f t="shared" si="41"/>
        <v>4.079982665155371</v>
      </c>
      <c r="CW21" s="20">
        <f t="shared" si="13"/>
        <v>27.657171152681755</v>
      </c>
      <c r="CX21" s="59">
        <f t="shared" si="14"/>
        <v>320.99050448601508</v>
      </c>
      <c r="CY21" s="59">
        <f ca="1">AVERAGE(OFFSET($CX$3,0,0,'Données projet'!$E$13+1,1))-AVERAGE(OFFSET($H$3,0,0,'Données projet'!$E$13+1,1))</f>
        <v>158.58786357608489</v>
      </c>
      <c r="CZ21" s="59">
        <f t="shared" si="42"/>
        <v>163.20074068819849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4.75</v>
      </c>
      <c r="DO21" s="12">
        <f>IF('Données projet'!$A$166&gt;35,DO20+DN21-DW20,IF(A21&lt;'Données projet'!$A$166,$DL$205^A21,IF(A21='Données projet'!$A$166,'Données projet'!$B$166,DO20+DN21-DW20)))</f>
        <v>60.249194467085609</v>
      </c>
      <c r="DP21" s="17">
        <f>DO21*VLOOKUP('Données projet'!$B$14,Paramètres!$A$1:$I$89,3,0)*VLOOKUP('Données projet'!$B$14,Paramètres!$A$1:$I$89,5,0)</f>
        <v>40.415159648521026</v>
      </c>
      <c r="DQ21" s="13">
        <f t="shared" si="43"/>
        <v>12.108618803280235</v>
      </c>
      <c r="DR21" s="20">
        <f t="shared" si="16"/>
        <v>91.478914136887184</v>
      </c>
      <c r="DS21" s="59">
        <f t="shared" si="17"/>
        <v>384.81224747022048</v>
      </c>
      <c r="DT21" s="59">
        <f ca="1">AVERAGE(OFFSET($DS$3,0,0,'Données projet'!$E$14+1,1))-AVERAGE(OFFSET($H$3,0,0,'Données projet'!$E$14+1,1))</f>
        <v>156.63226020379989</v>
      </c>
      <c r="DU21" s="59">
        <f t="shared" si="44"/>
        <v>196.0481096619543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2.9235042735042733</v>
      </c>
      <c r="EJ21" s="12">
        <f>IF('Données projet'!$A$192&gt;35,EJ20+EI21-ER20,IF(A21&lt;'Données projet'!$A$192,$EG$205^A21,IF(A21='Données projet'!$A$192,'Données projet'!$B$192,EJ20+EI21-ER20)))</f>
        <v>14.649236575865659</v>
      </c>
      <c r="EK21" s="17">
        <f>EJ21*VLOOKUP('Données projet'!$B$15,Paramètres!$A$1:$I$89,3,0)*VLOOKUP('Données projet'!$B$15,Paramètres!$A$1:$I$89,5,0)</f>
        <v>15.768438250261795</v>
      </c>
      <c r="EL21" s="13">
        <f t="shared" si="45"/>
        <v>5.2713049834747956</v>
      </c>
      <c r="EM21" s="20">
        <f t="shared" si="19"/>
        <v>36.644219465424563</v>
      </c>
      <c r="EN21" s="59">
        <f t="shared" si="20"/>
        <v>329.97755279875787</v>
      </c>
      <c r="EO21" s="59">
        <f ca="1">AVERAGE(OFFSET($EN$3,0,0,'Données projet'!$E$15+1,1))-AVERAGE(OFFSET($H$3,0,0,'Données projet'!$E$15+1,1))</f>
        <v>211.18501783767226</v>
      </c>
      <c r="EP21" s="59">
        <f t="shared" si="46"/>
        <v>147.98306963466246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3.44</v>
      </c>
      <c r="FE21" s="12">
        <f>IF('Données projet'!$A$218&gt;35,FE20+FD21-FM20,IF(A21&lt;'Données projet'!$A$218,$FB$205^A21,IF(A21='Données projet'!$A$218,'Données projet'!$B$218,FE20+FD21-FM20)))</f>
        <v>24.708073517994233</v>
      </c>
      <c r="FF21" s="17">
        <f>FE21*VLOOKUP('Données projet'!$B$16,Paramètres!$A$1:$I$89,3,0)*VLOOKUP('Données projet'!$B$16,Paramètres!$A$1:$I$89,5,0)</f>
        <v>14.775427963760553</v>
      </c>
      <c r="FG21" s="13">
        <f t="shared" si="47"/>
        <v>4.9768857338902137</v>
      </c>
      <c r="FH21" s="20">
        <f t="shared" si="22"/>
        <v>34.401946356741753</v>
      </c>
      <c r="FI21" s="59">
        <f t="shared" si="23"/>
        <v>327.73527969007506</v>
      </c>
      <c r="FJ21" s="59">
        <f ca="1">AVERAGE(OFFSET($FI$3,0,0,'Données projet'!$E$16+1,1))-AVERAGE(OFFSET($H$3,0,0,'Données projet'!$E$16+1,1))</f>
        <v>232.26937455765062</v>
      </c>
      <c r="FK21" s="59">
        <f t="shared" si="48"/>
        <v>115.80853281120301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4.75</v>
      </c>
      <c r="FZ21" s="12">
        <f>IF('Données projet'!$A$244&gt;35,FZ20+FY21-GH20,IF(A21&lt;'Données projet'!$A$244,$FW$205^A21,IF(A21='Données projet'!$A$244,'Données projet'!$B$244,FZ20+FY21-GH20)))</f>
        <v>60.249194467085609</v>
      </c>
      <c r="GA21" s="17">
        <f>FZ21*VLOOKUP('Données projet'!$B$17,Paramètres!$A$1:$I$89,3,0)*VLOOKUP('Données projet'!$B$17,Paramètres!$A$1:$I$89,5,0)</f>
        <v>47.934259118013308</v>
      </c>
      <c r="GB21" s="13">
        <f t="shared" si="49"/>
        <v>14.078970127192205</v>
      </c>
      <c r="GC21" s="20">
        <f t="shared" si="25"/>
        <v>108.00637426873294</v>
      </c>
      <c r="GD21" s="59">
        <f t="shared" si="26"/>
        <v>401.33970760206626</v>
      </c>
      <c r="GE21" s="59">
        <f ca="1">AVERAGE(OFFSET($GD$3,0,0,'Données projet'!$E$17+1,1))-AVERAGE(OFFSET($H$3,0,0,'Données projet'!$E$17+1,1))</f>
        <v>199.58763537752952</v>
      </c>
      <c r="GF21" s="59">
        <f t="shared" si="50"/>
        <v>242.62852778451929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2.9235042735042733</v>
      </c>
      <c r="N22" s="13">
        <f>IF('Données projet'!$A$36&gt;35,N21+M22-V21,IF(A22&lt;'Données projet'!$A$36,$K$205^A22,IF(A22='Données projet'!$A$36,'Données projet'!$B$36,N21+M22-V21)))</f>
        <v>17.005229294461625</v>
      </c>
      <c r="O22" s="13">
        <f>N22*VLOOKUP('Données projet'!$B$9,Paramètres!$A$1:$I$89,3,0)*VLOOKUP('Données projet'!$B$9,Paramètres!$A$1:$I$89,5,0)</f>
        <v>15.386331465628878</v>
      </c>
      <c r="P22" s="13">
        <f t="shared" si="33"/>
        <v>5.1582765859259734</v>
      </c>
      <c r="Q22" s="20">
        <f t="shared" si="2"/>
        <v>35.781859023124703</v>
      </c>
      <c r="R22" s="59">
        <f t="shared" si="0"/>
        <v>329.11519235645801</v>
      </c>
      <c r="S22" s="59">
        <f ca="1">AVERAGE(OFFSET($R$3,0,0,'Données projet'!$E$9+1,1))-AVERAGE(OFFSET($H$3,0,0,'Données projet'!$E$9+1,1))</f>
        <v>153.45079678708987</v>
      </c>
      <c r="T22" s="59">
        <f t="shared" si="34"/>
        <v>115.4217868409637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17.24330250458409</v>
      </c>
      <c r="AK22" s="13">
        <f t="shared" si="35"/>
        <v>5.7046616634614491</v>
      </c>
      <c r="AL22" s="20">
        <f t="shared" si="4"/>
        <v>39.967704259345972</v>
      </c>
      <c r="AM22" s="59">
        <f t="shared" si="5"/>
        <v>333.30103759267928</v>
      </c>
      <c r="AN22" s="59">
        <f ca="1">AVERAGE(OFFSET($AM$3,0,0,'Données projet'!$E$10+1,1))-AVERAGE(OFFSET($H$3,0,0,'Données projet'!$E$10+1,1))</f>
        <v>190.21499310415584</v>
      </c>
      <c r="AO22" s="59">
        <f t="shared" si="36"/>
        <v>136.15730566500173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4.3499999999999996</v>
      </c>
      <c r="BD22" s="12">
        <f>IF('Données projet'!$A$88&gt;35,BD21+BC22-BL21,IF(A22&lt;'Données projet'!$A$88,$BA$205^A22,IF(A22='Données projet'!$A$88,'Données projet'!$B$88,BD21+BC22-BL21)))</f>
        <v>69.589431720992238</v>
      </c>
      <c r="BE22" s="13">
        <f>BD22*VLOOKUP('Données projet'!$B$11,Paramètres!$A$1:$I$89,3,0)*VLOOKUP('Données projet'!$B$11,Paramètres!$A$1:$I$89,5,0)</f>
        <v>41.614480169153367</v>
      </c>
      <c r="BF22" s="13">
        <f t="shared" si="37"/>
        <v>12.425574628043913</v>
      </c>
      <c r="BG22" s="20">
        <f t="shared" si="7"/>
        <v>94.119762105118596</v>
      </c>
      <c r="BH22" s="59">
        <f t="shared" si="8"/>
        <v>387.4530954384519</v>
      </c>
      <c r="BI22" s="59">
        <f ca="1">AVERAGE(OFFSET($BH$3,0,0,'Données projet'!$E$11+1,1))-AVERAGE(OFFSET($H$3,0,0,'Données projet'!$E$11+1,1))</f>
        <v>270.30888762640245</v>
      </c>
      <c r="BJ22" s="59">
        <f t="shared" si="38"/>
        <v>202.23783851977691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4.3499999999999996</v>
      </c>
      <c r="BY22" s="12">
        <f>IF('Données projet'!$A$114&gt;35,BY21+BX22-CG21,IF(A22&lt;'Données projet'!$A$114,$BV$205^A22,IF(A22='Données projet'!$A$114,'Données projet'!$B$114,BY21+BX22-CG21)))</f>
        <v>69.589431720992238</v>
      </c>
      <c r="BZ22" s="13">
        <f>BY22*VLOOKUP('Données projet'!$B$12,Paramètres!$A$1:$I$89,3,0)*VLOOKUP('Données projet'!$B$12,Paramètres!$A$1:$I$89,5,0)</f>
        <v>41.614480169153367</v>
      </c>
      <c r="CA22" s="13">
        <f t="shared" si="39"/>
        <v>12.425574628043913</v>
      </c>
      <c r="CB22" s="20">
        <f t="shared" si="10"/>
        <v>94.119762105118596</v>
      </c>
      <c r="CC22" s="59">
        <f t="shared" si="11"/>
        <v>387.4530954384519</v>
      </c>
      <c r="CD22" s="59">
        <f ca="1">AVERAGE(OFFSET($CC$3,0,0,'Données projet'!$E$12+1,1))-AVERAGE(OFFSET($H$3,0,0,'Données projet'!$E$12+1,1))</f>
        <v>270.30888762640245</v>
      </c>
      <c r="CE22" s="59">
        <f t="shared" si="40"/>
        <v>202.23783851977691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7.2264102564102561</v>
      </c>
      <c r="CT22" s="12">
        <f>IF('Données projet'!$A$140&gt;35,CT21+CS22-DB21,IF(A22&lt;'Données projet'!$A$140,$CQ$205^A22,IF(A22='Données projet'!$A$140,'Données projet'!$B$140,CT21+CS22-DB21)))</f>
        <v>30.164383244315122</v>
      </c>
      <c r="CU22" s="17">
        <f>CT22*VLOOKUP('Données projet'!$B$13,Paramètres!$A$1:$I$89,3,0)*VLOOKUP('Données projet'!$B$13,Paramètres!$A$1:$I$89,5,0)</f>
        <v>14.116931358339476</v>
      </c>
      <c r="CV22" s="13">
        <f t="shared" si="41"/>
        <v>4.7803819359082427</v>
      </c>
      <c r="CW22" s="20">
        <f t="shared" si="13"/>
        <v>32.912820654148106</v>
      </c>
      <c r="CX22" s="59">
        <f t="shared" si="14"/>
        <v>326.24615398748142</v>
      </c>
      <c r="CY22" s="59">
        <f ca="1">AVERAGE(OFFSET($CX$3,0,0,'Données projet'!$E$13+1,1))-AVERAGE(OFFSET($H$3,0,0,'Données projet'!$E$13+1,1))</f>
        <v>158.58786357608489</v>
      </c>
      <c r="CZ22" s="59">
        <f t="shared" si="42"/>
        <v>163.20074068819849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4.75</v>
      </c>
      <c r="DO22" s="12">
        <f>IF('Données projet'!$A$166&gt;35,DO21+DN22-DW21,IF(A22&lt;'Données projet'!$A$166,$DL$205^A22,IF(A22='Données projet'!$A$166,'Données projet'!$B$166,DO21+DN22-DW21)))</f>
        <v>75.65496331618381</v>
      </c>
      <c r="DP22" s="17">
        <f>DO22*VLOOKUP('Données projet'!$B$14,Paramètres!$A$1:$I$89,3,0)*VLOOKUP('Données projet'!$B$14,Paramètres!$A$1:$I$89,5,0)</f>
        <v>50.7493493924961</v>
      </c>
      <c r="DQ22" s="13">
        <f t="shared" si="43"/>
        <v>14.807114547026517</v>
      </c>
      <c r="DR22" s="20">
        <f t="shared" si="16"/>
        <v>114.17750802800187</v>
      </c>
      <c r="DS22" s="59">
        <f t="shared" si="17"/>
        <v>407.51084136133517</v>
      </c>
      <c r="DT22" s="59">
        <f ca="1">AVERAGE(OFFSET($DS$3,0,0,'Données projet'!$E$14+1,1))-AVERAGE(OFFSET($H$3,0,0,'Données projet'!$E$14+1,1))</f>
        <v>156.63226020379989</v>
      </c>
      <c r="DU22" s="59">
        <f t="shared" si="44"/>
        <v>196.0481096619543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2.9235042735042733</v>
      </c>
      <c r="EJ22" s="12">
        <f>IF('Données projet'!$A$192&gt;35,EJ21+EI22-ER21,IF(A22&lt;'Données projet'!$A$192,$EG$205^A22,IF(A22='Données projet'!$A$192,'Données projet'!$B$192,EJ21+EI22-ER21)))</f>
        <v>17.005229294461625</v>
      </c>
      <c r="EK22" s="17">
        <f>EJ22*VLOOKUP('Données projet'!$B$15,Paramètres!$A$1:$I$89,3,0)*VLOOKUP('Données projet'!$B$15,Paramètres!$A$1:$I$89,5,0)</f>
        <v>18.304428812558491</v>
      </c>
      <c r="EL22" s="13">
        <f t="shared" si="45"/>
        <v>6.0137685105971697</v>
      </c>
      <c r="EM22" s="20">
        <f t="shared" si="19"/>
        <v>42.354193671162776</v>
      </c>
      <c r="EN22" s="59">
        <f t="shared" si="20"/>
        <v>335.68752700449608</v>
      </c>
      <c r="EO22" s="59">
        <f ca="1">AVERAGE(OFFSET($EN$3,0,0,'Données projet'!$E$15+1,1))-AVERAGE(OFFSET($H$3,0,0,'Données projet'!$E$15+1,1))</f>
        <v>211.18501783767226</v>
      </c>
      <c r="EP22" s="59">
        <f t="shared" si="46"/>
        <v>147.98306963466246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3.44</v>
      </c>
      <c r="FE22" s="12">
        <f>IF('Données projet'!$A$218&gt;35,FE21+FD22-FM21,IF(A22&lt;'Données projet'!$A$218,$FB$205^A22,IF(A22='Données projet'!$A$218,'Données projet'!$B$218,FE21+FD22-FM21)))</f>
        <v>29.526965930567361</v>
      </c>
      <c r="FF22" s="17">
        <f>FE22*VLOOKUP('Données projet'!$B$16,Paramètres!$A$1:$I$89,3,0)*VLOOKUP('Données projet'!$B$16,Paramètres!$A$1:$I$89,5,0)</f>
        <v>17.657125626479285</v>
      </c>
      <c r="FG22" s="13">
        <f t="shared" si="47"/>
        <v>5.8254648079182427</v>
      </c>
      <c r="FH22" s="20">
        <f t="shared" si="22"/>
        <v>40.898845006575698</v>
      </c>
      <c r="FI22" s="59">
        <f t="shared" si="23"/>
        <v>334.23217833990901</v>
      </c>
      <c r="FJ22" s="59">
        <f ca="1">AVERAGE(OFFSET($FI$3,0,0,'Données projet'!$E$16+1,1))-AVERAGE(OFFSET($H$3,0,0,'Données projet'!$E$16+1,1))</f>
        <v>232.26937455765062</v>
      </c>
      <c r="FK22" s="59">
        <f t="shared" si="48"/>
        <v>115.80853281120301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4.75</v>
      </c>
      <c r="FZ22" s="12">
        <f>IF('Données projet'!$A$244&gt;35,FZ21+FY22-GH21,IF(A22&lt;'Données projet'!$A$244,$FW$205^A22,IF(A22='Données projet'!$A$244,'Données projet'!$B$244,FZ21+FY22-GH21)))</f>
        <v>75.65496331618381</v>
      </c>
      <c r="GA22" s="17">
        <f>FZ22*VLOOKUP('Données projet'!$B$17,Paramètres!$A$1:$I$89,3,0)*VLOOKUP('Données projet'!$B$17,Paramètres!$A$1:$I$89,5,0)</f>
        <v>60.191088814355844</v>
      </c>
      <c r="GB22" s="13">
        <f t="shared" si="49"/>
        <v>17.216573315614252</v>
      </c>
      <c r="GC22" s="20">
        <f t="shared" si="25"/>
        <v>134.81834487636456</v>
      </c>
      <c r="GD22" s="59">
        <f t="shared" si="26"/>
        <v>428.15167820969788</v>
      </c>
      <c r="GE22" s="59">
        <f ca="1">AVERAGE(OFFSET($GD$3,0,0,'Données projet'!$E$17+1,1))-AVERAGE(OFFSET($H$3,0,0,'Données projet'!$E$17+1,1))</f>
        <v>199.58763537752952</v>
      </c>
      <c r="GF22" s="59">
        <f t="shared" si="50"/>
        <v>242.62852778451929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2.9235042735042733</v>
      </c>
      <c r="N23" s="13">
        <f>IF('Données projet'!$A$36&gt;35,N22+M23-V22,IF(A23&lt;'Données projet'!$A$36,$K$205^A23,IF(A23='Données projet'!$A$36,'Données projet'!$B$36,N22+M23-V22)))</f>
        <v>19.740129245617538</v>
      </c>
      <c r="O23" s="13">
        <f>N23*VLOOKUP('Données projet'!$B$9,Paramètres!$A$1:$I$89,3,0)*VLOOKUP('Données projet'!$B$9,Paramètres!$A$1:$I$89,5,0)</f>
        <v>17.860868941434749</v>
      </c>
      <c r="P23" s="13">
        <f t="shared" si="33"/>
        <v>5.8848200585320249</v>
      </c>
      <c r="Q23" s="20">
        <f t="shared" si="2"/>
        <v>41.357075008275459</v>
      </c>
      <c r="R23" s="59">
        <f t="shared" si="0"/>
        <v>334.69040834160876</v>
      </c>
      <c r="S23" s="59">
        <f ca="1">AVERAGE(OFFSET($R$3,0,0,'Données projet'!$E$9+1,1))-AVERAGE(OFFSET($H$3,0,0,'Données projet'!$E$9+1,1))</f>
        <v>153.45079678708987</v>
      </c>
      <c r="T23" s="59">
        <f t="shared" si="34"/>
        <v>115.4217868409637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20.016491055056186</v>
      </c>
      <c r="AK23" s="13">
        <f t="shared" si="35"/>
        <v>6.5081634970626938</v>
      </c>
      <c r="AL23" s="20">
        <f t="shared" si="4"/>
        <v>46.197106678273713</v>
      </c>
      <c r="AM23" s="59">
        <f t="shared" si="5"/>
        <v>339.53044001160703</v>
      </c>
      <c r="AN23" s="59">
        <f ca="1">AVERAGE(OFFSET($AM$3,0,0,'Données projet'!$E$10+1,1))-AVERAGE(OFFSET($H$3,0,0,'Données projet'!$E$10+1,1))</f>
        <v>190.21499310415584</v>
      </c>
      <c r="AO23" s="59">
        <f t="shared" si="36"/>
        <v>136.15730566500173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87</v>
      </c>
      <c r="BB23" s="12">
        <f>VLOOKUP(A23,'Données projet'!$A$87:$I$107,9,0)</f>
        <v>4.3499999999999996</v>
      </c>
      <c r="BC23" s="12">
        <f t="array" ref="BC23">INDEX(BB:BB,MIN(IF(ISNUMBER(BB23:BB219),ROW(BB23:BB219),"")))</f>
        <v>4.3499999999999996</v>
      </c>
      <c r="BD23" s="12">
        <f>IF('Données projet'!$A$88&gt;35,BD22+BC23-BL22,IF(A23&lt;'Données projet'!$A$88,$BA$205^A23,IF(A23='Données projet'!$A$88,'Données projet'!$B$88,BD22+BC23-BL22)))</f>
        <v>87</v>
      </c>
      <c r="BE23" s="13">
        <f>BD23*VLOOKUP('Données projet'!$B$11,Paramètres!$A$1:$I$89,3,0)*VLOOKUP('Données projet'!$B$11,Paramètres!$A$1:$I$89,5,0)</f>
        <v>52.026000000000003</v>
      </c>
      <c r="BF23" s="13">
        <f t="shared" si="37"/>
        <v>15.135767316300118</v>
      </c>
      <c r="BG23" s="20">
        <f t="shared" si="7"/>
        <v>116.97341140922269</v>
      </c>
      <c r="BH23" s="59">
        <f t="shared" si="8"/>
        <v>410.30674474255602</v>
      </c>
      <c r="BI23" s="59">
        <f ca="1">AVERAGE(OFFSET($BH$3,0,0,'Données projet'!$E$11+1,1))-AVERAGE(OFFSET($H$3,0,0,'Données projet'!$E$11+1,1))</f>
        <v>270.30888762640245</v>
      </c>
      <c r="BJ23" s="59">
        <f t="shared" si="38"/>
        <v>202.23783851977691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3.5557293460465722</v>
      </c>
      <c r="BR23" s="21">
        <f>EXP(-LN(2)/2)*BR22+(1-EXP(-LN(2)/2))/(LN(2)/2)*BL23*BO23*VLOOKUP('Données projet'!$B$11,Paramètres!$A$1:$I$89,3,0)*0.475*44/12</f>
        <v>6.7707491392082657</v>
      </c>
      <c r="BS23" s="22">
        <f t="shared" si="9"/>
        <v>10.326478485254839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87</v>
      </c>
      <c r="BW23" s="12">
        <f>VLOOKUP(A23,'Données projet'!$A$113:$I$133,9,0)</f>
        <v>4.3499999999999996</v>
      </c>
      <c r="BX23" s="12">
        <f t="array" ref="BX23">INDEX(BW:BW,MIN(IF(ISNUMBER(BW23:BW219),ROW(BW23:BW219),"")))</f>
        <v>4.3499999999999996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52.026000000000003</v>
      </c>
      <c r="CA23" s="13">
        <f t="shared" si="39"/>
        <v>15.135767316300118</v>
      </c>
      <c r="CB23" s="20">
        <f t="shared" si="10"/>
        <v>116.97341140922269</v>
      </c>
      <c r="CC23" s="59">
        <f t="shared" si="11"/>
        <v>410.30674474255602</v>
      </c>
      <c r="CD23" s="59">
        <f ca="1">AVERAGE(OFFSET($CC$3,0,0,'Données projet'!$E$12+1,1))-AVERAGE(OFFSET($H$3,0,0,'Données projet'!$E$12+1,1))</f>
        <v>270.30888762640245</v>
      </c>
      <c r="CE23" s="59">
        <f t="shared" si="40"/>
        <v>202.23783851977691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3.5557293460465722</v>
      </c>
      <c r="CM23" s="21">
        <f>EXP(-LN(2)/2)*CM22+(1-EXP(-LN(2)/2))/(LN(2)/2)*CG23*CJ23*VLOOKUP('Données projet'!$B$12,Paramètres!$A$1:$I$89,3,0)*0.475*44/12</f>
        <v>6.7707491392082657</v>
      </c>
      <c r="CN23" s="22">
        <f t="shared" si="12"/>
        <v>10.326478485254839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7.2264102564102561</v>
      </c>
      <c r="CT23" s="12">
        <f>IF('Données projet'!$A$140&gt;35,CT22+CS23-DB22,IF(A23&lt;'Données projet'!$A$140,$CQ$205^A23,IF(A23='Données projet'!$A$140,'Données projet'!$B$140,CT22+CS23-DB22)))</f>
        <v>36.0879804560157</v>
      </c>
      <c r="CU23" s="17">
        <f>CT23*VLOOKUP('Données projet'!$B$13,Paramètres!$A$1:$I$89,3,0)*VLOOKUP('Données projet'!$B$13,Paramètres!$A$1:$I$89,5,0)</f>
        <v>16.889174853415348</v>
      </c>
      <c r="CV23" s="13">
        <f t="shared" si="41"/>
        <v>5.6010168004690764</v>
      </c>
      <c r="CW23" s="20">
        <f t="shared" si="13"/>
        <v>39.170417130515368</v>
      </c>
      <c r="CX23" s="59">
        <f t="shared" si="14"/>
        <v>332.50375046384869</v>
      </c>
      <c r="CY23" s="59">
        <f ca="1">AVERAGE(OFFSET($CX$3,0,0,'Données projet'!$E$13+1,1))-AVERAGE(OFFSET($H$3,0,0,'Données projet'!$E$13+1,1))</f>
        <v>158.58786357608489</v>
      </c>
      <c r="CZ23" s="59">
        <f t="shared" si="42"/>
        <v>163.20074068819849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95</v>
      </c>
      <c r="DM23" s="12">
        <f>VLOOKUP(A23,'Données projet'!$A$165:$I$185,9,0)</f>
        <v>4.75</v>
      </c>
      <c r="DN23" s="12">
        <f t="array" ref="DN23">INDEX(DM:DM,MIN(IF(ISNUMBER(DM23:DM219),ROW(DM23:DM219),"")))</f>
        <v>4.75</v>
      </c>
      <c r="DO23" s="12">
        <f>IF('Données projet'!$A$166&gt;35,DO22+DN23-DW22,IF(A23&lt;'Données projet'!$A$166,$DL$205^A23,IF(A23='Données projet'!$A$166,'Données projet'!$B$166,DO22+DN23-DW22)))</f>
        <v>95</v>
      </c>
      <c r="DP23" s="17">
        <f>DO23*VLOOKUP('Données projet'!$B$14,Paramètres!$A$1:$I$89,3,0)*VLOOKUP('Données projet'!$B$14,Paramètres!$A$1:$I$89,5,0)</f>
        <v>63.726000000000006</v>
      </c>
      <c r="DQ23" s="13">
        <f t="shared" si="43"/>
        <v>18.10699013411584</v>
      </c>
      <c r="DR23" s="20">
        <f t="shared" si="16"/>
        <v>142.52579115025176</v>
      </c>
      <c r="DS23" s="59">
        <f t="shared" si="17"/>
        <v>435.85912448358511</v>
      </c>
      <c r="DT23" s="59">
        <f ca="1">AVERAGE(OFFSET($DS$3,0,0,'Données projet'!$E$14+1,1))-AVERAGE(OFFSET($H$3,0,0,'Données projet'!$E$14+1,1))</f>
        <v>156.63226020379989</v>
      </c>
      <c r="DU23" s="59">
        <f t="shared" si="44"/>
        <v>196.0481096619543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43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4.2083431005377525</v>
      </c>
      <c r="EC23" s="21">
        <f>EXP(-LN(2)/2)*EC22+(1-EXP(-LN(2)/2))/(LN(2)/2)*DW23*DZ23*VLOOKUP('Données projet'!$B$14,Paramètres!$A$1:$I$89,3,0)*0.475*44/12</f>
        <v>6.8038669339109141</v>
      </c>
      <c r="ED23" s="22">
        <f t="shared" si="18"/>
        <v>11.012210034448668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2.9235042735042733</v>
      </c>
      <c r="EJ23" s="12">
        <f>IF('Données projet'!$A$192&gt;35,EJ22+EI23-ER22,IF(A23&lt;'Données projet'!$A$192,$EG$205^A23,IF(A23='Données projet'!$A$192,'Données projet'!$B$192,EJ22+EI23-ER22)))</f>
        <v>19.740129245617538</v>
      </c>
      <c r="EK23" s="17">
        <f>EJ23*VLOOKUP('Données projet'!$B$15,Paramètres!$A$1:$I$89,3,0)*VLOOKUP('Données projet'!$B$15,Paramètres!$A$1:$I$89,5,0)</f>
        <v>21.248275119982718</v>
      </c>
      <c r="EL23" s="13">
        <f t="shared" si="45"/>
        <v>6.860808056529903</v>
      </c>
      <c r="EM23" s="20">
        <f t="shared" si="19"/>
        <v>48.956653199092813</v>
      </c>
      <c r="EN23" s="59">
        <f t="shared" si="20"/>
        <v>342.28998653242616</v>
      </c>
      <c r="EO23" s="59">
        <f ca="1">AVERAGE(OFFSET($EN$3,0,0,'Données projet'!$E$15+1,1))-AVERAGE(OFFSET($H$3,0,0,'Données projet'!$E$15+1,1))</f>
        <v>211.18501783767226</v>
      </c>
      <c r="EP23" s="59">
        <f t="shared" si="46"/>
        <v>147.98306963466246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3.44</v>
      </c>
      <c r="FE23" s="12">
        <f>IF('Données projet'!$A$218&gt;35,FE22+FD23-FM22,IF(A23&lt;'Données projet'!$A$218,$FB$205^A23,IF(A23='Données projet'!$A$218,'Données projet'!$B$218,FE22+FD23-FM22)))</f>
        <v>35.285701915608534</v>
      </c>
      <c r="FF23" s="17">
        <f>FE23*VLOOKUP('Données projet'!$B$16,Paramètres!$A$1:$I$89,3,0)*VLOOKUP('Données projet'!$B$16,Paramètres!$A$1:$I$89,5,0)</f>
        <v>21.100849745533907</v>
      </c>
      <c r="FG23" s="13">
        <f t="shared" si="47"/>
        <v>6.8187300337650329</v>
      </c>
      <c r="FH23" s="20">
        <f t="shared" si="22"/>
        <v>48.62660144894565</v>
      </c>
      <c r="FI23" s="59">
        <f t="shared" si="23"/>
        <v>341.95993478227899</v>
      </c>
      <c r="FJ23" s="59">
        <f ca="1">AVERAGE(OFFSET($FI$3,0,0,'Données projet'!$E$16+1,1))-AVERAGE(OFFSET($H$3,0,0,'Données projet'!$E$16+1,1))</f>
        <v>232.26937455765062</v>
      </c>
      <c r="FK23" s="59">
        <f t="shared" si="48"/>
        <v>115.80853281120301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95</v>
      </c>
      <c r="FX23" s="12">
        <f>VLOOKUP(A23,'Données projet'!$A$243:$I$263,9,0)</f>
        <v>4.75</v>
      </c>
      <c r="FY23" s="12">
        <f t="array" ref="FY23">INDEX(FX:FX,MIN(IF(ISNUMBER(FX23:FX219),ROW(FX23:FX219),"")))</f>
        <v>4.75</v>
      </c>
      <c r="FZ23" s="12">
        <f>IF('Données projet'!$A$244&gt;35,FZ22+FY23-GH22,IF(A23&lt;'Données projet'!$A$244,$FW$205^A23,IF(A23='Données projet'!$A$244,'Données projet'!$B$244,FZ22+FY23-GH22)))</f>
        <v>95</v>
      </c>
      <c r="GA23" s="17">
        <f>FZ23*VLOOKUP('Données projet'!$B$17,Paramètres!$A$1:$I$89,3,0)*VLOOKUP('Données projet'!$B$17,Paramètres!$A$1:$I$89,5,0)</f>
        <v>75.582000000000008</v>
      </c>
      <c r="GB23" s="13">
        <f t="shared" si="49"/>
        <v>21.053414706764137</v>
      </c>
      <c r="GC23" s="20">
        <f t="shared" si="25"/>
        <v>168.30668061428091</v>
      </c>
      <c r="GD23" s="59">
        <f t="shared" si="26"/>
        <v>461.64001394761419</v>
      </c>
      <c r="GE23" s="59">
        <f ca="1">AVERAGE(OFFSET($GD$3,0,0,'Données projet'!$E$17+1,1))-AVERAGE(OFFSET($H$3,0,0,'Données projet'!$E$17+1,1))</f>
        <v>199.58763537752952</v>
      </c>
      <c r="GF23" s="59">
        <f t="shared" si="50"/>
        <v>242.62852778451929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43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0.13250000000000001</v>
      </c>
      <c r="GK23" s="16">
        <f>IF(ISNA(VLOOKUP(A23,'Données projet'!$A$243:$I$263,7,0)),0%,VLOOKUP(A23,'Données projet'!$A$243:$I$263,7,0))</f>
        <v>0.25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4.9912906541261721</v>
      </c>
      <c r="GN23" s="21">
        <f>EXP(-LN(2)/2)*GN22+(1-EXP(-LN(2)/2))/(LN(2)/2)*GH23*GK23*VLOOKUP('Données projet'!$B$17,Paramètres!$A$1:$I$89,3,0)*0.475*44/12</f>
        <v>8.0697026425455061</v>
      </c>
      <c r="GO23" s="21">
        <f t="shared" si="27"/>
        <v>13.060993296671679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2.9235042735042733</v>
      </c>
      <c r="N24" s="13">
        <f>IF('Données projet'!$A$36&gt;35,N23+M24-V23,IF(A24&lt;'Données projet'!$A$36,$K$205^A24,IF(A24='Données projet'!$A$36,'Données projet'!$B$36,N23+M24-V23)))</f>
        <v>22.91487494147438</v>
      </c>
      <c r="O24" s="13">
        <f>N24*VLOOKUP('Données projet'!$B$9,Paramètres!$A$1:$I$89,3,0)*VLOOKUP('Données projet'!$B$9,Paramètres!$A$1:$I$89,5,0)</f>
        <v>20.733378847046019</v>
      </c>
      <c r="P24" s="13">
        <f t="shared" si="33"/>
        <v>6.713697209604776</v>
      </c>
      <c r="Q24" s="20">
        <f t="shared" si="2"/>
        <v>47.803657465333458</v>
      </c>
      <c r="R24" s="59">
        <f t="shared" si="0"/>
        <v>341.13699079866677</v>
      </c>
      <c r="S24" s="59">
        <f ca="1">AVERAGE(OFFSET($R$3,0,0,'Données projet'!$E$9+1,1))-AVERAGE(OFFSET($H$3,0,0,'Données projet'!$E$9+1,1))</f>
        <v>153.45079678708987</v>
      </c>
      <c r="T24" s="59">
        <f t="shared" si="34"/>
        <v>115.4217868409637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23.235683190655024</v>
      </c>
      <c r="AK24" s="13">
        <f t="shared" si="35"/>
        <v>7.4248385974916156</v>
      </c>
      <c r="AL24" s="20">
        <f t="shared" si="4"/>
        <v>53.400408781022065</v>
      </c>
      <c r="AM24" s="59">
        <f t="shared" si="5"/>
        <v>346.73374211435538</v>
      </c>
      <c r="AN24" s="59">
        <f ca="1">AVERAGE(OFFSET($AM$3,0,0,'Données projet'!$E$10+1,1))-AVERAGE(OFFSET($H$3,0,0,'Données projet'!$E$10+1,1))</f>
        <v>190.21499310415584</v>
      </c>
      <c r="AO24" s="59">
        <f t="shared" si="36"/>
        <v>136.15730566500173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13.3</v>
      </c>
      <c r="BD24" s="12">
        <f>IF('Données projet'!$A$88&gt;35,BD23+BC24-BL23,IF(A24&lt;'Données projet'!$A$88,$BA$205^A24,IF(A24='Données projet'!$A$88,'Données projet'!$B$88,BD23+BC24-BL23)))</f>
        <v>80.3</v>
      </c>
      <c r="BE24" s="13">
        <f>BD24*VLOOKUP('Données projet'!$B$11,Paramètres!$A$1:$I$89,3,0)*VLOOKUP('Données projet'!$B$11,Paramètres!$A$1:$I$89,5,0)</f>
        <v>48.019400000000005</v>
      </c>
      <c r="BF24" s="13">
        <f t="shared" si="37"/>
        <v>14.10106410189413</v>
      </c>
      <c r="BG24" s="20">
        <f t="shared" si="7"/>
        <v>108.1931416441323</v>
      </c>
      <c r="BH24" s="59">
        <f t="shared" si="8"/>
        <v>401.52647497746563</v>
      </c>
      <c r="BI24" s="59">
        <f ca="1">AVERAGE(OFFSET($BH$3,0,0,'Données projet'!$E$11+1,1))-AVERAGE(OFFSET($H$3,0,0,'Données projet'!$E$11+1,1))</f>
        <v>270.30888762640245</v>
      </c>
      <c r="BJ24" s="59">
        <f t="shared" si="38"/>
        <v>202.23783851977691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3.4584977400912491</v>
      </c>
      <c r="BR24" s="21">
        <f>EXP(-LN(2)/2)*BR23+(1-EXP(-LN(2)/2))/(LN(2)/2)*BL24*BO24*VLOOKUP('Données projet'!$B$11,Paramètres!$A$1:$I$89,3,0)*0.475*44/12</f>
        <v>4.7876426300471442</v>
      </c>
      <c r="BS24" s="22">
        <f t="shared" si="9"/>
        <v>8.2461403701383933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13.3</v>
      </c>
      <c r="BY24" s="12">
        <f>IF('Données projet'!$A$114&gt;35,BY23+BX24-CG23,IF(A24&lt;'Données projet'!$A$114,$BV$205^A24,IF(A24='Données projet'!$A$114,'Données projet'!$B$114,BY23+BX24-CG23)))</f>
        <v>80.3</v>
      </c>
      <c r="BZ24" s="13">
        <f>BY24*VLOOKUP('Données projet'!$B$12,Paramètres!$A$1:$I$89,3,0)*VLOOKUP('Données projet'!$B$12,Paramètres!$A$1:$I$89,5,0)</f>
        <v>48.019400000000005</v>
      </c>
      <c r="CA24" s="13">
        <f t="shared" si="39"/>
        <v>14.10106410189413</v>
      </c>
      <c r="CB24" s="20">
        <f t="shared" si="10"/>
        <v>108.1931416441323</v>
      </c>
      <c r="CC24" s="59">
        <f t="shared" si="11"/>
        <v>401.52647497746563</v>
      </c>
      <c r="CD24" s="59">
        <f ca="1">AVERAGE(OFFSET($CC$3,0,0,'Données projet'!$E$12+1,1))-AVERAGE(OFFSET($H$3,0,0,'Données projet'!$E$12+1,1))</f>
        <v>270.30888762640245</v>
      </c>
      <c r="CE24" s="59">
        <f t="shared" si="40"/>
        <v>202.23783851977691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3.4584977400912491</v>
      </c>
      <c r="CM24" s="21">
        <f>EXP(-LN(2)/2)*CM23+(1-EXP(-LN(2)/2))/(LN(2)/2)*CG24*CJ24*VLOOKUP('Données projet'!$B$12,Paramètres!$A$1:$I$89,3,0)*0.475*44/12</f>
        <v>4.7876426300471442</v>
      </c>
      <c r="CN24" s="22">
        <f t="shared" si="12"/>
        <v>8.2461403701383933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7.2264102564102561</v>
      </c>
      <c r="CT24" s="12">
        <f>IF('Données projet'!$A$140&gt;35,CT23+CS24-DB23,IF(A24&lt;'Données projet'!$A$140,$CQ$205^A24,IF(A24='Données projet'!$A$140,'Données projet'!$B$140,CT23+CS24-DB23)))</f>
        <v>43.17483711984115</v>
      </c>
      <c r="CU24" s="17">
        <f>CT24*VLOOKUP('Données projet'!$B$13,Paramètres!$A$1:$I$89,3,0)*VLOOKUP('Données projet'!$B$13,Paramètres!$A$1:$I$89,5,0)</f>
        <v>20.205823772085658</v>
      </c>
      <c r="CV24" s="13">
        <f t="shared" si="41"/>
        <v>6.5625277686471071</v>
      </c>
      <c r="CW24" s="20">
        <f t="shared" si="13"/>
        <v>46.621545600109563</v>
      </c>
      <c r="CX24" s="59">
        <f t="shared" si="14"/>
        <v>339.9548789334429</v>
      </c>
      <c r="CY24" s="59">
        <f ca="1">AVERAGE(OFFSET($CX$3,0,0,'Données projet'!$E$13+1,1))-AVERAGE(OFFSET($H$3,0,0,'Données projet'!$E$13+1,1))</f>
        <v>158.58786357608489</v>
      </c>
      <c r="CZ24" s="59">
        <f t="shared" si="42"/>
        <v>163.20074068819849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12.2</v>
      </c>
      <c r="DO24" s="12">
        <f>IF('Données projet'!$A$166&gt;35,DO23+DN24-DW23,IF(A24&lt;'Données projet'!$A$166,$DL$205^A24,IF(A24='Données projet'!$A$166,'Données projet'!$B$166,DO23+DN24-DW23)))</f>
        <v>64.2</v>
      </c>
      <c r="DP24" s="17">
        <f>DO24*VLOOKUP('Données projet'!$B$14,Paramètres!$A$1:$I$89,3,0)*VLOOKUP('Données projet'!$B$14,Paramètres!$A$1:$I$89,5,0)</f>
        <v>43.065360000000005</v>
      </c>
      <c r="DQ24" s="13">
        <f t="shared" si="43"/>
        <v>12.807596539380496</v>
      </c>
      <c r="DR24" s="20">
        <f t="shared" si="16"/>
        <v>97.312065972754382</v>
      </c>
      <c r="DS24" s="59">
        <f t="shared" si="17"/>
        <v>390.64539930608771</v>
      </c>
      <c r="DT24" s="59">
        <f ca="1">AVERAGE(OFFSET($DS$3,0,0,'Données projet'!$E$14+1,1))-AVERAGE(OFFSET($H$3,0,0,'Données projet'!$E$14+1,1))</f>
        <v>156.63226020379989</v>
      </c>
      <c r="DU24" s="59">
        <f t="shared" si="44"/>
        <v>196.0481096619543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4.0932657371464023</v>
      </c>
      <c r="EC24" s="21">
        <f>EXP(-LN(2)/2)*EC23+(1-EXP(-LN(2)/2))/(LN(2)/2)*DW24*DZ24*VLOOKUP('Données projet'!$B$14,Paramètres!$A$1:$I$89,3,0)*0.475*44/12</f>
        <v>4.8110604472593312</v>
      </c>
      <c r="ED24" s="22">
        <f t="shared" si="18"/>
        <v>8.9043261844057326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2.9235042735042733</v>
      </c>
      <c r="EJ24" s="12">
        <f>IF('Données projet'!$A$192&gt;35,EJ23+EI24-ER23,IF(A24&lt;'Données projet'!$A$192,$EG$205^A24,IF(A24='Données projet'!$A$192,'Données projet'!$B$192,EJ23+EI24-ER23)))</f>
        <v>22.91487494147438</v>
      </c>
      <c r="EK24" s="17">
        <f>EJ24*VLOOKUP('Données projet'!$B$15,Paramètres!$A$1:$I$89,3,0)*VLOOKUP('Données projet'!$B$15,Paramètres!$A$1:$I$89,5,0)</f>
        <v>24.665571387003023</v>
      </c>
      <c r="EL24" s="13">
        <f t="shared" si="45"/>
        <v>7.8271531578909208</v>
      </c>
      <c r="EM24" s="20">
        <f t="shared" si="19"/>
        <v>56.591495249023616</v>
      </c>
      <c r="EN24" s="59">
        <f t="shared" si="20"/>
        <v>349.92482858235695</v>
      </c>
      <c r="EO24" s="59">
        <f ca="1">AVERAGE(OFFSET($EN$3,0,0,'Données projet'!$E$15+1,1))-AVERAGE(OFFSET($H$3,0,0,'Données projet'!$E$15+1,1))</f>
        <v>211.18501783767226</v>
      </c>
      <c r="EP24" s="59">
        <f t="shared" si="46"/>
        <v>147.98306963466246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3.44</v>
      </c>
      <c r="FE24" s="12">
        <f>IF('Données projet'!$A$218&gt;35,FE23+FD24-FM23,IF(A24&lt;'Données projet'!$A$218,$FB$205^A24,IF(A24='Données projet'!$A$218,'Données projet'!$B$218,FE23+FD24-FM23)))</f>
        <v>42.167582087674923</v>
      </c>
      <c r="FF24" s="17">
        <f>FE24*VLOOKUP('Données projet'!$B$16,Paramètres!$A$1:$I$89,3,0)*VLOOKUP('Données projet'!$B$16,Paramètres!$A$1:$I$89,5,0)</f>
        <v>25.216214088429606</v>
      </c>
      <c r="FG24" s="13">
        <f t="shared" si="47"/>
        <v>7.9813509833877978</v>
      </c>
      <c r="FH24" s="20">
        <f t="shared" si="22"/>
        <v>57.819092500081972</v>
      </c>
      <c r="FI24" s="59">
        <f t="shared" si="23"/>
        <v>351.15242583341529</v>
      </c>
      <c r="FJ24" s="59">
        <f ca="1">AVERAGE(OFFSET($FI$3,0,0,'Données projet'!$E$16+1,1))-AVERAGE(OFFSET($H$3,0,0,'Données projet'!$E$16+1,1))</f>
        <v>232.26937455765062</v>
      </c>
      <c r="FK24" s="59">
        <f t="shared" si="48"/>
        <v>115.80853281120301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12.2</v>
      </c>
      <c r="FZ24" s="12">
        <f>IF('Données projet'!$A$244&gt;35,FZ23+FY24-GH23,IF(A24&lt;'Données projet'!$A$244,$FW$205^A24,IF(A24='Données projet'!$A$244,'Données projet'!$B$244,FZ23+FY24-GH23)))</f>
        <v>64.2</v>
      </c>
      <c r="GA24" s="17">
        <f>FZ24*VLOOKUP('Données projet'!$B$17,Paramètres!$A$1:$I$89,3,0)*VLOOKUP('Données projet'!$B$17,Paramètres!$A$1:$I$89,5,0)</f>
        <v>51.077520000000007</v>
      </c>
      <c r="GB24" s="13">
        <f t="shared" si="49"/>
        <v>14.891687648984377</v>
      </c>
      <c r="GC24" s="20">
        <f t="shared" si="25"/>
        <v>114.89636998864779</v>
      </c>
      <c r="GD24" s="59">
        <f t="shared" si="26"/>
        <v>408.22970332198111</v>
      </c>
      <c r="GE24" s="59">
        <f ca="1">AVERAGE(OFFSET($GD$3,0,0,'Données projet'!$E$17+1,1))-AVERAGE(OFFSET($H$3,0,0,'Données projet'!$E$17+1,1))</f>
        <v>199.58763537752952</v>
      </c>
      <c r="GF24" s="59">
        <f t="shared" si="50"/>
        <v>242.62852778451929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4.8548035487085244</v>
      </c>
      <c r="GN24" s="21">
        <f>EXP(-LN(2)/2)*GN23+(1-EXP(-LN(2)/2))/(LN(2)/2)*GH24*GK24*VLOOKUP('Données projet'!$B$17,Paramètres!$A$1:$I$89,3,0)*0.475*44/12</f>
        <v>5.7061414607029297</v>
      </c>
      <c r="GO24" s="21">
        <f t="shared" si="27"/>
        <v>10.560945009411455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2.9235042735042733</v>
      </c>
      <c r="N25" s="13">
        <f>IF('Données projet'!$A$36&gt;35,N24+M25-V24,IF(A25&lt;'Données projet'!$A$36,$K$205^A25,IF(A25='Données projet'!$A$36,'Données projet'!$B$36,N24+M25-V24)))</f>
        <v>26.600205452048144</v>
      </c>
      <c r="O25" s="13">
        <f>N25*VLOOKUP('Données projet'!$B$9,Paramètres!$A$1:$I$89,3,0)*VLOOKUP('Données projet'!$B$9,Paramètres!$A$1:$I$89,5,0)</f>
        <v>24.06786589301316</v>
      </c>
      <c r="P25" s="13">
        <f t="shared" si="33"/>
        <v>7.6593217420310804</v>
      </c>
      <c r="Q25" s="20">
        <f t="shared" si="2"/>
        <v>55.258185131035383</v>
      </c>
      <c r="R25" s="59">
        <f t="shared" si="0"/>
        <v>348.59151846436868</v>
      </c>
      <c r="S25" s="59">
        <f ca="1">AVERAGE(OFFSET($R$3,0,0,'Données projet'!$E$9+1,1))-AVERAGE(OFFSET($H$3,0,0,'Données projet'!$E$9+1,1))</f>
        <v>153.45079678708987</v>
      </c>
      <c r="T25" s="59">
        <f t="shared" si="34"/>
        <v>115.4217868409637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26.972608328376822</v>
      </c>
      <c r="AK25" s="13">
        <f t="shared" si="35"/>
        <v>8.4706274241085247</v>
      </c>
      <c r="AL25" s="20">
        <f t="shared" si="4"/>
        <v>61.730302268911977</v>
      </c>
      <c r="AM25" s="59">
        <f t="shared" si="5"/>
        <v>355.06363560224531</v>
      </c>
      <c r="AN25" s="59">
        <f ca="1">AVERAGE(OFFSET($AM$3,0,0,'Données projet'!$E$10+1,1))-AVERAGE(OFFSET($H$3,0,0,'Données projet'!$E$10+1,1))</f>
        <v>190.21499310415584</v>
      </c>
      <c r="AO25" s="59">
        <f t="shared" si="36"/>
        <v>136.15730566500173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13.3</v>
      </c>
      <c r="BD25" s="12">
        <f>IF('Données projet'!$A$88&gt;35,BD24+BC25-BL24,IF(A25&lt;'Données projet'!$A$88,$BA$205^A25,IF(A25='Données projet'!$A$88,'Données projet'!$B$88,BD24+BC25-BL24)))</f>
        <v>93.6</v>
      </c>
      <c r="BE25" s="13">
        <f>BD25*VLOOKUP('Données projet'!$B$11,Paramètres!$A$1:$I$89,3,0)*VLOOKUP('Données projet'!$B$11,Paramètres!$A$1:$I$89,5,0)</f>
        <v>55.972799999999999</v>
      </c>
      <c r="BF25" s="13">
        <f t="shared" si="37"/>
        <v>16.145985978099571</v>
      </c>
      <c r="BG25" s="20">
        <f t="shared" si="7"/>
        <v>125.6068855785234</v>
      </c>
      <c r="BH25" s="59">
        <f t="shared" si="8"/>
        <v>418.94021891185673</v>
      </c>
      <c r="BI25" s="59">
        <f ca="1">AVERAGE(OFFSET($BH$3,0,0,'Données projet'!$E$11+1,1))-AVERAGE(OFFSET($H$3,0,0,'Données projet'!$E$11+1,1))</f>
        <v>270.30888762640245</v>
      </c>
      <c r="BJ25" s="59">
        <f t="shared" si="38"/>
        <v>202.23783851977691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3.3639249375139624</v>
      </c>
      <c r="BR25" s="21">
        <f>EXP(-LN(2)/2)*BR24+(1-EXP(-LN(2)/2))/(LN(2)/2)*BL25*BO25*VLOOKUP('Données projet'!$B$11,Paramètres!$A$1:$I$89,3,0)*0.475*44/12</f>
        <v>3.3853745696041333</v>
      </c>
      <c r="BS25" s="22">
        <f t="shared" si="9"/>
        <v>6.7492995071180957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13.3</v>
      </c>
      <c r="BY25" s="12">
        <f>IF('Données projet'!$A$114&gt;35,BY24+BX25-CG24,IF(A25&lt;'Données projet'!$A$114,$BV$205^A25,IF(A25='Données projet'!$A$114,'Données projet'!$B$114,BY24+BX25-CG24)))</f>
        <v>93.6</v>
      </c>
      <c r="BZ25" s="13">
        <f>BY25*VLOOKUP('Données projet'!$B$12,Paramètres!$A$1:$I$89,3,0)*VLOOKUP('Données projet'!$B$12,Paramètres!$A$1:$I$89,5,0)</f>
        <v>55.972799999999999</v>
      </c>
      <c r="CA25" s="13">
        <f t="shared" si="39"/>
        <v>16.145985978099571</v>
      </c>
      <c r="CB25" s="20">
        <f t="shared" si="10"/>
        <v>125.6068855785234</v>
      </c>
      <c r="CC25" s="59">
        <f t="shared" si="11"/>
        <v>418.94021891185673</v>
      </c>
      <c r="CD25" s="59">
        <f ca="1">AVERAGE(OFFSET($CC$3,0,0,'Données projet'!$E$12+1,1))-AVERAGE(OFFSET($H$3,0,0,'Données projet'!$E$12+1,1))</f>
        <v>270.30888762640245</v>
      </c>
      <c r="CE25" s="59">
        <f t="shared" si="40"/>
        <v>202.23783851977691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3.3639249375139624</v>
      </c>
      <c r="CM25" s="21">
        <f>EXP(-LN(2)/2)*CM24+(1-EXP(-LN(2)/2))/(LN(2)/2)*CG25*CJ25*VLOOKUP('Données projet'!$B$12,Paramètres!$A$1:$I$89,3,0)*0.475*44/12</f>
        <v>3.3853745696041333</v>
      </c>
      <c r="CN25" s="22">
        <f t="shared" si="12"/>
        <v>6.7492995071180957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7.2264102564102561</v>
      </c>
      <c r="CT25" s="12">
        <f>IF('Données projet'!$A$140&gt;35,CT24+CS25-DB24,IF(A25&lt;'Données projet'!$A$140,$CQ$205^A25,IF(A25='Données projet'!$A$140,'Données projet'!$B$140,CT24+CS25-DB24)))</f>
        <v>51.653390873361616</v>
      </c>
      <c r="CU25" s="17">
        <f>CT25*VLOOKUP('Données projet'!$B$13,Paramètres!$A$1:$I$89,3,0)*VLOOKUP('Données projet'!$B$13,Paramètres!$A$1:$I$89,5,0)</f>
        <v>24.173786928733236</v>
      </c>
      <c r="CV25" s="13">
        <f t="shared" si="41"/>
        <v>7.6890986491341353</v>
      </c>
      <c r="CW25" s="20">
        <f t="shared" si="13"/>
        <v>55.494525714785674</v>
      </c>
      <c r="CX25" s="59">
        <f t="shared" si="14"/>
        <v>348.82785904811897</v>
      </c>
      <c r="CY25" s="59">
        <f ca="1">AVERAGE(OFFSET($CX$3,0,0,'Données projet'!$E$13+1,1))-AVERAGE(OFFSET($H$3,0,0,'Données projet'!$E$13+1,1))</f>
        <v>158.58786357608489</v>
      </c>
      <c r="CZ25" s="59">
        <f t="shared" si="42"/>
        <v>163.20074068819849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12.2</v>
      </c>
      <c r="DO25" s="12">
        <f>IF('Données projet'!$A$166&gt;35,DO24+DN25-DW24,IF(A25&lt;'Données projet'!$A$166,$DL$205^A25,IF(A25='Données projet'!$A$166,'Données projet'!$B$166,DO24+DN25-DW24)))</f>
        <v>76.400000000000006</v>
      </c>
      <c r="DP25" s="17">
        <f>DO25*VLOOKUP('Données projet'!$B$14,Paramètres!$A$1:$I$89,3,0)*VLOOKUP('Données projet'!$B$14,Paramètres!$A$1:$I$89,5,0)</f>
        <v>51.249120000000005</v>
      </c>
      <c r="DQ25" s="13">
        <f t="shared" si="43"/>
        <v>14.935885615366388</v>
      </c>
      <c r="DR25" s="20">
        <f t="shared" si="16"/>
        <v>115.27221811342979</v>
      </c>
      <c r="DS25" s="59">
        <f t="shared" si="17"/>
        <v>408.60555144676312</v>
      </c>
      <c r="DT25" s="59">
        <f ca="1">AVERAGE(OFFSET($DS$3,0,0,'Données projet'!$E$14+1,1))-AVERAGE(OFFSET($H$3,0,0,'Données projet'!$E$14+1,1))</f>
        <v>156.63226020379989</v>
      </c>
      <c r="DU25" s="59">
        <f t="shared" si="44"/>
        <v>196.0481096619543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3.9813351703086441</v>
      </c>
      <c r="EC25" s="21">
        <f>EXP(-LN(2)/2)*EC24+(1-EXP(-LN(2)/2))/(LN(2)/2)*DW25*DZ25*VLOOKUP('Données projet'!$B$14,Paramètres!$A$1:$I$89,3,0)*0.475*44/12</f>
        <v>3.4019334669554575</v>
      </c>
      <c r="ED25" s="22">
        <f t="shared" si="18"/>
        <v>7.3832686372641021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2.9235042735042733</v>
      </c>
      <c r="EJ25" s="12">
        <f>IF('Données projet'!$A$192&gt;35,EJ24+EI25-ER24,IF(A25&lt;'Données projet'!$A$192,$EG$205^A25,IF(A25='Données projet'!$A$192,'Données projet'!$B$192,EJ24+EI25-ER24)))</f>
        <v>26.600205452048144</v>
      </c>
      <c r="EK25" s="17">
        <f>EJ25*VLOOKUP('Données projet'!$B$15,Paramètres!$A$1:$I$89,3,0)*VLOOKUP('Données projet'!$B$15,Paramètres!$A$1:$I$89,5,0)</f>
        <v>28.632461148584621</v>
      </c>
      <c r="EL25" s="13">
        <f t="shared" si="45"/>
        <v>8.9296080071460899</v>
      </c>
      <c r="EM25" s="20">
        <f t="shared" si="19"/>
        <v>65.420603779564317</v>
      </c>
      <c r="EN25" s="59">
        <f t="shared" si="20"/>
        <v>358.75393711289763</v>
      </c>
      <c r="EO25" s="59">
        <f ca="1">AVERAGE(OFFSET($EN$3,0,0,'Données projet'!$E$15+1,1))-AVERAGE(OFFSET($H$3,0,0,'Données projet'!$E$15+1,1))</f>
        <v>211.18501783767226</v>
      </c>
      <c r="EP25" s="59">
        <f t="shared" si="46"/>
        <v>147.98306963466246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3.44</v>
      </c>
      <c r="FE25" s="12">
        <f>IF('Données projet'!$A$218&gt;35,FE24+FD25-FM24,IF(A25&lt;'Données projet'!$A$218,$FB$205^A25,IF(A25='Données projet'!$A$218,'Données projet'!$B$218,FE24+FD25-FM24)))</f>
        <v>50.391656750188176</v>
      </c>
      <c r="FF25" s="17">
        <f>FE25*VLOOKUP('Données projet'!$B$16,Paramètres!$A$1:$I$89,3,0)*VLOOKUP('Données projet'!$B$16,Paramètres!$A$1:$I$89,5,0)</f>
        <v>30.134210736612534</v>
      </c>
      <c r="FG25" s="13">
        <f t="shared" si="47"/>
        <v>9.3422034901786031</v>
      </c>
      <c r="FH25" s="20">
        <f t="shared" si="22"/>
        <v>68.754754778327893</v>
      </c>
      <c r="FI25" s="59">
        <f t="shared" si="23"/>
        <v>362.08808811166119</v>
      </c>
      <c r="FJ25" s="59">
        <f ca="1">AVERAGE(OFFSET($FI$3,0,0,'Données projet'!$E$16+1,1))-AVERAGE(OFFSET($H$3,0,0,'Données projet'!$E$16+1,1))</f>
        <v>232.26937455765062</v>
      </c>
      <c r="FK25" s="59">
        <f t="shared" si="48"/>
        <v>115.80853281120301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12.2</v>
      </c>
      <c r="FZ25" s="12">
        <f>IF('Données projet'!$A$244&gt;35,FZ24+FY25-GH24,IF(A25&lt;'Données projet'!$A$244,$FW$205^A25,IF(A25='Données projet'!$A$244,'Données projet'!$B$244,FZ24+FY25-GH24)))</f>
        <v>76.400000000000006</v>
      </c>
      <c r="GA25" s="17">
        <f>FZ25*VLOOKUP('Données projet'!$B$17,Paramètres!$A$1:$I$89,3,0)*VLOOKUP('Données projet'!$B$17,Paramètres!$A$1:$I$89,5,0)</f>
        <v>60.783840000000012</v>
      </c>
      <c r="GB25" s="13">
        <f t="shared" si="49"/>
        <v>17.366298404318218</v>
      </c>
      <c r="GC25" s="20">
        <f t="shared" si="25"/>
        <v>136.11149105418758</v>
      </c>
      <c r="GD25" s="59">
        <f t="shared" si="26"/>
        <v>429.4448243875209</v>
      </c>
      <c r="GE25" s="59">
        <f ca="1">AVERAGE(OFFSET($GD$3,0,0,'Données projet'!$E$17+1,1))-AVERAGE(OFFSET($H$3,0,0,'Données projet'!$E$17+1,1))</f>
        <v>199.58763537752952</v>
      </c>
      <c r="GF25" s="59">
        <f t="shared" si="50"/>
        <v>242.62852778451929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4.7220486903660666</v>
      </c>
      <c r="GN25" s="21">
        <f>EXP(-LN(2)/2)*GN24+(1-EXP(-LN(2)/2))/(LN(2)/2)*GH25*GK25*VLOOKUP('Données projet'!$B$17,Paramètres!$A$1:$I$89,3,0)*0.475*44/12</f>
        <v>4.034851321272753</v>
      </c>
      <c r="GO25" s="21">
        <f t="shared" si="27"/>
        <v>8.7569000116388196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2.9235042735042733</v>
      </c>
      <c r="N26" s="13">
        <f>IF('Données projet'!$A$36&gt;35,N25+M26-V25,IF(A26&lt;'Données projet'!$A$36,$K$205^A26,IF(A26='Données projet'!$A$36,'Données projet'!$B$36,N25+M26-V25)))</f>
        <v>30.878236599516239</v>
      </c>
      <c r="O26" s="13">
        <f>N26*VLOOKUP('Données projet'!$B$9,Paramètres!$A$1:$I$89,3,0)*VLOOKUP('Données projet'!$B$9,Paramètres!$A$1:$I$89,5,0)</f>
        <v>27.938628475242293</v>
      </c>
      <c r="P26" s="13">
        <f t="shared" si="33"/>
        <v>8.7381375293515138</v>
      </c>
      <c r="Q26" s="20">
        <f t="shared" si="2"/>
        <v>63.878700791334211</v>
      </c>
      <c r="R26" s="59">
        <f t="shared" si="0"/>
        <v>357.21203412466753</v>
      </c>
      <c r="S26" s="59">
        <f ca="1">AVERAGE(OFFSET($R$3,0,0,'Données projet'!$E$9+1,1))-AVERAGE(OFFSET($H$3,0,0,'Données projet'!$E$9+1,1))</f>
        <v>153.45079678708987</v>
      </c>
      <c r="T26" s="59">
        <f t="shared" si="34"/>
        <v>115.4217868409637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31.310531911909472</v>
      </c>
      <c r="AK26" s="13">
        <f t="shared" si="35"/>
        <v>9.6637156506405031</v>
      </c>
      <c r="AL26" s="20">
        <f t="shared" si="4"/>
        <v>71.363481171441208</v>
      </c>
      <c r="AM26" s="59">
        <f t="shared" si="5"/>
        <v>364.69681450477452</v>
      </c>
      <c r="AN26" s="59">
        <f ca="1">AVERAGE(OFFSET($AM$3,0,0,'Données projet'!$E$10+1,1))-AVERAGE(OFFSET($H$3,0,0,'Données projet'!$E$10+1,1))</f>
        <v>190.21499310415584</v>
      </c>
      <c r="AO26" s="59">
        <f t="shared" si="36"/>
        <v>136.15730566500173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13.3</v>
      </c>
      <c r="BD26" s="12">
        <f>IF('Données projet'!$A$88&gt;35,BD25+BC26-BL25,IF(A26&lt;'Données projet'!$A$88,$BA$205^A26,IF(A26='Données projet'!$A$88,'Données projet'!$B$88,BD25+BC26-BL25)))</f>
        <v>106.89999999999999</v>
      </c>
      <c r="BE26" s="13">
        <f>BD26*VLOOKUP('Données projet'!$B$11,Paramètres!$A$1:$I$89,3,0)*VLOOKUP('Données projet'!$B$11,Paramètres!$A$1:$I$89,5,0)</f>
        <v>63.926200000000001</v>
      </c>
      <c r="BF26" s="13">
        <f t="shared" si="37"/>
        <v>18.157244068140116</v>
      </c>
      <c r="BG26" s="20">
        <f t="shared" si="7"/>
        <v>142.96199841867738</v>
      </c>
      <c r="BH26" s="59">
        <f t="shared" si="8"/>
        <v>436.29533175201072</v>
      </c>
      <c r="BI26" s="59">
        <f ca="1">AVERAGE(OFFSET($BH$3,0,0,'Données projet'!$E$11+1,1))-AVERAGE(OFFSET($H$3,0,0,'Données projet'!$E$11+1,1))</f>
        <v>270.30888762640245</v>
      </c>
      <c r="BJ26" s="59">
        <f t="shared" si="38"/>
        <v>202.23783851977691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3.271938233196519</v>
      </c>
      <c r="BR26" s="21">
        <f>EXP(-LN(2)/2)*BR25+(1-EXP(-LN(2)/2))/(LN(2)/2)*BL26*BO26*VLOOKUP('Données projet'!$B$11,Paramètres!$A$1:$I$89,3,0)*0.475*44/12</f>
        <v>2.3938213150235725</v>
      </c>
      <c r="BS26" s="22">
        <f t="shared" si="9"/>
        <v>5.6657595482200911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13.3</v>
      </c>
      <c r="BY26" s="12">
        <f>IF('Données projet'!$A$114&gt;35,BY25+BX26-CG25,IF(A26&lt;'Données projet'!$A$114,$BV$205^A26,IF(A26='Données projet'!$A$114,'Données projet'!$B$114,BY25+BX26-CG25)))</f>
        <v>106.89999999999999</v>
      </c>
      <c r="BZ26" s="13">
        <f>BY26*VLOOKUP('Données projet'!$B$12,Paramètres!$A$1:$I$89,3,0)*VLOOKUP('Données projet'!$B$12,Paramètres!$A$1:$I$89,5,0)</f>
        <v>63.926200000000001</v>
      </c>
      <c r="CA26" s="13">
        <f t="shared" si="39"/>
        <v>18.157244068140116</v>
      </c>
      <c r="CB26" s="20">
        <f t="shared" si="10"/>
        <v>142.96199841867738</v>
      </c>
      <c r="CC26" s="59">
        <f t="shared" si="11"/>
        <v>436.29533175201072</v>
      </c>
      <c r="CD26" s="59">
        <f ca="1">AVERAGE(OFFSET($CC$3,0,0,'Données projet'!$E$12+1,1))-AVERAGE(OFFSET($H$3,0,0,'Données projet'!$E$12+1,1))</f>
        <v>270.30888762640245</v>
      </c>
      <c r="CE26" s="59">
        <f t="shared" si="40"/>
        <v>202.23783851977691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3.271938233196519</v>
      </c>
      <c r="CM26" s="21">
        <f>EXP(-LN(2)/2)*CM25+(1-EXP(-LN(2)/2))/(LN(2)/2)*CG26*CJ26*VLOOKUP('Données projet'!$B$12,Paramètres!$A$1:$I$89,3,0)*0.475*44/12</f>
        <v>2.3938213150235725</v>
      </c>
      <c r="CN26" s="22">
        <f t="shared" si="12"/>
        <v>5.6657595482200911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7.2264102564102561</v>
      </c>
      <c r="CT26" s="12">
        <f>IF('Données projet'!$A$140&gt;35,CT25+CS26-DB25,IF(A26&lt;'Données projet'!$A$140,$CQ$205^A26,IF(A26='Données projet'!$A$140,'Données projet'!$B$140,CT25+CS26-DB25)))</f>
        <v>61.796939298472864</v>
      </c>
      <c r="CU26" s="17">
        <f>CT26*VLOOKUP('Données projet'!$B$13,Paramètres!$A$1:$I$89,3,0)*VLOOKUP('Données projet'!$B$13,Paramètres!$A$1:$I$89,5,0)</f>
        <v>28.920967591685301</v>
      </c>
      <c r="CV26" s="13">
        <f t="shared" si="41"/>
        <v>9.0090648177637647</v>
      </c>
      <c r="CW26" s="20">
        <f t="shared" si="13"/>
        <v>66.061473113123796</v>
      </c>
      <c r="CX26" s="59">
        <f t="shared" si="14"/>
        <v>359.3948064464571</v>
      </c>
      <c r="CY26" s="59">
        <f ca="1">AVERAGE(OFFSET($CX$3,0,0,'Données projet'!$E$13+1,1))-AVERAGE(OFFSET($H$3,0,0,'Données projet'!$E$13+1,1))</f>
        <v>158.58786357608489</v>
      </c>
      <c r="CZ26" s="59">
        <f t="shared" si="42"/>
        <v>163.20074068819849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12.2</v>
      </c>
      <c r="DO26" s="12">
        <f>IF('Données projet'!$A$166&gt;35,DO25+DN26-DW25,IF(A26&lt;'Données projet'!$A$166,$DL$205^A26,IF(A26='Données projet'!$A$166,'Données projet'!$B$166,DO25+DN26-DW25)))</f>
        <v>88.600000000000009</v>
      </c>
      <c r="DP26" s="17">
        <f>DO26*VLOOKUP('Données projet'!$B$14,Paramètres!$A$1:$I$89,3,0)*VLOOKUP('Données projet'!$B$14,Paramètres!$A$1:$I$89,5,0)</f>
        <v>59.432880000000011</v>
      </c>
      <c r="DQ26" s="13">
        <f t="shared" si="43"/>
        <v>17.024804126865714</v>
      </c>
      <c r="DR26" s="20">
        <f t="shared" si="16"/>
        <v>133.16379985429114</v>
      </c>
      <c r="DS26" s="59">
        <f t="shared" si="17"/>
        <v>426.49713318762446</v>
      </c>
      <c r="DT26" s="59">
        <f ca="1">AVERAGE(OFFSET($DS$3,0,0,'Données projet'!$E$14+1,1))-AVERAGE(OFFSET($H$3,0,0,'Données projet'!$E$14+1,1))</f>
        <v>156.63226020379989</v>
      </c>
      <c r="DU26" s="59">
        <f t="shared" si="44"/>
        <v>196.0481096619543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3.8724653507072371</v>
      </c>
      <c r="EC26" s="21">
        <f>EXP(-LN(2)/2)*EC25+(1-EXP(-LN(2)/2))/(LN(2)/2)*DW26*DZ26*VLOOKUP('Données projet'!$B$14,Paramètres!$A$1:$I$89,3,0)*0.475*44/12</f>
        <v>2.4055302236296661</v>
      </c>
      <c r="ED26" s="22">
        <f t="shared" si="18"/>
        <v>6.2779955743369031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2.9235042735042733</v>
      </c>
      <c r="EJ26" s="12">
        <f>IF('Données projet'!$A$192&gt;35,EJ25+EI26-ER25,IF(A26&lt;'Données projet'!$A$192,$EG$205^A26,IF(A26='Données projet'!$A$192,'Données projet'!$B$192,EJ25+EI26-ER25)))</f>
        <v>30.878236599516239</v>
      </c>
      <c r="EK26" s="17">
        <f>EJ26*VLOOKUP('Données projet'!$B$15,Paramètres!$A$1:$I$89,3,0)*VLOOKUP('Données projet'!$B$15,Paramètres!$A$1:$I$89,5,0)</f>
        <v>33.23733387571928</v>
      </c>
      <c r="EL26" s="13">
        <f t="shared" si="45"/>
        <v>10.187343667972057</v>
      </c>
      <c r="EM26" s="20">
        <f t="shared" si="19"/>
        <v>75.631313388595743</v>
      </c>
      <c r="EN26" s="59">
        <f t="shared" si="20"/>
        <v>368.96464672192906</v>
      </c>
      <c r="EO26" s="59">
        <f ca="1">AVERAGE(OFFSET($EN$3,0,0,'Données projet'!$E$15+1,1))-AVERAGE(OFFSET($H$3,0,0,'Données projet'!$E$15+1,1))</f>
        <v>211.18501783767226</v>
      </c>
      <c r="EP26" s="59">
        <f t="shared" si="46"/>
        <v>147.98306963466246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3.44</v>
      </c>
      <c r="FE26" s="12">
        <f>IF('Données projet'!$A$218&gt;35,FE25+FD26-FM25,IF(A26&lt;'Données projet'!$A$218,$FB$205^A26,IF(A26='Données projet'!$A$218,'Données projet'!$B$218,FE25+FD26-FM25)))</f>
        <v>60.219698268424033</v>
      </c>
      <c r="FF26" s="17">
        <f>FE26*VLOOKUP('Données projet'!$B$16,Paramètres!$A$1:$I$89,3,0)*VLOOKUP('Données projet'!$B$16,Paramètres!$A$1:$I$89,5,0)</f>
        <v>36.011379564517576</v>
      </c>
      <c r="FG26" s="13">
        <f t="shared" si="47"/>
        <v>10.935086833489867</v>
      </c>
      <c r="FH26" s="20">
        <f t="shared" si="22"/>
        <v>81.76509564319629</v>
      </c>
      <c r="FI26" s="59">
        <f t="shared" si="23"/>
        <v>375.09842897652959</v>
      </c>
      <c r="FJ26" s="59">
        <f ca="1">AVERAGE(OFFSET($FI$3,0,0,'Données projet'!$E$16+1,1))-AVERAGE(OFFSET($H$3,0,0,'Données projet'!$E$16+1,1))</f>
        <v>232.26937455765062</v>
      </c>
      <c r="FK26" s="59">
        <f t="shared" si="48"/>
        <v>115.80853281120301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12.2</v>
      </c>
      <c r="FZ26" s="12">
        <f>IF('Données projet'!$A$244&gt;35,FZ25+FY26-GH25,IF(A26&lt;'Données projet'!$A$244,$FW$205^A26,IF(A26='Données projet'!$A$244,'Données projet'!$B$244,FZ25+FY26-GH25)))</f>
        <v>88.600000000000009</v>
      </c>
      <c r="GA26" s="17">
        <f>FZ26*VLOOKUP('Données projet'!$B$17,Paramètres!$A$1:$I$89,3,0)*VLOOKUP('Données projet'!$B$17,Paramètres!$A$1:$I$89,5,0)</f>
        <v>70.490160000000017</v>
      </c>
      <c r="GB26" s="13">
        <f t="shared" si="49"/>
        <v>19.795132097024002</v>
      </c>
      <c r="GC26" s="20">
        <f t="shared" si="25"/>
        <v>157.24688373565013</v>
      </c>
      <c r="GD26" s="59">
        <f t="shared" si="26"/>
        <v>450.58021706898342</v>
      </c>
      <c r="GE26" s="59">
        <f ca="1">AVERAGE(OFFSET($GD$3,0,0,'Données projet'!$E$17+1,1))-AVERAGE(OFFSET($H$3,0,0,'Données projet'!$E$17+1,1))</f>
        <v>199.58763537752952</v>
      </c>
      <c r="GF26" s="59">
        <f t="shared" si="50"/>
        <v>242.62852778451929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4.592924020606258</v>
      </c>
      <c r="GN26" s="21">
        <f>EXP(-LN(2)/2)*GN25+(1-EXP(-LN(2)/2))/(LN(2)/2)*GH26*GK26*VLOOKUP('Données projet'!$B$17,Paramètres!$A$1:$I$89,3,0)*0.475*44/12</f>
        <v>2.8530707303514649</v>
      </c>
      <c r="GO26" s="21">
        <f t="shared" si="27"/>
        <v>7.4459947509577233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2.9235042735042733</v>
      </c>
      <c r="N27" s="13">
        <f>IF('Données projet'!$A$36&gt;35,N26+M27-V26,IF(A27&lt;'Données projet'!$A$36,$K$205^A27,IF(A27='Données projet'!$A$36,'Données projet'!$B$36,N26+M27-V26)))</f>
        <v>35.844290647096855</v>
      </c>
      <c r="O27" s="13">
        <f>N27*VLOOKUP('Données projet'!$B$9,Paramètres!$A$1:$I$89,3,0)*VLOOKUP('Données projet'!$B$9,Paramètres!$A$1:$I$89,5,0)</f>
        <v>32.431914177493233</v>
      </c>
      <c r="P27" s="13">
        <f t="shared" si="33"/>
        <v>9.9689045653817558</v>
      </c>
      <c r="Q27" s="20">
        <f t="shared" si="2"/>
        <v>73.848092643840616</v>
      </c>
      <c r="R27" s="59">
        <f t="shared" si="0"/>
        <v>367.18142597717394</v>
      </c>
      <c r="S27" s="59">
        <f ca="1">AVERAGE(OFFSET($R$3,0,0,'Données projet'!$E$9+1,1))-AVERAGE(OFFSET($H$3,0,0,'Données projet'!$E$9+1,1))</f>
        <v>153.45079678708987</v>
      </c>
      <c r="T27" s="59">
        <f t="shared" si="34"/>
        <v>115.4217868409637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36.346110716156211</v>
      </c>
      <c r="AK27" s="13">
        <f t="shared" si="35"/>
        <v>11.024850403718778</v>
      </c>
      <c r="AL27" s="20">
        <f t="shared" si="4"/>
        <v>82.504423950448952</v>
      </c>
      <c r="AM27" s="59">
        <f t="shared" si="5"/>
        <v>375.83775728378225</v>
      </c>
      <c r="AN27" s="59">
        <f ca="1">AVERAGE(OFFSET($AM$3,0,0,'Données projet'!$E$10+1,1))-AVERAGE(OFFSET($H$3,0,0,'Données projet'!$E$10+1,1))</f>
        <v>190.21499310415584</v>
      </c>
      <c r="AO27" s="59">
        <f t="shared" si="36"/>
        <v>136.15730566500173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13.3</v>
      </c>
      <c r="BD27" s="12">
        <f>IF('Données projet'!$A$88&gt;35,BD26+BC27-BL26,IF(A27&lt;'Données projet'!$A$88,$BA$205^A27,IF(A27='Données projet'!$A$88,'Données projet'!$B$88,BD26+BC27-BL26)))</f>
        <v>120.19999999999999</v>
      </c>
      <c r="BE27" s="13">
        <f>BD27*VLOOKUP('Données projet'!$B$11,Paramètres!$A$1:$I$89,3,0)*VLOOKUP('Données projet'!$B$11,Paramètres!$A$1:$I$89,5,0)</f>
        <v>71.879599999999996</v>
      </c>
      <c r="BF27" s="13">
        <f t="shared" si="37"/>
        <v>20.139506236095318</v>
      </c>
      <c r="BG27" s="20">
        <f t="shared" si="7"/>
        <v>160.26661002786599</v>
      </c>
      <c r="BH27" s="59">
        <f t="shared" si="8"/>
        <v>453.59994336119928</v>
      </c>
      <c r="BI27" s="59">
        <f ca="1">AVERAGE(OFFSET($BH$3,0,0,'Données projet'!$E$11+1,1))-AVERAGE(OFFSET($H$3,0,0,'Données projet'!$E$11+1,1))</f>
        <v>270.30888762640245</v>
      </c>
      <c r="BJ27" s="59">
        <f t="shared" si="38"/>
        <v>202.23783851977691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3.1824669101460068</v>
      </c>
      <c r="BR27" s="21">
        <f>EXP(-LN(2)/2)*BR26+(1-EXP(-LN(2)/2))/(LN(2)/2)*BL27*BO27*VLOOKUP('Données projet'!$B$11,Paramètres!$A$1:$I$89,3,0)*0.475*44/12</f>
        <v>1.6926872848020669</v>
      </c>
      <c r="BS27" s="22">
        <f t="shared" si="9"/>
        <v>4.8751541949480739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13.3</v>
      </c>
      <c r="BY27" s="12">
        <f>IF('Données projet'!$A$114&gt;35,BY26+BX27-CG26,IF(A27&lt;'Données projet'!$A$114,$BV$205^A27,IF(A27='Données projet'!$A$114,'Données projet'!$B$114,BY26+BX27-CG26)))</f>
        <v>120.19999999999999</v>
      </c>
      <c r="BZ27" s="13">
        <f>BY27*VLOOKUP('Données projet'!$B$12,Paramètres!$A$1:$I$89,3,0)*VLOOKUP('Données projet'!$B$12,Paramètres!$A$1:$I$89,5,0)</f>
        <v>71.879599999999996</v>
      </c>
      <c r="CA27" s="13">
        <f t="shared" si="39"/>
        <v>20.139506236095318</v>
      </c>
      <c r="CB27" s="20">
        <f t="shared" si="10"/>
        <v>160.26661002786599</v>
      </c>
      <c r="CC27" s="59">
        <f t="shared" si="11"/>
        <v>453.59994336119928</v>
      </c>
      <c r="CD27" s="59">
        <f ca="1">AVERAGE(OFFSET($CC$3,0,0,'Données projet'!$E$12+1,1))-AVERAGE(OFFSET($H$3,0,0,'Données projet'!$E$12+1,1))</f>
        <v>270.30888762640245</v>
      </c>
      <c r="CE27" s="59">
        <f t="shared" si="40"/>
        <v>202.23783851977691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3.1824669101460068</v>
      </c>
      <c r="CM27" s="21">
        <f>EXP(-LN(2)/2)*CM26+(1-EXP(-LN(2)/2))/(LN(2)/2)*CG27*CJ27*VLOOKUP('Données projet'!$B$12,Paramètres!$A$1:$I$89,3,0)*0.475*44/12</f>
        <v>1.6926872848020669</v>
      </c>
      <c r="CN27" s="22">
        <f t="shared" si="12"/>
        <v>4.8751541949480739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7.2264102564102561</v>
      </c>
      <c r="CT27" s="12">
        <f>IF('Données projet'!$A$140&gt;35,CT26+CS27-DB26,IF(A27&lt;'Données projet'!$A$140,$CQ$205^A27,IF(A27='Données projet'!$A$140,'Données projet'!$B$140,CT26+CS27-DB26)))</f>
        <v>73.932449391789717</v>
      </c>
      <c r="CU27" s="17">
        <f>CT27*VLOOKUP('Données projet'!$B$13,Paramètres!$A$1:$I$89,3,0)*VLOOKUP('Données projet'!$B$13,Paramètres!$A$1:$I$89,5,0)</f>
        <v>34.600386315357589</v>
      </c>
      <c r="CV27" s="13">
        <f t="shared" si="41"/>
        <v>10.555625905490055</v>
      </c>
      <c r="CW27" s="20">
        <f t="shared" si="13"/>
        <v>78.646721284642979</v>
      </c>
      <c r="CX27" s="59">
        <f t="shared" si="14"/>
        <v>371.98005461797629</v>
      </c>
      <c r="CY27" s="59">
        <f ca="1">AVERAGE(OFFSET($CX$3,0,0,'Données projet'!$E$13+1,1))-AVERAGE(OFFSET($H$3,0,0,'Données projet'!$E$13+1,1))</f>
        <v>158.58786357608489</v>
      </c>
      <c r="CZ27" s="59">
        <f t="shared" si="42"/>
        <v>163.20074068819849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12.2</v>
      </c>
      <c r="DO27" s="12">
        <f>IF('Données projet'!$A$166&gt;35,DO26+DN27-DW26,IF(A27&lt;'Données projet'!$A$166,$DL$205^A27,IF(A27='Données projet'!$A$166,'Données projet'!$B$166,DO26+DN27-DW26)))</f>
        <v>100.80000000000001</v>
      </c>
      <c r="DP27" s="17">
        <f>DO27*VLOOKUP('Données projet'!$B$14,Paramètres!$A$1:$I$89,3,0)*VLOOKUP('Données projet'!$B$14,Paramètres!$A$1:$I$89,5,0)</f>
        <v>67.616640000000004</v>
      </c>
      <c r="DQ27" s="13">
        <f t="shared" si="43"/>
        <v>19.080397298873443</v>
      </c>
      <c r="DR27" s="20">
        <f t="shared" si="16"/>
        <v>150.99733996220459</v>
      </c>
      <c r="DS27" s="59">
        <f t="shared" si="17"/>
        <v>444.33067329553791</v>
      </c>
      <c r="DT27" s="59">
        <f ca="1">AVERAGE(OFFSET($DS$3,0,0,'Données projet'!$E$14+1,1))-AVERAGE(OFFSET($H$3,0,0,'Données projet'!$E$14+1,1))</f>
        <v>156.63226020379989</v>
      </c>
      <c r="DU27" s="59">
        <f t="shared" si="44"/>
        <v>196.0481096619543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3.7665725820480453</v>
      </c>
      <c r="EC27" s="21">
        <f>EXP(-LN(2)/2)*EC26+(1-EXP(-LN(2)/2))/(LN(2)/2)*DW27*DZ27*VLOOKUP('Données projet'!$B$14,Paramètres!$A$1:$I$89,3,0)*0.475*44/12</f>
        <v>1.7009667334777292</v>
      </c>
      <c r="ED27" s="22">
        <f t="shared" si="18"/>
        <v>5.4675393155257748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2.9235042735042733</v>
      </c>
      <c r="EJ27" s="12">
        <f>IF('Données projet'!$A$192&gt;35,EJ26+EI27-ER26,IF(A27&lt;'Données projet'!$A$192,$EG$205^A27,IF(A27='Données projet'!$A$192,'Données projet'!$B$192,EJ26+EI27-ER26)))</f>
        <v>35.844290647096855</v>
      </c>
      <c r="EK27" s="17">
        <f>EJ27*VLOOKUP('Données projet'!$B$15,Paramètres!$A$1:$I$89,3,0)*VLOOKUP('Données projet'!$B$15,Paramètres!$A$1:$I$89,5,0)</f>
        <v>38.582794452535055</v>
      </c>
      <c r="EL27" s="13">
        <f t="shared" si="45"/>
        <v>11.622231449165159</v>
      </c>
      <c r="EM27" s="20">
        <f t="shared" si="19"/>
        <v>87.440420112127867</v>
      </c>
      <c r="EN27" s="59">
        <f t="shared" si="20"/>
        <v>380.77375344546118</v>
      </c>
      <c r="EO27" s="59">
        <f ca="1">AVERAGE(OFFSET($EN$3,0,0,'Données projet'!$E$15+1,1))-AVERAGE(OFFSET($H$3,0,0,'Données projet'!$E$15+1,1))</f>
        <v>211.18501783767226</v>
      </c>
      <c r="EP27" s="59">
        <f t="shared" si="46"/>
        <v>147.98306963466246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3.44</v>
      </c>
      <c r="FE27" s="12">
        <f>IF('Données projet'!$A$218&gt;35,FE26+FD27-FM26,IF(A27&lt;'Données projet'!$A$218,$FB$205^A27,IF(A27='Données projet'!$A$218,'Données projet'!$B$218,FE26+FD27-FM26)))</f>
        <v>71.964533286087885</v>
      </c>
      <c r="FF27" s="17">
        <f>FE27*VLOOKUP('Données projet'!$B$16,Paramètres!$A$1:$I$89,3,0)*VLOOKUP('Données projet'!$B$16,Paramètres!$A$1:$I$89,5,0)</f>
        <v>43.034790905080563</v>
      </c>
      <c r="FG27" s="13">
        <f t="shared" si="47"/>
        <v>12.799563206011634</v>
      </c>
      <c r="FH27" s="20">
        <f t="shared" si="22"/>
        <v>97.244833410152239</v>
      </c>
      <c r="FI27" s="59">
        <f t="shared" si="23"/>
        <v>390.57816674348555</v>
      </c>
      <c r="FJ27" s="59">
        <f ca="1">AVERAGE(OFFSET($FI$3,0,0,'Données projet'!$E$16+1,1))-AVERAGE(OFFSET($H$3,0,0,'Données projet'!$E$16+1,1))</f>
        <v>232.26937455765062</v>
      </c>
      <c r="FK27" s="59">
        <f t="shared" si="48"/>
        <v>115.80853281120301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12.2</v>
      </c>
      <c r="FZ27" s="12">
        <f>IF('Données projet'!$A$244&gt;35,FZ26+FY27-GH26,IF(A27&lt;'Données projet'!$A$244,$FW$205^A27,IF(A27='Données projet'!$A$244,'Données projet'!$B$244,FZ26+FY27-GH26)))</f>
        <v>100.80000000000001</v>
      </c>
      <c r="GA27" s="17">
        <f>FZ27*VLOOKUP('Données projet'!$B$17,Paramètres!$A$1:$I$89,3,0)*VLOOKUP('Données projet'!$B$17,Paramètres!$A$1:$I$89,5,0)</f>
        <v>80.196480000000022</v>
      </c>
      <c r="GB27" s="13">
        <f t="shared" si="49"/>
        <v>22.185217649516332</v>
      </c>
      <c r="GC27" s="20">
        <f t="shared" si="25"/>
        <v>178.31479007290764</v>
      </c>
      <c r="GD27" s="59">
        <f t="shared" si="26"/>
        <v>471.64812340624098</v>
      </c>
      <c r="GE27" s="59">
        <f ca="1">AVERAGE(OFFSET($GD$3,0,0,'Données projet'!$E$17+1,1))-AVERAGE(OFFSET($H$3,0,0,'Données projet'!$E$17+1,1))</f>
        <v>199.58763537752952</v>
      </c>
      <c r="GF27" s="59">
        <f t="shared" si="50"/>
        <v>242.62852778451929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4.4673302717314032</v>
      </c>
      <c r="GN27" s="21">
        <f>EXP(-LN(2)/2)*GN26+(1-EXP(-LN(2)/2))/(LN(2)/2)*GH27*GK27*VLOOKUP('Données projet'!$B$17,Paramètres!$A$1:$I$89,3,0)*0.475*44/12</f>
        <v>2.0174256606363765</v>
      </c>
      <c r="GO27" s="21">
        <f t="shared" si="27"/>
        <v>6.4847559323677793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2.9235042735042733</v>
      </c>
      <c r="N28" s="13">
        <f>IF('Données projet'!$A$36&gt;35,N27+M28-V27,IF(A28&lt;'Données projet'!$A$36,$K$205^A28,IF(A28='Données projet'!$A$36,'Données projet'!$B$36,N27+M28-V27)))</f>
        <v>41.609020251295185</v>
      </c>
      <c r="O28" s="13">
        <f>N28*VLOOKUP('Données projet'!$B$9,Paramètres!$A$1:$I$89,3,0)*VLOOKUP('Données projet'!$B$9,Paramètres!$A$1:$I$89,5,0)</f>
        <v>37.647841523371881</v>
      </c>
      <c r="P28" s="13">
        <f t="shared" si="33"/>
        <v>11.373025189850091</v>
      </c>
      <c r="Q28" s="20">
        <f t="shared" si="2"/>
        <v>85.37800952552827</v>
      </c>
      <c r="R28" s="59">
        <f t="shared" si="0"/>
        <v>378.7113428588616</v>
      </c>
      <c r="S28" s="59">
        <f ca="1">AVERAGE(OFFSET($R$3,0,0,'Données projet'!$E$9+1,1))-AVERAGE(OFFSET($H$3,0,0,'Données projet'!$E$9+1,1))</f>
        <v>153.45079678708987</v>
      </c>
      <c r="T28" s="59">
        <f t="shared" si="34"/>
        <v>115.4217868409637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42.19154653481332</v>
      </c>
      <c r="AK28" s="13">
        <f t="shared" si="35"/>
        <v>12.577701043627256</v>
      </c>
      <c r="AL28" s="20">
        <f t="shared" si="4"/>
        <v>95.389772865783996</v>
      </c>
      <c r="AM28" s="59">
        <f t="shared" si="5"/>
        <v>388.7231061991173</v>
      </c>
      <c r="AN28" s="59">
        <f ca="1">AVERAGE(OFFSET($AM$3,0,0,'Données projet'!$E$10+1,1))-AVERAGE(OFFSET($H$3,0,0,'Données projet'!$E$10+1,1))</f>
        <v>190.21499310415584</v>
      </c>
      <c r="AO28" s="59">
        <f t="shared" si="36"/>
        <v>136.15730566500173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13.3</v>
      </c>
      <c r="BD28" s="12">
        <f>IF('Données projet'!$A$88&gt;35,BD27+BC28-BL27,IF(A28&lt;'Données projet'!$A$88,$BA$205^A28,IF(A28='Données projet'!$A$88,'Données projet'!$B$88,BD27+BC28-BL27)))</f>
        <v>133.5</v>
      </c>
      <c r="BE28" s="13">
        <f>BD28*VLOOKUP('Données projet'!$B$11,Paramètres!$A$1:$I$89,3,0)*VLOOKUP('Données projet'!$B$11,Paramètres!$A$1:$I$89,5,0)</f>
        <v>79.833000000000013</v>
      </c>
      <c r="BF28" s="13">
        <f t="shared" si="37"/>
        <v>22.096346795793803</v>
      </c>
      <c r="BG28" s="20">
        <f t="shared" si="7"/>
        <v>177.52694566934088</v>
      </c>
      <c r="BH28" s="59">
        <f t="shared" si="8"/>
        <v>470.86027900267419</v>
      </c>
      <c r="BI28" s="59">
        <f ca="1">AVERAGE(OFFSET($BH$3,0,0,'Données projet'!$E$11+1,1))-AVERAGE(OFFSET($H$3,0,0,'Données projet'!$E$11+1,1))</f>
        <v>270.30888762640245</v>
      </c>
      <c r="BJ28" s="59">
        <f t="shared" si="38"/>
        <v>202.23783851977691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3.0954421851294032</v>
      </c>
      <c r="BR28" s="21">
        <f>EXP(-LN(2)/2)*BR27+(1-EXP(-LN(2)/2))/(LN(2)/2)*BL28*BO28*VLOOKUP('Données projet'!$B$11,Paramètres!$A$1:$I$89,3,0)*0.475*44/12</f>
        <v>1.1969106575117865</v>
      </c>
      <c r="BS28" s="22">
        <f t="shared" si="9"/>
        <v>4.2923528426411899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13.3</v>
      </c>
      <c r="BY28" s="12">
        <f>IF('Données projet'!$A$114&gt;35,BY27+BX28-CG27,IF(A28&lt;'Données projet'!$A$114,$BV$205^A28,IF(A28='Données projet'!$A$114,'Données projet'!$B$114,BY27+BX28-CG27)))</f>
        <v>133.5</v>
      </c>
      <c r="BZ28" s="13">
        <f>BY28*VLOOKUP('Données projet'!$B$12,Paramètres!$A$1:$I$89,3,0)*VLOOKUP('Données projet'!$B$12,Paramètres!$A$1:$I$89,5,0)</f>
        <v>79.833000000000013</v>
      </c>
      <c r="CA28" s="13">
        <f t="shared" si="39"/>
        <v>22.096346795793803</v>
      </c>
      <c r="CB28" s="20">
        <f t="shared" si="10"/>
        <v>177.52694566934088</v>
      </c>
      <c r="CC28" s="59">
        <f t="shared" si="11"/>
        <v>470.86027900267419</v>
      </c>
      <c r="CD28" s="59">
        <f ca="1">AVERAGE(OFFSET($CC$3,0,0,'Données projet'!$E$12+1,1))-AVERAGE(OFFSET($H$3,0,0,'Données projet'!$E$12+1,1))</f>
        <v>270.30888762640245</v>
      </c>
      <c r="CE28" s="59">
        <f t="shared" si="40"/>
        <v>202.23783851977691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3.0954421851294032</v>
      </c>
      <c r="CM28" s="21">
        <f>EXP(-LN(2)/2)*CM27+(1-EXP(-LN(2)/2))/(LN(2)/2)*CG28*CJ28*VLOOKUP('Données projet'!$B$12,Paramètres!$A$1:$I$89,3,0)*0.475*44/12</f>
        <v>1.1969106575117865</v>
      </c>
      <c r="CN28" s="22">
        <f t="shared" si="12"/>
        <v>4.2923528426411899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7.2264102564102561</v>
      </c>
      <c r="CT28" s="12">
        <f>IF('Données projet'!$A$140&gt;35,CT27+CS28-DB27,IF(A28&lt;'Données projet'!$A$140,$CQ$205^A28,IF(A28='Données projet'!$A$140,'Données projet'!$B$140,CT27+CS28-DB27)))</f>
        <v>88.451097014195071</v>
      </c>
      <c r="CU28" s="17">
        <f>CT28*VLOOKUP('Données projet'!$B$13,Paramètres!$A$1:$I$89,3,0)*VLOOKUP('Données projet'!$B$13,Paramètres!$A$1:$I$89,5,0)</f>
        <v>41.39511340264329</v>
      </c>
      <c r="CV28" s="13">
        <f t="shared" si="41"/>
        <v>12.367680831528276</v>
      </c>
      <c r="CW28" s="20">
        <f t="shared" si="13"/>
        <v>93.636866624515463</v>
      </c>
      <c r="CX28" s="59">
        <f t="shared" si="14"/>
        <v>386.97019995784876</v>
      </c>
      <c r="CY28" s="59">
        <f ca="1">AVERAGE(OFFSET($CX$3,0,0,'Données projet'!$E$13+1,1))-AVERAGE(OFFSET($H$3,0,0,'Données projet'!$E$13+1,1))</f>
        <v>158.58786357608489</v>
      </c>
      <c r="CZ28" s="59">
        <f t="shared" si="42"/>
        <v>163.20074068819849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12.2</v>
      </c>
      <c r="DO28" s="12">
        <f>IF('Données projet'!$A$166&gt;35,DO27+DN28-DW27,IF(A28&lt;'Données projet'!$A$166,$DL$205^A28,IF(A28='Données projet'!$A$166,'Données projet'!$B$166,DO27+DN28-DW27)))</f>
        <v>113.00000000000001</v>
      </c>
      <c r="DP28" s="17">
        <f>DO28*VLOOKUP('Données projet'!$B$14,Paramètres!$A$1:$I$89,3,0)*VLOOKUP('Données projet'!$B$14,Paramètres!$A$1:$I$89,5,0)</f>
        <v>75.80040000000001</v>
      </c>
      <c r="DQ28" s="13">
        <f t="shared" si="43"/>
        <v>21.107159889298988</v>
      </c>
      <c r="DR28" s="20">
        <f t="shared" si="16"/>
        <v>168.78066680719573</v>
      </c>
      <c r="DS28" s="59">
        <f t="shared" si="17"/>
        <v>462.11400014052901</v>
      </c>
      <c r="DT28" s="59">
        <f ca="1">AVERAGE(OFFSET($DS$3,0,0,'Données projet'!$E$14+1,1))-AVERAGE(OFFSET($H$3,0,0,'Données projet'!$E$14+1,1))</f>
        <v>156.63226020379989</v>
      </c>
      <c r="DU28" s="59">
        <f t="shared" si="44"/>
        <v>196.0481096619543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3.6635754567164982</v>
      </c>
      <c r="EC28" s="21">
        <f>EXP(-LN(2)/2)*EC27+(1-EXP(-LN(2)/2))/(LN(2)/2)*DW28*DZ28*VLOOKUP('Données projet'!$B$14,Paramètres!$A$1:$I$89,3,0)*0.475*44/12</f>
        <v>1.2027651118148333</v>
      </c>
      <c r="ED28" s="22">
        <f t="shared" si="18"/>
        <v>4.8663405685313315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2.9235042735042733</v>
      </c>
      <c r="EJ28" s="12">
        <f>IF('Données projet'!$A$192&gt;35,EJ27+EI28-ER27,IF(A28&lt;'Données projet'!$A$192,$EG$205^A28,IF(A28='Données projet'!$A$192,'Données projet'!$B$192,EJ27+EI28-ER27)))</f>
        <v>41.609020251295185</v>
      </c>
      <c r="EK28" s="17">
        <f>EJ28*VLOOKUP('Données projet'!$B$15,Paramètres!$A$1:$I$89,3,0)*VLOOKUP('Données projet'!$B$15,Paramètres!$A$1:$I$89,5,0)</f>
        <v>44.787949398494135</v>
      </c>
      <c r="EL28" s="13">
        <f t="shared" si="45"/>
        <v>13.259223234279354</v>
      </c>
      <c r="EM28" s="20">
        <f t="shared" si="19"/>
        <v>101.09882566874715</v>
      </c>
      <c r="EN28" s="59">
        <f t="shared" si="20"/>
        <v>394.43215900208048</v>
      </c>
      <c r="EO28" s="59">
        <f ca="1">AVERAGE(OFFSET($EN$3,0,0,'Données projet'!$E$15+1,1))-AVERAGE(OFFSET($H$3,0,0,'Données projet'!$E$15+1,1))</f>
        <v>211.18501783767226</v>
      </c>
      <c r="EP28" s="59">
        <f t="shared" si="46"/>
        <v>147.98306963466246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86</v>
      </c>
      <c r="FC28" s="12">
        <f>VLOOKUP(A28,'Données projet'!$A$217:$I$237,9,0)</f>
        <v>3.44</v>
      </c>
      <c r="FD28" s="12">
        <f t="array" ref="FD28">INDEX(FC:FC,MIN(IF(ISNUMBER(FC28:FC224),ROW(FC28:FC224),"")))</f>
        <v>3.44</v>
      </c>
      <c r="FE28" s="12">
        <f>IF('Données projet'!$A$218&gt;35,FE27+FD28-FM27,IF(A28&lt;'Données projet'!$A$218,$FB$205^A28,IF(A28='Données projet'!$A$218,'Données projet'!$B$218,FE27+FD28-FM27)))</f>
        <v>86</v>
      </c>
      <c r="FF28" s="17">
        <f>FE28*VLOOKUP('Données projet'!$B$16,Paramètres!$A$1:$I$89,3,0)*VLOOKUP('Données projet'!$B$16,Paramètres!$A$1:$I$89,5,0)</f>
        <v>51.428000000000004</v>
      </c>
      <c r="FG28" s="13">
        <f t="shared" si="47"/>
        <v>14.981940313719676</v>
      </c>
      <c r="FH28" s="20">
        <f t="shared" si="22"/>
        <v>115.66397937972845</v>
      </c>
      <c r="FI28" s="59">
        <f t="shared" si="23"/>
        <v>408.99731271306177</v>
      </c>
      <c r="FJ28" s="59">
        <f ca="1">AVERAGE(OFFSET($FI$3,0,0,'Données projet'!$E$16+1,1))-AVERAGE(OFFSET($H$3,0,0,'Données projet'!$E$16+1,1))</f>
        <v>232.26937455765062</v>
      </c>
      <c r="FK28" s="59">
        <f t="shared" si="48"/>
        <v>115.80853281120301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12.2</v>
      </c>
      <c r="FZ28" s="12">
        <f>IF('Données projet'!$A$244&gt;35,FZ27+FY28-GH27,IF(A28&lt;'Données projet'!$A$244,$FW$205^A28,IF(A28='Données projet'!$A$244,'Données projet'!$B$244,FZ27+FY28-GH27)))</f>
        <v>113.00000000000001</v>
      </c>
      <c r="GA28" s="17">
        <f>FZ28*VLOOKUP('Données projet'!$B$17,Paramètres!$A$1:$I$89,3,0)*VLOOKUP('Données projet'!$B$17,Paramètres!$A$1:$I$89,5,0)</f>
        <v>89.902800000000013</v>
      </c>
      <c r="GB28" s="13">
        <f t="shared" si="49"/>
        <v>24.541781220398729</v>
      </c>
      <c r="GC28" s="20">
        <f t="shared" si="25"/>
        <v>199.32431229219446</v>
      </c>
      <c r="GD28" s="59">
        <f t="shared" si="26"/>
        <v>492.65764562552778</v>
      </c>
      <c r="GE28" s="59">
        <f ca="1">AVERAGE(OFFSET($GD$3,0,0,'Données projet'!$E$17+1,1))-AVERAGE(OFFSET($H$3,0,0,'Données projet'!$E$17+1,1))</f>
        <v>199.58763537752952</v>
      </c>
      <c r="GF28" s="59">
        <f t="shared" si="50"/>
        <v>242.62852778451929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4.3451708905242192</v>
      </c>
      <c r="GN28" s="21">
        <f>EXP(-LN(2)/2)*GN27+(1-EXP(-LN(2)/2))/(LN(2)/2)*GH28*GK28*VLOOKUP('Données projet'!$B$17,Paramètres!$A$1:$I$89,3,0)*0.475*44/12</f>
        <v>1.4265353651757324</v>
      </c>
      <c r="GO28" s="21">
        <f t="shared" si="27"/>
        <v>5.7717062556999519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2.9235042735042733</v>
      </c>
      <c r="N29" s="13">
        <f>IF('Données projet'!$A$36&gt;35,N28+M29-V28,IF(A29&lt;'Données projet'!$A$36,$K$205^A29,IF(A29='Données projet'!$A$36,'Données projet'!$B$36,N28+M29-V28)))</f>
        <v>48.30087400300993</v>
      </c>
      <c r="O29" s="13">
        <f>N29*VLOOKUP('Données projet'!$B$9,Paramètres!$A$1:$I$89,3,0)*VLOOKUP('Données projet'!$B$9,Paramètres!$A$1:$I$89,5,0)</f>
        <v>43.702630797923383</v>
      </c>
      <c r="P29" s="13">
        <f t="shared" si="33"/>
        <v>12.974916262929579</v>
      </c>
      <c r="Q29" s="20">
        <f t="shared" si="2"/>
        <v>98.71339446431891</v>
      </c>
      <c r="R29" s="59">
        <f t="shared" si="0"/>
        <v>392.04672779765224</v>
      </c>
      <c r="S29" s="59">
        <f ca="1">AVERAGE(OFFSET($R$3,0,0,'Données projet'!$E$9+1,1))-AVERAGE(OFFSET($H$3,0,0,'Données projet'!$E$9+1,1))</f>
        <v>153.45079678708987</v>
      </c>
      <c r="T29" s="59">
        <f t="shared" si="34"/>
        <v>115.4217868409637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48.97708623905207</v>
      </c>
      <c r="AK29" s="13">
        <f t="shared" si="35"/>
        <v>14.34927076103458</v>
      </c>
      <c r="AL29" s="20">
        <f t="shared" si="4"/>
        <v>110.29340510848425</v>
      </c>
      <c r="AM29" s="59">
        <f t="shared" si="5"/>
        <v>403.62673844181757</v>
      </c>
      <c r="AN29" s="59">
        <f ca="1">AVERAGE(OFFSET($AM$3,0,0,'Données projet'!$E$10+1,1))-AVERAGE(OFFSET($H$3,0,0,'Données projet'!$E$10+1,1))</f>
        <v>190.21499310415584</v>
      </c>
      <c r="AO29" s="59">
        <f t="shared" si="36"/>
        <v>136.15730566500173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13.3</v>
      </c>
      <c r="BD29" s="12">
        <f>IF('Données projet'!$A$88&gt;35,BD28+BC29-BL28,IF(A29&lt;'Données projet'!$A$88,$BA$205^A29,IF(A29='Données projet'!$A$88,'Données projet'!$B$88,BD28+BC29-BL28)))</f>
        <v>146.80000000000001</v>
      </c>
      <c r="BE29" s="13">
        <f>BD29*VLOOKUP('Données projet'!$B$11,Paramètres!$A$1:$I$89,3,0)*VLOOKUP('Données projet'!$B$11,Paramètres!$A$1:$I$89,5,0)</f>
        <v>87.786400000000015</v>
      </c>
      <c r="BF29" s="13">
        <f t="shared" si="37"/>
        <v>24.030586680166543</v>
      </c>
      <c r="BG29" s="20">
        <f t="shared" si="7"/>
        <v>194.74791846795674</v>
      </c>
      <c r="BH29" s="59">
        <f t="shared" si="8"/>
        <v>488.08125180129002</v>
      </c>
      <c r="BI29" s="59">
        <f ca="1">AVERAGE(OFFSET($BH$3,0,0,'Données projet'!$E$11+1,1))-AVERAGE(OFFSET($H$3,0,0,'Données projet'!$E$11+1,1))</f>
        <v>270.30888762640245</v>
      </c>
      <c r="BJ29" s="59">
        <f t="shared" si="38"/>
        <v>202.23783851977691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3.0107971557948097</v>
      </c>
      <c r="BR29" s="21">
        <f>EXP(-LN(2)/2)*BR28+(1-EXP(-LN(2)/2))/(LN(2)/2)*BL29*BO29*VLOOKUP('Données projet'!$B$11,Paramètres!$A$1:$I$89,3,0)*0.475*44/12</f>
        <v>0.84634364240103355</v>
      </c>
      <c r="BS29" s="22">
        <f t="shared" si="9"/>
        <v>3.857140798195843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13.3</v>
      </c>
      <c r="BY29" s="12">
        <f>IF('Données projet'!$A$114&gt;35,BY28+BX29-CG28,IF(A29&lt;'Données projet'!$A$114,$BV$205^A29,IF(A29='Données projet'!$A$114,'Données projet'!$B$114,BY28+BX29-CG28)))</f>
        <v>146.80000000000001</v>
      </c>
      <c r="BZ29" s="13">
        <f>BY29*VLOOKUP('Données projet'!$B$12,Paramètres!$A$1:$I$89,3,0)*VLOOKUP('Données projet'!$B$12,Paramètres!$A$1:$I$89,5,0)</f>
        <v>87.786400000000015</v>
      </c>
      <c r="CA29" s="13">
        <f t="shared" si="39"/>
        <v>24.030586680166543</v>
      </c>
      <c r="CB29" s="20">
        <f t="shared" si="10"/>
        <v>194.74791846795674</v>
      </c>
      <c r="CC29" s="59">
        <f t="shared" si="11"/>
        <v>488.08125180129002</v>
      </c>
      <c r="CD29" s="59">
        <f ca="1">AVERAGE(OFFSET($CC$3,0,0,'Données projet'!$E$12+1,1))-AVERAGE(OFFSET($H$3,0,0,'Données projet'!$E$12+1,1))</f>
        <v>270.30888762640245</v>
      </c>
      <c r="CE29" s="59">
        <f t="shared" si="40"/>
        <v>202.23783851977691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3.0107971557948097</v>
      </c>
      <c r="CM29" s="21">
        <f>EXP(-LN(2)/2)*CM28+(1-EXP(-LN(2)/2))/(LN(2)/2)*CG29*CJ29*VLOOKUP('Données projet'!$B$12,Paramètres!$A$1:$I$89,3,0)*0.475*44/12</f>
        <v>0.84634364240103355</v>
      </c>
      <c r="CN29" s="22">
        <f t="shared" si="12"/>
        <v>3.857140798195843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7.2264102564102561</v>
      </c>
      <c r="CT29" s="12">
        <f>IF('Données projet'!$A$140&gt;35,CT28+CS29-DB28,IF(A29&lt;'Données projet'!$A$140,$CQ$205^A29,IF(A29='Données projet'!$A$140,'Données projet'!$B$140,CT28+CS29-DB28)))</f>
        <v>105.82087604801265</v>
      </c>
      <c r="CU29" s="17">
        <f>CT29*VLOOKUP('Données projet'!$B$13,Paramètres!$A$1:$I$89,3,0)*VLOOKUP('Données projet'!$B$13,Paramètres!$A$1:$I$89,5,0)</f>
        <v>49.524169990469915</v>
      </c>
      <c r="CV29" s="13">
        <f t="shared" si="41"/>
        <v>14.490806184311312</v>
      </c>
      <c r="CW29" s="20">
        <f t="shared" si="13"/>
        <v>111.4927501710773</v>
      </c>
      <c r="CX29" s="59">
        <f t="shared" si="14"/>
        <v>404.82608350441063</v>
      </c>
      <c r="CY29" s="59">
        <f ca="1">AVERAGE(OFFSET($CX$3,0,0,'Données projet'!$E$13+1,1))-AVERAGE(OFFSET($H$3,0,0,'Données projet'!$E$13+1,1))</f>
        <v>158.58786357608489</v>
      </c>
      <c r="CZ29" s="59">
        <f t="shared" si="42"/>
        <v>163.20074068819849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12.2</v>
      </c>
      <c r="DO29" s="12">
        <f>IF('Données projet'!$A$166&gt;35,DO28+DN29-DW28,IF(A29&lt;'Données projet'!$A$166,$DL$205^A29,IF(A29='Données projet'!$A$166,'Données projet'!$B$166,DO28+DN29-DW28)))</f>
        <v>125.20000000000002</v>
      </c>
      <c r="DP29" s="17">
        <f>DO29*VLOOKUP('Données projet'!$B$14,Paramètres!$A$1:$I$89,3,0)*VLOOKUP('Données projet'!$B$14,Paramètres!$A$1:$I$89,5,0)</f>
        <v>83.984160000000017</v>
      </c>
      <c r="DQ29" s="13">
        <f t="shared" si="43"/>
        <v>23.108559407837603</v>
      </c>
      <c r="DR29" s="20">
        <f t="shared" si="16"/>
        <v>186.51981963531719</v>
      </c>
      <c r="DS29" s="59">
        <f t="shared" si="17"/>
        <v>479.85315296865053</v>
      </c>
      <c r="DT29" s="59">
        <f ca="1">AVERAGE(OFFSET($DS$3,0,0,'Données projet'!$E$14+1,1))-AVERAGE(OFFSET($H$3,0,0,'Données projet'!$E$14+1,1))</f>
        <v>156.63226020379989</v>
      </c>
      <c r="DU29" s="59">
        <f t="shared" si="44"/>
        <v>196.0481096619543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3.5633947931935257</v>
      </c>
      <c r="EC29" s="21">
        <f>EXP(-LN(2)/2)*EC28+(1-EXP(-LN(2)/2))/(LN(2)/2)*DW29*DZ29*VLOOKUP('Données projet'!$B$14,Paramètres!$A$1:$I$89,3,0)*0.475*44/12</f>
        <v>0.85048336673886471</v>
      </c>
      <c r="ED29" s="22">
        <f t="shared" si="18"/>
        <v>4.4138781599323904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2.9235042735042733</v>
      </c>
      <c r="EJ29" s="12">
        <f>IF('Données projet'!$A$192&gt;35,EJ28+EI29-ER28,IF(A29&lt;'Données projet'!$A$192,$EG$205^A29,IF(A29='Données projet'!$A$192,'Données projet'!$B$192,EJ28+EI29-ER28)))</f>
        <v>48.30087400300993</v>
      </c>
      <c r="EK29" s="17">
        <f>EJ29*VLOOKUP('Données projet'!$B$15,Paramètres!$A$1:$I$89,3,0)*VLOOKUP('Données projet'!$B$15,Paramètres!$A$1:$I$89,5,0)</f>
        <v>51.99106077683988</v>
      </c>
      <c r="EL29" s="13">
        <f t="shared" si="45"/>
        <v>15.126785380709476</v>
      </c>
      <c r="EM29" s="20">
        <f t="shared" si="19"/>
        <v>116.89691539106512</v>
      </c>
      <c r="EN29" s="59">
        <f t="shared" si="20"/>
        <v>410.23024872439845</v>
      </c>
      <c r="EO29" s="59">
        <f ca="1">AVERAGE(OFFSET($EN$3,0,0,'Données projet'!$E$15+1,1))-AVERAGE(OFFSET($H$3,0,0,'Données projet'!$E$15+1,1))</f>
        <v>211.18501783767226</v>
      </c>
      <c r="EP29" s="59">
        <f t="shared" si="46"/>
        <v>147.98306963466246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9.4</v>
      </c>
      <c r="FE29" s="12">
        <f>IF('Données projet'!$A$218&gt;35,FE28+FD29-FM28,IF(A29&lt;'Données projet'!$A$218,$FB$205^A29,IF(A29='Données projet'!$A$218,'Données projet'!$B$218,FE28+FD29-FM28)))</f>
        <v>95.4</v>
      </c>
      <c r="FF29" s="17">
        <f>FE29*VLOOKUP('Données projet'!$B$16,Paramètres!$A$1:$I$89,3,0)*VLOOKUP('Données projet'!$B$16,Paramètres!$A$1:$I$89,5,0)</f>
        <v>57.049200000000013</v>
      </c>
      <c r="FG29" s="13">
        <f t="shared" si="47"/>
        <v>16.420038645829848</v>
      </c>
      <c r="FH29" s="20">
        <f t="shared" si="22"/>
        <v>127.95892397482032</v>
      </c>
      <c r="FI29" s="59">
        <f t="shared" si="23"/>
        <v>421.29225730815364</v>
      </c>
      <c r="FJ29" s="59">
        <f ca="1">AVERAGE(OFFSET($FI$3,0,0,'Données projet'!$E$16+1,1))-AVERAGE(OFFSET($H$3,0,0,'Données projet'!$E$16+1,1))</f>
        <v>232.26937455765062</v>
      </c>
      <c r="FK29" s="59">
        <f t="shared" si="48"/>
        <v>115.80853281120301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12.2</v>
      </c>
      <c r="FZ29" s="12">
        <f>IF('Données projet'!$A$244&gt;35,FZ28+FY29-GH28,IF(A29&lt;'Données projet'!$A$244,$FW$205^A29,IF(A29='Données projet'!$A$244,'Données projet'!$B$244,FZ28+FY29-GH28)))</f>
        <v>125.20000000000002</v>
      </c>
      <c r="GA29" s="17">
        <f>FZ29*VLOOKUP('Données projet'!$B$17,Paramètres!$A$1:$I$89,3,0)*VLOOKUP('Données projet'!$B$17,Paramètres!$A$1:$I$89,5,0)</f>
        <v>99.609120000000019</v>
      </c>
      <c r="GB29" s="13">
        <f t="shared" si="49"/>
        <v>26.868854563103099</v>
      </c>
      <c r="GC29" s="20">
        <f t="shared" si="25"/>
        <v>220.28247236407125</v>
      </c>
      <c r="GD29" s="59">
        <f t="shared" si="26"/>
        <v>513.61580569740454</v>
      </c>
      <c r="GE29" s="59">
        <f ca="1">AVERAGE(OFFSET($GD$3,0,0,'Données projet'!$E$17+1,1))-AVERAGE(OFFSET($H$3,0,0,'Données projet'!$E$17+1,1))</f>
        <v>199.58763537752952</v>
      </c>
      <c r="GF29" s="59">
        <f t="shared" si="50"/>
        <v>242.62852778451929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4.2263519640202283</v>
      </c>
      <c r="GN29" s="21">
        <f>EXP(-LN(2)/2)*GN28+(1-EXP(-LN(2)/2))/(LN(2)/2)*GH29*GK29*VLOOKUP('Données projet'!$B$17,Paramètres!$A$1:$I$89,3,0)*0.475*44/12</f>
        <v>1.0087128303181883</v>
      </c>
      <c r="GO29" s="21">
        <f t="shared" si="27"/>
        <v>5.2350647943384168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2.9235042735042733</v>
      </c>
      <c r="N30" s="13">
        <f>IF('Données projet'!$A$36&gt;35,N29+M30-V29,IF(A30&lt;'Données projet'!$A$36,$K$205^A30,IF(A30='Données projet'!$A$36,'Données projet'!$B$36,N29+M30-V29)))</f>
        <v>56.068958494210662</v>
      </c>
      <c r="O30" s="13">
        <f>N30*VLOOKUP('Données projet'!$B$9,Paramètres!$A$1:$I$89,3,0)*VLOOKUP('Données projet'!$B$9,Paramètres!$A$1:$I$89,5,0)</f>
        <v>50.731193645561802</v>
      </c>
      <c r="P30" s="13">
        <f t="shared" si="33"/>
        <v>14.802433760568636</v>
      </c>
      <c r="Q30" s="20">
        <f t="shared" si="2"/>
        <v>114.13773439901051</v>
      </c>
      <c r="R30" s="59">
        <f t="shared" si="0"/>
        <v>407.47106773234384</v>
      </c>
      <c r="S30" s="59">
        <f ca="1">AVERAGE(OFFSET($R$3,0,0,'Données projet'!$E$9+1,1))-AVERAGE(OFFSET($H$3,0,0,'Données projet'!$E$9+1,1))</f>
        <v>153.45079678708987</v>
      </c>
      <c r="T30" s="59">
        <f t="shared" si="34"/>
        <v>115.4217868409637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56.853923913129613</v>
      </c>
      <c r="AK30" s="13">
        <f t="shared" si="35"/>
        <v>16.370366147143088</v>
      </c>
      <c r="AL30" s="20">
        <f t="shared" si="4"/>
        <v>127.53230518830827</v>
      </c>
      <c r="AM30" s="59">
        <f t="shared" si="5"/>
        <v>420.86563852164159</v>
      </c>
      <c r="AN30" s="59">
        <f ca="1">AVERAGE(OFFSET($AM$3,0,0,'Données projet'!$E$10+1,1))-AVERAGE(OFFSET($H$3,0,0,'Données projet'!$E$10+1,1))</f>
        <v>190.21499310415584</v>
      </c>
      <c r="AO30" s="59">
        <f t="shared" si="36"/>
        <v>136.15730566500173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13.3</v>
      </c>
      <c r="BD30" s="12">
        <f>IF('Données projet'!$A$88&gt;35,BD29+BC30-BL29,IF(A30&lt;'Données projet'!$A$88,$BA$205^A30,IF(A30='Données projet'!$A$88,'Données projet'!$B$88,BD29+BC30-BL29)))</f>
        <v>160.10000000000002</v>
      </c>
      <c r="BE30" s="13">
        <f>BD30*VLOOKUP('Données projet'!$B$11,Paramètres!$A$1:$I$89,3,0)*VLOOKUP('Données projet'!$B$11,Paramètres!$A$1:$I$89,5,0)</f>
        <v>95.739800000000017</v>
      </c>
      <c r="BF30" s="13">
        <f t="shared" si="37"/>
        <v>25.944506362071046</v>
      </c>
      <c r="BG30" s="20">
        <f t="shared" si="7"/>
        <v>211.93350024727374</v>
      </c>
      <c r="BH30" s="59">
        <f t="shared" si="8"/>
        <v>505.26683358060706</v>
      </c>
      <c r="BI30" s="59">
        <f ca="1">AVERAGE(OFFSET($BH$3,0,0,'Données projet'!$E$11+1,1))-AVERAGE(OFFSET($H$3,0,0,'Données projet'!$E$11+1,1))</f>
        <v>270.30888762640245</v>
      </c>
      <c r="BJ30" s="59">
        <f t="shared" si="38"/>
        <v>202.23783851977691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2.9284667492386594</v>
      </c>
      <c r="BR30" s="21">
        <f>EXP(-LN(2)/2)*BR29+(1-EXP(-LN(2)/2))/(LN(2)/2)*BL30*BO30*VLOOKUP('Données projet'!$B$11,Paramètres!$A$1:$I$89,3,0)*0.475*44/12</f>
        <v>0.59845532875589325</v>
      </c>
      <c r="BS30" s="22">
        <f t="shared" si="9"/>
        <v>3.5269220779945525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13.3</v>
      </c>
      <c r="BY30" s="12">
        <f>IF('Données projet'!$A$114&gt;35,BY29+BX30-CG29,IF(A30&lt;'Données projet'!$A$114,$BV$205^A30,IF(A30='Données projet'!$A$114,'Données projet'!$B$114,BY29+BX30-CG29)))</f>
        <v>160.10000000000002</v>
      </c>
      <c r="BZ30" s="13">
        <f>BY30*VLOOKUP('Données projet'!$B$12,Paramètres!$A$1:$I$89,3,0)*VLOOKUP('Données projet'!$B$12,Paramètres!$A$1:$I$89,5,0)</f>
        <v>95.739800000000017</v>
      </c>
      <c r="CA30" s="13">
        <f t="shared" si="39"/>
        <v>25.944506362071046</v>
      </c>
      <c r="CB30" s="20">
        <f t="shared" si="10"/>
        <v>211.93350024727374</v>
      </c>
      <c r="CC30" s="59">
        <f t="shared" si="11"/>
        <v>505.26683358060706</v>
      </c>
      <c r="CD30" s="59">
        <f ca="1">AVERAGE(OFFSET($CC$3,0,0,'Données projet'!$E$12+1,1))-AVERAGE(OFFSET($H$3,0,0,'Données projet'!$E$12+1,1))</f>
        <v>270.30888762640245</v>
      </c>
      <c r="CE30" s="59">
        <f t="shared" si="40"/>
        <v>202.23783851977691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2.9284667492386594</v>
      </c>
      <c r="CM30" s="21">
        <f>EXP(-LN(2)/2)*CM29+(1-EXP(-LN(2)/2))/(LN(2)/2)*CG30*CJ30*VLOOKUP('Données projet'!$B$12,Paramètres!$A$1:$I$89,3,0)*0.475*44/12</f>
        <v>0.59845532875589325</v>
      </c>
      <c r="CN30" s="22">
        <f t="shared" si="12"/>
        <v>3.5269220779945525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7.2264102564102561</v>
      </c>
      <c r="CT30" s="12">
        <f>IF('Données projet'!$A$140&gt;35,CT29+CS30-DB29,IF(A30&lt;'Données projet'!$A$140,$CQ$205^A30,IF(A30='Données projet'!$A$140,'Données projet'!$B$140,CT29+CS30-DB29)))</f>
        <v>126.60168370519743</v>
      </c>
      <c r="CU30" s="17">
        <f>CT30*VLOOKUP('Données projet'!$B$13,Paramètres!$A$1:$I$89,3,0)*VLOOKUP('Données projet'!$B$13,Paramètres!$A$1:$I$89,5,0)</f>
        <v>59.249587974032401</v>
      </c>
      <c r="CV30" s="13">
        <f t="shared" si="41"/>
        <v>16.97840255838226</v>
      </c>
      <c r="CW30" s="20">
        <f t="shared" si="13"/>
        <v>132.76375017728887</v>
      </c>
      <c r="CX30" s="59">
        <f t="shared" si="14"/>
        <v>426.09708351062216</v>
      </c>
      <c r="CY30" s="59">
        <f ca="1">AVERAGE(OFFSET($CX$3,0,0,'Données projet'!$E$13+1,1))-AVERAGE(OFFSET($H$3,0,0,'Données projet'!$E$13+1,1))</f>
        <v>158.58786357608489</v>
      </c>
      <c r="CZ30" s="59">
        <f t="shared" si="42"/>
        <v>163.20074068819849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12.2</v>
      </c>
      <c r="DO30" s="12">
        <f>IF('Données projet'!$A$166&gt;35,DO29+DN30-DW29,IF(A30&lt;'Données projet'!$A$166,$DL$205^A30,IF(A30='Données projet'!$A$166,'Données projet'!$B$166,DO29+DN30-DW29)))</f>
        <v>137.4</v>
      </c>
      <c r="DP30" s="17">
        <f>DO30*VLOOKUP('Données projet'!$B$14,Paramètres!$A$1:$I$89,3,0)*VLOOKUP('Données projet'!$B$14,Paramètres!$A$1:$I$89,5,0)</f>
        <v>92.167920000000009</v>
      </c>
      <c r="DQ30" s="13">
        <f t="shared" si="43"/>
        <v>25.087348587680737</v>
      </c>
      <c r="DR30" s="20">
        <f t="shared" si="16"/>
        <v>204.21959279021061</v>
      </c>
      <c r="DS30" s="59">
        <f t="shared" si="17"/>
        <v>497.5529261235439</v>
      </c>
      <c r="DT30" s="59">
        <f ca="1">AVERAGE(OFFSET($DS$3,0,0,'Données projet'!$E$14+1,1))-AVERAGE(OFFSET($H$3,0,0,'Données projet'!$E$14+1,1))</f>
        <v>156.63226020379989</v>
      </c>
      <c r="DU30" s="59">
        <f t="shared" si="44"/>
        <v>196.0481096619543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3.4659535751828607</v>
      </c>
      <c r="EC30" s="21">
        <f>EXP(-LN(2)/2)*EC29+(1-EXP(-LN(2)/2))/(LN(2)/2)*DW30*DZ30*VLOOKUP('Données projet'!$B$14,Paramètres!$A$1:$I$89,3,0)*0.475*44/12</f>
        <v>0.60138255590741674</v>
      </c>
      <c r="ED30" s="22">
        <f t="shared" si="18"/>
        <v>4.0673361310902774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2.9235042735042733</v>
      </c>
      <c r="EJ30" s="12">
        <f>IF('Données projet'!$A$192&gt;35,EJ29+EI30-ER29,IF(A30&lt;'Données projet'!$A$192,$EG$205^A30,IF(A30='Données projet'!$A$192,'Données projet'!$B$192,EJ29+EI30-ER29)))</f>
        <v>56.068958494210662</v>
      </c>
      <c r="EK30" s="17">
        <f>EJ30*VLOOKUP('Données projet'!$B$15,Paramètres!$A$1:$I$89,3,0)*VLOOKUP('Données projet'!$B$15,Paramètres!$A$1:$I$89,5,0)</f>
        <v>60.352626923168359</v>
      </c>
      <c r="EL30" s="13">
        <f t="shared" si="45"/>
        <v>17.257393733478565</v>
      </c>
      <c r="EM30" s="20">
        <f t="shared" si="19"/>
        <v>135.17078597699336</v>
      </c>
      <c r="EN30" s="59">
        <f t="shared" si="20"/>
        <v>428.5041193103267</v>
      </c>
      <c r="EO30" s="59">
        <f ca="1">AVERAGE(OFFSET($EN$3,0,0,'Données projet'!$E$15+1,1))-AVERAGE(OFFSET($H$3,0,0,'Données projet'!$E$15+1,1))</f>
        <v>211.18501783767226</v>
      </c>
      <c r="EP30" s="59">
        <f t="shared" si="46"/>
        <v>147.98306963466246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9.4</v>
      </c>
      <c r="FE30" s="12">
        <f>IF('Données projet'!$A$218&gt;35,FE29+FD30-FM29,IF(A30&lt;'Données projet'!$A$218,$FB$205^A30,IF(A30='Données projet'!$A$218,'Données projet'!$B$218,FE29+FD30-FM29)))</f>
        <v>104.80000000000001</v>
      </c>
      <c r="FF30" s="17">
        <f>FE30*VLOOKUP('Données projet'!$B$16,Paramètres!$A$1:$I$89,3,0)*VLOOKUP('Données projet'!$B$16,Paramètres!$A$1:$I$89,5,0)</f>
        <v>62.670400000000008</v>
      </c>
      <c r="FG30" s="13">
        <f t="shared" si="47"/>
        <v>17.841709356720273</v>
      </c>
      <c r="FH30" s="20">
        <f t="shared" si="22"/>
        <v>140.22525712962116</v>
      </c>
      <c r="FI30" s="59">
        <f t="shared" si="23"/>
        <v>433.5585904629545</v>
      </c>
      <c r="FJ30" s="59">
        <f ca="1">AVERAGE(OFFSET($FI$3,0,0,'Données projet'!$E$16+1,1))-AVERAGE(OFFSET($H$3,0,0,'Données projet'!$E$16+1,1))</f>
        <v>232.26937455765062</v>
      </c>
      <c r="FK30" s="59">
        <f t="shared" si="48"/>
        <v>115.80853281120301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12.2</v>
      </c>
      <c r="FZ30" s="12">
        <f>IF('Données projet'!$A$244&gt;35,FZ29+FY30-GH29,IF(A30&lt;'Données projet'!$A$244,$FW$205^A30,IF(A30='Données projet'!$A$244,'Données projet'!$B$244,FZ29+FY30-GH29)))</f>
        <v>137.4</v>
      </c>
      <c r="GA30" s="17">
        <f>FZ30*VLOOKUP('Données projet'!$B$17,Paramètres!$A$1:$I$89,3,0)*VLOOKUP('Données projet'!$B$17,Paramètres!$A$1:$I$89,5,0)</f>
        <v>109.31544</v>
      </c>
      <c r="GB30" s="13">
        <f t="shared" si="49"/>
        <v>29.169638343948144</v>
      </c>
      <c r="GC30" s="20">
        <f t="shared" si="25"/>
        <v>241.19484478237635</v>
      </c>
      <c r="GD30" s="59">
        <f t="shared" si="26"/>
        <v>534.52817811570969</v>
      </c>
      <c r="GE30" s="59">
        <f ca="1">AVERAGE(OFFSET($GD$3,0,0,'Données projet'!$E$17+1,1))-AVERAGE(OFFSET($H$3,0,0,'Données projet'!$E$17+1,1))</f>
        <v>199.58763537752952</v>
      </c>
      <c r="GF30" s="59">
        <f t="shared" si="50"/>
        <v>242.62852778451929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4.1107821473099051</v>
      </c>
      <c r="GN30" s="21">
        <f>EXP(-LN(2)/2)*GN29+(1-EXP(-LN(2)/2))/(LN(2)/2)*GH30*GK30*VLOOKUP('Données projet'!$B$17,Paramètres!$A$1:$I$89,3,0)*0.475*44/12</f>
        <v>0.71326768258786621</v>
      </c>
      <c r="GO30" s="21">
        <f t="shared" si="27"/>
        <v>4.8240498298977714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2.9235042735042733</v>
      </c>
      <c r="N31" s="13">
        <f>IF('Données projet'!$A$36&gt;35,N30+M31-V30,IF(A31&lt;'Données projet'!$A$36,$K$205^A31,IF(A31='Données projet'!$A$36,'Données projet'!$B$36,N30+M31-V30)))</f>
        <v>65.086360682202411</v>
      </c>
      <c r="O31" s="13">
        <f>N31*VLOOKUP('Données projet'!$B$9,Paramètres!$A$1:$I$89,3,0)*VLOOKUP('Données projet'!$B$9,Paramètres!$A$1:$I$89,5,0)</f>
        <v>58.89013914525674</v>
      </c>
      <c r="P31" s="13">
        <f t="shared" si="33"/>
        <v>16.887357174091651</v>
      </c>
      <c r="Q31" s="20">
        <f t="shared" si="2"/>
        <v>131.9791394228651</v>
      </c>
      <c r="R31" s="59">
        <f t="shared" si="0"/>
        <v>425.31247275619842</v>
      </c>
      <c r="S31" s="59">
        <f ca="1">AVERAGE(OFFSET($R$3,0,0,'Données projet'!$E$9+1,1))-AVERAGE(OFFSET($H$3,0,0,'Données projet'!$E$9+1,1))</f>
        <v>153.45079678708987</v>
      </c>
      <c r="T31" s="59">
        <f t="shared" si="34"/>
        <v>115.4217868409637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65.997569731753245</v>
      </c>
      <c r="AK31" s="13">
        <f t="shared" si="35"/>
        <v>18.67613290281286</v>
      </c>
      <c r="AL31" s="20">
        <f t="shared" si="4"/>
        <v>147.47336542186929</v>
      </c>
      <c r="AM31" s="59">
        <f t="shared" si="5"/>
        <v>440.8066987552026</v>
      </c>
      <c r="AN31" s="59">
        <f ca="1">AVERAGE(OFFSET($AM$3,0,0,'Données projet'!$E$10+1,1))-AVERAGE(OFFSET($H$3,0,0,'Données projet'!$E$10+1,1))</f>
        <v>190.21499310415584</v>
      </c>
      <c r="AO31" s="59">
        <f t="shared" si="36"/>
        <v>136.15730566500173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13.3</v>
      </c>
      <c r="BD31" s="12">
        <f>IF('Données projet'!$A$88&gt;35,BD30+BC31-BL30,IF(A31&lt;'Données projet'!$A$88,$BA$205^A31,IF(A31='Données projet'!$A$88,'Données projet'!$B$88,BD30+BC31-BL30)))</f>
        <v>173.40000000000003</v>
      </c>
      <c r="BE31" s="13">
        <f>BD31*VLOOKUP('Données projet'!$B$11,Paramètres!$A$1:$I$89,3,0)*VLOOKUP('Données projet'!$B$11,Paramètres!$A$1:$I$89,5,0)</f>
        <v>103.69320000000003</v>
      </c>
      <c r="BF31" s="13">
        <f t="shared" si="37"/>
        <v>27.83998582032487</v>
      </c>
      <c r="BG31" s="20">
        <f t="shared" si="7"/>
        <v>229.08696530373251</v>
      </c>
      <c r="BH31" s="59">
        <f t="shared" si="8"/>
        <v>522.4202986370658</v>
      </c>
      <c r="BI31" s="59">
        <f ca="1">AVERAGE(OFFSET($BH$3,0,0,'Données projet'!$E$11+1,1))-AVERAGE(OFFSET($H$3,0,0,'Données projet'!$E$11+1,1))</f>
        <v>270.30888762640245</v>
      </c>
      <c r="BJ31" s="59">
        <f t="shared" si="38"/>
        <v>202.23783851977691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2.8483876719793551</v>
      </c>
      <c r="BR31" s="21">
        <f>EXP(-LN(2)/2)*BR30+(1-EXP(-LN(2)/2))/(LN(2)/2)*BL31*BO31*VLOOKUP('Données projet'!$B$11,Paramètres!$A$1:$I$89,3,0)*0.475*44/12</f>
        <v>0.42317182120051677</v>
      </c>
      <c r="BS31" s="22">
        <f t="shared" si="9"/>
        <v>3.2715594931798719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13.3</v>
      </c>
      <c r="BY31" s="12">
        <f>IF('Données projet'!$A$114&gt;35,BY30+BX31-CG30,IF(A31&lt;'Données projet'!$A$114,$BV$205^A31,IF(A31='Données projet'!$A$114,'Données projet'!$B$114,BY30+BX31-CG30)))</f>
        <v>173.40000000000003</v>
      </c>
      <c r="BZ31" s="13">
        <f>BY31*VLOOKUP('Données projet'!$B$12,Paramètres!$A$1:$I$89,3,0)*VLOOKUP('Données projet'!$B$12,Paramètres!$A$1:$I$89,5,0)</f>
        <v>103.69320000000003</v>
      </c>
      <c r="CA31" s="13">
        <f t="shared" si="39"/>
        <v>27.83998582032487</v>
      </c>
      <c r="CB31" s="20">
        <f t="shared" si="10"/>
        <v>229.08696530373251</v>
      </c>
      <c r="CC31" s="59">
        <f t="shared" si="11"/>
        <v>522.4202986370658</v>
      </c>
      <c r="CD31" s="59">
        <f ca="1">AVERAGE(OFFSET($CC$3,0,0,'Données projet'!$E$12+1,1))-AVERAGE(OFFSET($H$3,0,0,'Données projet'!$E$12+1,1))</f>
        <v>270.30888762640245</v>
      </c>
      <c r="CE31" s="59">
        <f t="shared" si="40"/>
        <v>202.23783851977691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2.8483876719793551</v>
      </c>
      <c r="CM31" s="21">
        <f>EXP(-LN(2)/2)*CM30+(1-EXP(-LN(2)/2))/(LN(2)/2)*CG31*CJ31*VLOOKUP('Données projet'!$B$12,Paramètres!$A$1:$I$89,3,0)*0.475*44/12</f>
        <v>0.42317182120051677</v>
      </c>
      <c r="CN31" s="22">
        <f t="shared" si="12"/>
        <v>3.2715594931798719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7.2264102564102561</v>
      </c>
      <c r="CT31" s="12">
        <f>IF('Données projet'!$A$140&gt;35,CT30+CS31-DB30,IF(A31&lt;'Données projet'!$A$140,$CQ$205^A31,IF(A31='Données projet'!$A$140,'Données projet'!$B$140,CT30+CS31-DB30)))</f>
        <v>151.46336824615491</v>
      </c>
      <c r="CU31" s="17">
        <f>CT31*VLOOKUP('Données projet'!$B$13,Paramètres!$A$1:$I$89,3,0)*VLOOKUP('Données projet'!$B$13,Paramètres!$A$1:$I$89,5,0)</f>
        <v>70.884856339200496</v>
      </c>
      <c r="CV31" s="13">
        <f t="shared" si="41"/>
        <v>19.893037679751526</v>
      </c>
      <c r="CW31" s="20">
        <f t="shared" si="13"/>
        <v>158.10483208300809</v>
      </c>
      <c r="CX31" s="59">
        <f t="shared" si="14"/>
        <v>451.43816541634141</v>
      </c>
      <c r="CY31" s="59">
        <f ca="1">AVERAGE(OFFSET($CX$3,0,0,'Données projet'!$E$13+1,1))-AVERAGE(OFFSET($H$3,0,0,'Données projet'!$E$13+1,1))</f>
        <v>158.58786357608489</v>
      </c>
      <c r="CZ31" s="59">
        <f t="shared" si="42"/>
        <v>163.20074068819849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12.2</v>
      </c>
      <c r="DO31" s="12">
        <f>IF('Données projet'!$A$166&gt;35,DO30+DN31-DW30,IF(A31&lt;'Données projet'!$A$166,$DL$205^A31,IF(A31='Données projet'!$A$166,'Données projet'!$B$166,DO30+DN31-DW30)))</f>
        <v>149.6</v>
      </c>
      <c r="DP31" s="17">
        <f>DO31*VLOOKUP('Données projet'!$B$14,Paramètres!$A$1:$I$89,3,0)*VLOOKUP('Données projet'!$B$14,Paramètres!$A$1:$I$89,5,0)</f>
        <v>100.35168</v>
      </c>
      <c r="DQ31" s="13">
        <f t="shared" si="43"/>
        <v>27.045763332704833</v>
      </c>
      <c r="DR31" s="20">
        <f t="shared" si="16"/>
        <v>221.88388047112758</v>
      </c>
      <c r="DS31" s="59">
        <f t="shared" si="17"/>
        <v>515.21721380446093</v>
      </c>
      <c r="DT31" s="59">
        <f ca="1">AVERAGE(OFFSET($DS$3,0,0,'Données projet'!$E$14+1,1))-AVERAGE(OFFSET($H$3,0,0,'Données projet'!$E$14+1,1))</f>
        <v>156.63226020379989</v>
      </c>
      <c r="DU31" s="59">
        <f t="shared" si="44"/>
        <v>196.0481096619543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3.3711768924029086</v>
      </c>
      <c r="EC31" s="21">
        <f>EXP(-LN(2)/2)*EC30+(1-EXP(-LN(2)/2))/(LN(2)/2)*DW31*DZ31*VLOOKUP('Données projet'!$B$14,Paramètres!$A$1:$I$89,3,0)*0.475*44/12</f>
        <v>0.42524168336943247</v>
      </c>
      <c r="ED31" s="22">
        <f t="shared" si="18"/>
        <v>3.796418575772341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2.9235042735042733</v>
      </c>
      <c r="EJ31" s="12">
        <f>IF('Données projet'!$A$192&gt;35,EJ30+EI31-ER30,IF(A31&lt;'Données projet'!$A$192,$EG$205^A31,IF(A31='Données projet'!$A$192,'Données projet'!$B$192,EJ30+EI31-ER30)))</f>
        <v>65.086360682202411</v>
      </c>
      <c r="EK31" s="17">
        <f>EJ31*VLOOKUP('Données projet'!$B$15,Paramètres!$A$1:$I$89,3,0)*VLOOKUP('Données projet'!$B$15,Paramètres!$A$1:$I$89,5,0)</f>
        <v>70.058958638322665</v>
      </c>
      <c r="EL31" s="13">
        <f t="shared" si="45"/>
        <v>19.688098361737783</v>
      </c>
      <c r="EM31" s="20">
        <f t="shared" si="19"/>
        <v>156.30945760843863</v>
      </c>
      <c r="EN31" s="59">
        <f t="shared" si="20"/>
        <v>449.64279094177198</v>
      </c>
      <c r="EO31" s="59">
        <f ca="1">AVERAGE(OFFSET($EN$3,0,0,'Données projet'!$E$15+1,1))-AVERAGE(OFFSET($H$3,0,0,'Données projet'!$E$15+1,1))</f>
        <v>211.18501783767226</v>
      </c>
      <c r="EP31" s="59">
        <f t="shared" si="46"/>
        <v>147.98306963466246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9.4</v>
      </c>
      <c r="FE31" s="12">
        <f>IF('Données projet'!$A$218&gt;35,FE30+FD31-FM30,IF(A31&lt;'Données projet'!$A$218,$FB$205^A31,IF(A31='Données projet'!$A$218,'Données projet'!$B$218,FE30+FD31-FM30)))</f>
        <v>114.20000000000002</v>
      </c>
      <c r="FF31" s="17">
        <f>FE31*VLOOKUP('Données projet'!$B$16,Paramètres!$A$1:$I$89,3,0)*VLOOKUP('Données projet'!$B$16,Paramètres!$A$1:$I$89,5,0)</f>
        <v>68.291600000000017</v>
      </c>
      <c r="FG31" s="13">
        <f t="shared" si="47"/>
        <v>19.248593476479869</v>
      </c>
      <c r="FH31" s="20">
        <f t="shared" si="22"/>
        <v>152.46583697153582</v>
      </c>
      <c r="FI31" s="59">
        <f t="shared" si="23"/>
        <v>445.79917030486911</v>
      </c>
      <c r="FJ31" s="59">
        <f ca="1">AVERAGE(OFFSET($FI$3,0,0,'Données projet'!$E$16+1,1))-AVERAGE(OFFSET($H$3,0,0,'Données projet'!$E$16+1,1))</f>
        <v>232.26937455765062</v>
      </c>
      <c r="FK31" s="59">
        <f t="shared" si="48"/>
        <v>115.80853281120301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12.2</v>
      </c>
      <c r="FZ31" s="12">
        <f>IF('Données projet'!$A$244&gt;35,FZ30+FY31-GH30,IF(A31&lt;'Données projet'!$A$244,$FW$205^A31,IF(A31='Données projet'!$A$244,'Données projet'!$B$244,FZ30+FY31-GH30)))</f>
        <v>149.6</v>
      </c>
      <c r="GA31" s="17">
        <f>FZ31*VLOOKUP('Données projet'!$B$17,Paramètres!$A$1:$I$89,3,0)*VLOOKUP('Données projet'!$B$17,Paramètres!$A$1:$I$89,5,0)</f>
        <v>119.02175999999999</v>
      </c>
      <c r="GB31" s="13">
        <f t="shared" si="49"/>
        <v>31.446732299897718</v>
      </c>
      <c r="GC31" s="20">
        <f t="shared" si="25"/>
        <v>262.06595742232184</v>
      </c>
      <c r="GD31" s="59">
        <f t="shared" si="26"/>
        <v>555.3992907556551</v>
      </c>
      <c r="GE31" s="59">
        <f ca="1">AVERAGE(OFFSET($GD$3,0,0,'Données projet'!$E$17+1,1))-AVERAGE(OFFSET($H$3,0,0,'Données projet'!$E$17+1,1))</f>
        <v>199.58763537752952</v>
      </c>
      <c r="GF31" s="59">
        <f t="shared" si="50"/>
        <v>242.62852778451929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3.9983725933150778</v>
      </c>
      <c r="GN31" s="21">
        <f>EXP(-LN(2)/2)*GN30+(1-EXP(-LN(2)/2))/(LN(2)/2)*GH31*GK31*VLOOKUP('Données projet'!$B$17,Paramètres!$A$1:$I$89,3,0)*0.475*44/12</f>
        <v>0.50435641515909413</v>
      </c>
      <c r="GO31" s="21">
        <f t="shared" si="27"/>
        <v>4.502729008474172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2.9235042735042733</v>
      </c>
      <c r="N32" s="13">
        <f>IF('Données projet'!$A$36&gt;35,N31+M32-V31,IF(A32&lt;'Données projet'!$A$36,$K$205^A32,IF(A32='Données projet'!$A$36,'Données projet'!$B$36,N31+M32-V31)))</f>
        <v>75.55400457975604</v>
      </c>
      <c r="O32" s="13">
        <f>N32*VLOOKUP('Données projet'!$B$9,Paramètres!$A$1:$I$89,3,0)*VLOOKUP('Données projet'!$B$9,Paramètres!$A$1:$I$89,5,0)</f>
        <v>68.36126334376327</v>
      </c>
      <c r="P32" s="13">
        <f t="shared" si="33"/>
        <v>19.265942137503561</v>
      </c>
      <c r="Q32" s="20">
        <f t="shared" si="2"/>
        <v>152.61738287987308</v>
      </c>
      <c r="R32" s="59">
        <f t="shared" si="0"/>
        <v>445.95071621320642</v>
      </c>
      <c r="S32" s="59">
        <f ca="1">AVERAGE(OFFSET($R$3,0,0,'Données projet'!$E$9+1,1))-AVERAGE(OFFSET($H$3,0,0,'Données projet'!$E$9+1,1))</f>
        <v>153.45079678708987</v>
      </c>
      <c r="T32" s="59">
        <f t="shared" si="34"/>
        <v>115.4217868409637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76.611760643872628</v>
      </c>
      <c r="AK32" s="13">
        <f t="shared" si="35"/>
        <v>21.306667002338269</v>
      </c>
      <c r="AL32" s="20">
        <f t="shared" si="4"/>
        <v>170.54126148381732</v>
      </c>
      <c r="AM32" s="59">
        <f t="shared" si="5"/>
        <v>463.87459481715064</v>
      </c>
      <c r="AN32" s="59">
        <f ca="1">AVERAGE(OFFSET($AM$3,0,0,'Données projet'!$E$10+1,1))-AVERAGE(OFFSET($H$3,0,0,'Données projet'!$E$10+1,1))</f>
        <v>190.21499310415584</v>
      </c>
      <c r="AO32" s="59">
        <f t="shared" si="36"/>
        <v>136.15730566500173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13.3</v>
      </c>
      <c r="BD32" s="12">
        <f>IF('Données projet'!$A$88&gt;35,BD31+BC32-BL31,IF(A32&lt;'Données projet'!$A$88,$BA$205^A32,IF(A32='Données projet'!$A$88,'Données projet'!$B$88,BD31+BC32-BL31)))</f>
        <v>186.70000000000005</v>
      </c>
      <c r="BE32" s="13">
        <f>BD32*VLOOKUP('Données projet'!$B$11,Paramètres!$A$1:$I$89,3,0)*VLOOKUP('Données projet'!$B$11,Paramètres!$A$1:$I$89,5,0)</f>
        <v>111.64660000000003</v>
      </c>
      <c r="BF32" s="13">
        <f t="shared" si="37"/>
        <v>29.718600259496139</v>
      </c>
      <c r="BG32" s="20">
        <f t="shared" si="7"/>
        <v>246.21105711862251</v>
      </c>
      <c r="BH32" s="59">
        <f t="shared" si="8"/>
        <v>539.54439045195579</v>
      </c>
      <c r="BI32" s="59">
        <f ca="1">AVERAGE(OFFSET($BH$3,0,0,'Données projet'!$E$11+1,1))-AVERAGE(OFFSET($H$3,0,0,'Données projet'!$E$11+1,1))</f>
        <v>270.30888762640245</v>
      </c>
      <c r="BJ32" s="59">
        <f t="shared" si="38"/>
        <v>202.23783851977691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2.7704983612988818</v>
      </c>
      <c r="BR32" s="21">
        <f>EXP(-LN(2)/2)*BR31+(1-EXP(-LN(2)/2))/(LN(2)/2)*BL32*BO32*VLOOKUP('Données projet'!$B$11,Paramètres!$A$1:$I$89,3,0)*0.475*44/12</f>
        <v>0.29922766437794662</v>
      </c>
      <c r="BS32" s="22">
        <f t="shared" si="9"/>
        <v>3.0697260256768284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13.3</v>
      </c>
      <c r="BY32" s="12">
        <f>IF('Données projet'!$A$114&gt;35,BY31+BX32-CG31,IF(A32&lt;'Données projet'!$A$114,$BV$205^A32,IF(A32='Données projet'!$A$114,'Données projet'!$B$114,BY31+BX32-CG31)))</f>
        <v>186.70000000000005</v>
      </c>
      <c r="BZ32" s="13">
        <f>BY32*VLOOKUP('Données projet'!$B$12,Paramètres!$A$1:$I$89,3,0)*VLOOKUP('Données projet'!$B$12,Paramètres!$A$1:$I$89,5,0)</f>
        <v>111.64660000000003</v>
      </c>
      <c r="CA32" s="13">
        <f t="shared" si="39"/>
        <v>29.718600259496139</v>
      </c>
      <c r="CB32" s="20">
        <f t="shared" si="10"/>
        <v>246.21105711862251</v>
      </c>
      <c r="CC32" s="59">
        <f t="shared" si="11"/>
        <v>539.54439045195579</v>
      </c>
      <c r="CD32" s="59">
        <f ca="1">AVERAGE(OFFSET($CC$3,0,0,'Données projet'!$E$12+1,1))-AVERAGE(OFFSET($H$3,0,0,'Données projet'!$E$12+1,1))</f>
        <v>270.30888762640245</v>
      </c>
      <c r="CE32" s="59">
        <f t="shared" si="40"/>
        <v>202.23783851977691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2.7704983612988818</v>
      </c>
      <c r="CM32" s="21">
        <f>EXP(-LN(2)/2)*CM31+(1-EXP(-LN(2)/2))/(LN(2)/2)*CG32*CJ32*VLOOKUP('Données projet'!$B$12,Paramètres!$A$1:$I$89,3,0)*0.475*44/12</f>
        <v>0.29922766437794662</v>
      </c>
      <c r="CN32" s="22">
        <f t="shared" si="12"/>
        <v>3.0697260256768284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7.2264102564102561</v>
      </c>
      <c r="CT32" s="12">
        <f>IF('Données projet'!$A$140&gt;35,CT31+CS32-DB31,IF(A32&lt;'Données projet'!$A$140,$CQ$205^A32,IF(A32='Données projet'!$A$140,'Données projet'!$B$140,CT31+CS32-DB31)))</f>
        <v>181.20732085910257</v>
      </c>
      <c r="CU32" s="17">
        <f>CT32*VLOOKUP('Données projet'!$B$13,Paramètres!$A$1:$I$89,3,0)*VLOOKUP('Données projet'!$B$13,Paramètres!$A$1:$I$89,5,0)</f>
        <v>84.805026162060003</v>
      </c>
      <c r="CV32" s="13">
        <f t="shared" si="41"/>
        <v>23.308020101846395</v>
      </c>
      <c r="CW32" s="20">
        <f t="shared" si="13"/>
        <v>188.29688890963698</v>
      </c>
      <c r="CX32" s="59">
        <f t="shared" si="14"/>
        <v>481.63022224297026</v>
      </c>
      <c r="CY32" s="59">
        <f ca="1">AVERAGE(OFFSET($CX$3,0,0,'Données projet'!$E$13+1,1))-AVERAGE(OFFSET($H$3,0,0,'Données projet'!$E$13+1,1))</f>
        <v>158.58786357608489</v>
      </c>
      <c r="CZ32" s="59">
        <f t="shared" si="42"/>
        <v>163.20074068819849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12.2</v>
      </c>
      <c r="DO32" s="12">
        <f>IF('Données projet'!$A$166&gt;35,DO31+DN32-DW31,IF(A32&lt;'Données projet'!$A$166,$DL$205^A32,IF(A32='Données projet'!$A$166,'Données projet'!$B$166,DO31+DN32-DW31)))</f>
        <v>161.79999999999998</v>
      </c>
      <c r="DP32" s="17">
        <f>DO32*VLOOKUP('Données projet'!$B$14,Paramètres!$A$1:$I$89,3,0)*VLOOKUP('Données projet'!$B$14,Paramètres!$A$1:$I$89,5,0)</f>
        <v>108.53543999999999</v>
      </c>
      <c r="DQ32" s="13">
        <f t="shared" si="43"/>
        <v>28.985654095898287</v>
      </c>
      <c r="DR32" s="20">
        <f t="shared" si="16"/>
        <v>239.51590555035622</v>
      </c>
      <c r="DS32" s="59">
        <f t="shared" si="17"/>
        <v>532.84923888368951</v>
      </c>
      <c r="DT32" s="59">
        <f ca="1">AVERAGE(OFFSET($DS$3,0,0,'Données projet'!$E$14+1,1))-AVERAGE(OFFSET($H$3,0,0,'Données projet'!$E$14+1,1))</f>
        <v>156.63226020379989</v>
      </c>
      <c r="DU32" s="59">
        <f t="shared" si="44"/>
        <v>196.0481096619543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3.2789918829976634</v>
      </c>
      <c r="EC32" s="21">
        <f>EXP(-LN(2)/2)*EC31+(1-EXP(-LN(2)/2))/(LN(2)/2)*DW32*DZ32*VLOOKUP('Données projet'!$B$14,Paramètres!$A$1:$I$89,3,0)*0.475*44/12</f>
        <v>0.30069127795370842</v>
      </c>
      <c r="ED32" s="22">
        <f t="shared" si="18"/>
        <v>3.579683160951372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2.9235042735042733</v>
      </c>
      <c r="EJ32" s="12">
        <f>IF('Données projet'!$A$192&gt;35,EJ31+EI32-ER31,IF(A32&lt;'Données projet'!$A$192,$EG$205^A32,IF(A32='Données projet'!$A$192,'Données projet'!$B$192,EJ31+EI32-ER31)))</f>
        <v>75.55400457975604</v>
      </c>
      <c r="EK32" s="17">
        <f>EJ32*VLOOKUP('Données projet'!$B$15,Paramètres!$A$1:$I$89,3,0)*VLOOKUP('Données projet'!$B$15,Paramètres!$A$1:$I$89,5,0)</f>
        <v>81.326330529649397</v>
      </c>
      <c r="EL32" s="13">
        <f t="shared" si="45"/>
        <v>22.461167838425933</v>
      </c>
      <c r="EM32" s="20">
        <f t="shared" si="19"/>
        <v>180.76322632439783</v>
      </c>
      <c r="EN32" s="59">
        <f t="shared" si="20"/>
        <v>474.09655965773118</v>
      </c>
      <c r="EO32" s="59">
        <f ca="1">AVERAGE(OFFSET($EN$3,0,0,'Données projet'!$E$15+1,1))-AVERAGE(OFFSET($H$3,0,0,'Données projet'!$E$15+1,1))</f>
        <v>211.18501783767226</v>
      </c>
      <c r="EP32" s="59">
        <f t="shared" si="46"/>
        <v>147.98306963466246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9.4</v>
      </c>
      <c r="FE32" s="12">
        <f>IF('Données projet'!$A$218&gt;35,FE31+FD32-FM31,IF(A32&lt;'Données projet'!$A$218,$FB$205^A32,IF(A32='Données projet'!$A$218,'Données projet'!$B$218,FE31+FD32-FM31)))</f>
        <v>123.60000000000002</v>
      </c>
      <c r="FF32" s="17">
        <f>FE32*VLOOKUP('Données projet'!$B$16,Paramètres!$A$1:$I$89,3,0)*VLOOKUP('Données projet'!$B$16,Paramètres!$A$1:$I$89,5,0)</f>
        <v>73.912800000000018</v>
      </c>
      <c r="FG32" s="13">
        <f t="shared" si="47"/>
        <v>20.642046488339506</v>
      </c>
      <c r="FH32" s="20">
        <f t="shared" si="22"/>
        <v>164.68302430052466</v>
      </c>
      <c r="FI32" s="59">
        <f t="shared" si="23"/>
        <v>458.01635763385798</v>
      </c>
      <c r="FJ32" s="59">
        <f ca="1">AVERAGE(OFFSET($FI$3,0,0,'Données projet'!$E$16+1,1))-AVERAGE(OFFSET($H$3,0,0,'Données projet'!$E$16+1,1))</f>
        <v>232.26937455765062</v>
      </c>
      <c r="FK32" s="59">
        <f t="shared" si="48"/>
        <v>115.80853281120301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12.2</v>
      </c>
      <c r="FZ32" s="12">
        <f>IF('Données projet'!$A$244&gt;35,FZ31+FY32-GH31,IF(A32&lt;'Données projet'!$A$244,$FW$205^A32,IF(A32='Données projet'!$A$244,'Données projet'!$B$244,FZ31+FY32-GH31)))</f>
        <v>161.79999999999998</v>
      </c>
      <c r="GA32" s="17">
        <f>FZ32*VLOOKUP('Données projet'!$B$17,Paramètres!$A$1:$I$89,3,0)*VLOOKUP('Données projet'!$B$17,Paramètres!$A$1:$I$89,5,0)</f>
        <v>128.72807999999998</v>
      </c>
      <c r="GB32" s="13">
        <f t="shared" si="49"/>
        <v>33.702287995285367</v>
      </c>
      <c r="GC32" s="20">
        <f t="shared" si="25"/>
        <v>282.89955759178861</v>
      </c>
      <c r="GD32" s="59">
        <f t="shared" si="26"/>
        <v>576.23289092512186</v>
      </c>
      <c r="GE32" s="59">
        <f ca="1">AVERAGE(OFFSET($GD$3,0,0,'Données projet'!$E$17+1,1))-AVERAGE(OFFSET($H$3,0,0,'Données projet'!$E$17+1,1))</f>
        <v>199.58763537752952</v>
      </c>
      <c r="GF32" s="59">
        <f t="shared" si="50"/>
        <v>242.62852778451929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3.8890368844856007</v>
      </c>
      <c r="GN32" s="21">
        <f>EXP(-LN(2)/2)*GN31+(1-EXP(-LN(2)/2))/(LN(2)/2)*GH32*GK32*VLOOKUP('Données projet'!$B$17,Paramètres!$A$1:$I$89,3,0)*0.475*44/12</f>
        <v>0.35663384129393311</v>
      </c>
      <c r="GO32" s="21">
        <f t="shared" si="27"/>
        <v>4.2456707257795339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87.705128205128204</v>
      </c>
      <c r="L33" s="12">
        <f>VLOOKUP(A33,'Données projet'!$A$35:$I$55,9,0)</f>
        <v>2.9235042735042733</v>
      </c>
      <c r="M33" s="12">
        <f t="array" ref="M33">INDEX(L:L,MIN(IF(ISNUMBER(L33:L229),ROW(L33:L229),"")))</f>
        <v>2.9235042735042733</v>
      </c>
      <c r="N33" s="13">
        <f>IF('Données projet'!$A$36&gt;35,N32+M33-V32,IF(A33&lt;'Données projet'!$A$36,$K$205^A33,IF(A33='Données projet'!$A$36,'Données projet'!$B$36,N32+M33-V32)))</f>
        <v>87.705128205128204</v>
      </c>
      <c r="O33" s="13">
        <f>N33*VLOOKUP('Données projet'!$B$9,Paramètres!$A$1:$I$89,3,0)*VLOOKUP('Données projet'!$B$9,Paramètres!$A$1:$I$89,5,0)</f>
        <v>79.355599999999995</v>
      </c>
      <c r="P33" s="13">
        <f t="shared" si="33"/>
        <v>21.979550892373382</v>
      </c>
      <c r="Q33" s="20">
        <f t="shared" si="2"/>
        <v>176.49205447088363</v>
      </c>
      <c r="R33" s="59">
        <f t="shared" si="0"/>
        <v>469.82538780421692</v>
      </c>
      <c r="S33" s="59">
        <f ca="1">AVERAGE(OFFSET($R$3,0,0,'Données projet'!$E$9+1,1))-AVERAGE(OFFSET($H$3,0,0,'Données projet'!$E$9+1,1))</f>
        <v>153.45079678708987</v>
      </c>
      <c r="T33" s="59">
        <f t="shared" si="34"/>
        <v>115.4217868409637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88.933000000000007</v>
      </c>
      <c r="AK33" s="13">
        <f t="shared" si="35"/>
        <v>24.307711939667918</v>
      </c>
      <c r="AL33" s="20">
        <f t="shared" si="4"/>
        <v>197.22757329492163</v>
      </c>
      <c r="AM33" s="59">
        <f t="shared" si="5"/>
        <v>490.56090662825494</v>
      </c>
      <c r="AN33" s="59">
        <f ca="1">AVERAGE(OFFSET($AM$3,0,0,'Données projet'!$E$10+1,1))-AVERAGE(OFFSET($H$3,0,0,'Données projet'!$E$10+1,1))</f>
        <v>190.21499310415584</v>
      </c>
      <c r="AO33" s="59">
        <f t="shared" si="36"/>
        <v>136.15730566500173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200</v>
      </c>
      <c r="BB33" s="12">
        <f>VLOOKUP(A33,'Données projet'!$A$87:$I$107,9,0)</f>
        <v>13.3</v>
      </c>
      <c r="BC33" s="12">
        <f t="array" ref="BC33">INDEX(BB:BB,MIN(IF(ISNUMBER(BB33:BB229),ROW(BB33:BB229),"")))</f>
        <v>13.3</v>
      </c>
      <c r="BD33" s="12">
        <f>IF('Données projet'!$A$88&gt;35,BD32+BC33-BL32,IF(A33&lt;'Données projet'!$A$88,$BA$205^A33,IF(A33='Données projet'!$A$88,'Données projet'!$B$88,BD32+BC33-BL32)))</f>
        <v>200.00000000000006</v>
      </c>
      <c r="BE33" s="13">
        <f>BD33*VLOOKUP('Données projet'!$B$11,Paramètres!$A$1:$I$89,3,0)*VLOOKUP('Données projet'!$B$11,Paramètres!$A$1:$I$89,5,0)</f>
        <v>119.60000000000004</v>
      </c>
      <c r="BF33" s="13">
        <f t="shared" si="37"/>
        <v>31.581687741452708</v>
      </c>
      <c r="BG33" s="20">
        <f t="shared" si="7"/>
        <v>263.30810614969687</v>
      </c>
      <c r="BH33" s="59">
        <f t="shared" si="8"/>
        <v>556.64143948303013</v>
      </c>
      <c r="BI33" s="59">
        <f ca="1">AVERAGE(OFFSET($BH$3,0,0,'Données projet'!$E$11+1,1))-AVERAGE(OFFSET($H$3,0,0,'Données projet'!$E$11+1,1))</f>
        <v>270.30888762640245</v>
      </c>
      <c r="BJ33" s="59">
        <f t="shared" si="38"/>
        <v>202.23783851977691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60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0.20250000000000001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2.1418709697526821</v>
      </c>
      <c r="BQ33" s="21">
        <f>EXP(-LN(2)/25)*BQ32+(1-EXP(-LN(2)/25))/(LN(2)/25)*Calculateur!BL33*Calculateur!BN33*VLOOKUP('Données projet'!$B$11,Paramètres!$A$1:$I$89,3,0)*0.475*44/12</f>
        <v>12.295208172240732</v>
      </c>
      <c r="BR33" s="21">
        <f>EXP(-LN(2)/2)*BR32+(1-EXP(-LN(2)/2))/(LN(2)/2)*BL33*BO33*VLOOKUP('Données projet'!$B$11,Paramètres!$A$1:$I$89,3,0)*0.475*44/12</f>
        <v>18.49260858646258</v>
      </c>
      <c r="BS33" s="22">
        <f t="shared" si="9"/>
        <v>32.929687728455995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200</v>
      </c>
      <c r="BW33" s="12">
        <f>VLOOKUP(A33,'Données projet'!$A$113:$I$133,9,0)</f>
        <v>13.3</v>
      </c>
      <c r="BX33" s="12">
        <f t="array" ref="BX33">INDEX(BW:BW,MIN(IF(ISNUMBER(BW33:BW229),ROW(BW33:BW229),"")))</f>
        <v>13.3</v>
      </c>
      <c r="BY33" s="12">
        <f>IF('Données projet'!$A$114&gt;35,BY32+BX33-CG32,IF(A33&lt;'Données projet'!$A$114,$BV$205^A33,IF(A33='Données projet'!$A$114,'Données projet'!$B$114,BY32+BX33-CG32)))</f>
        <v>200.00000000000006</v>
      </c>
      <c r="BZ33" s="13">
        <f>BY33*VLOOKUP('Données projet'!$B$12,Paramètres!$A$1:$I$89,3,0)*VLOOKUP('Données projet'!$B$12,Paramètres!$A$1:$I$89,5,0)</f>
        <v>119.60000000000004</v>
      </c>
      <c r="CA33" s="13">
        <f t="shared" si="39"/>
        <v>31.581687741452708</v>
      </c>
      <c r="CB33" s="20">
        <f t="shared" si="10"/>
        <v>263.30810614969687</v>
      </c>
      <c r="CC33" s="59">
        <f t="shared" si="11"/>
        <v>556.64143948303013</v>
      </c>
      <c r="CD33" s="59">
        <f ca="1">AVERAGE(OFFSET($CC$3,0,0,'Données projet'!$E$12+1,1))-AVERAGE(OFFSET($H$3,0,0,'Données projet'!$E$12+1,1))</f>
        <v>270.30888762640245</v>
      </c>
      <c r="CE33" s="59">
        <f t="shared" si="40"/>
        <v>202.23783851977691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60</v>
      </c>
      <c r="CH33" s="16">
        <f>IF(ISNA(VLOOKUP(A33,'Données projet'!$A$113:$I$133,5,0)),0%,VLOOKUP(A33,'Données projet'!$A$113:$I$133,5,0)*VLOOKUP('Données projet'!$B$12,Paramètres!$A$1:$I$89,7,0))</f>
        <v>4.5000000000000005E-2</v>
      </c>
      <c r="CI33" s="16">
        <f>IF(ISNA(VLOOKUP(A33,'Données projet'!$A$113:$I$133,6,0)),0%,VLOOKUP(A33,'Données projet'!$A$113:$I$133,6,0)*VLOOKUP('Données projet'!$B$12,Paramètres!$A$1:$I$89,7,0))</f>
        <v>0.20250000000000001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2.1418709697526821</v>
      </c>
      <c r="CL33" s="21">
        <f>EXP(-LN(2)/25)*CL32+(1-EXP(-LN(2)/25))/(LN(2)/25)*Calculateur!CG33*Calculateur!CI33*VLOOKUP('Données projet'!$B$12,Paramètres!$A$1:$I$89,3,0)*0.475*44/12</f>
        <v>12.295208172240732</v>
      </c>
      <c r="CM33" s="21">
        <f>EXP(-LN(2)/2)*CM32+(1-EXP(-LN(2)/2))/(LN(2)/2)*CG33*CJ33*VLOOKUP('Données projet'!$B$12,Paramètres!$A$1:$I$89,3,0)*0.475*44/12</f>
        <v>18.49260858646258</v>
      </c>
      <c r="CN33" s="22">
        <f t="shared" si="12"/>
        <v>32.929687728455995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216.79230769230767</v>
      </c>
      <c r="CR33" s="12">
        <f>VLOOKUP(A33,'Données projet'!$A$139:$I$159,9,0)</f>
        <v>7.2264102564102561</v>
      </c>
      <c r="CS33" s="12">
        <f t="array" ref="CS33">INDEX(CR:CR,MIN(IF(ISNUMBER(CR33:CR229),ROW(CR33:CR229),"")))</f>
        <v>7.2264102564102561</v>
      </c>
      <c r="CT33" s="12">
        <f>IF('Données projet'!$A$140&gt;35,CT32+CS33-DB32,IF(A33&lt;'Données projet'!$A$140,$CQ$205^A33,IF(A33='Données projet'!$A$140,'Données projet'!$B$140,CT32+CS33-DB32)))</f>
        <v>216.79230769230767</v>
      </c>
      <c r="CU33" s="17">
        <f>CT33*VLOOKUP('Données projet'!$B$13,Paramètres!$A$1:$I$89,3,0)*VLOOKUP('Données projet'!$B$13,Paramètres!$A$1:$I$89,5,0)</f>
        <v>101.45879999999998</v>
      </c>
      <c r="CV33" s="13">
        <f t="shared" si="41"/>
        <v>27.309243053465156</v>
      </c>
      <c r="CW33" s="20">
        <f t="shared" si="13"/>
        <v>224.27100831811845</v>
      </c>
      <c r="CX33" s="59">
        <f t="shared" si="14"/>
        <v>517.6043416514517</v>
      </c>
      <c r="CY33" s="59">
        <f ca="1">AVERAGE(OFFSET($CX$3,0,0,'Données projet'!$E$13+1,1))-AVERAGE(OFFSET($H$3,0,0,'Données projet'!$E$13+1,1))</f>
        <v>158.58786357608489</v>
      </c>
      <c r="CZ33" s="59">
        <f t="shared" si="42"/>
        <v>163.20074068819849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174</v>
      </c>
      <c r="DM33" s="12">
        <f>VLOOKUP(A33,'Données projet'!$A$165:$I$185,9,0)</f>
        <v>12.2</v>
      </c>
      <c r="DN33" s="12">
        <f t="array" ref="DN33">INDEX(DM:DM,MIN(IF(ISNUMBER(DM33:DM229),ROW(DM33:DM229),"")))</f>
        <v>12.2</v>
      </c>
      <c r="DO33" s="12">
        <f>IF('Données projet'!$A$166&gt;35,DO32+DN33-DW32,IF(A33&lt;'Données projet'!$A$166,$DL$205^A33,IF(A33='Données projet'!$A$166,'Données projet'!$B$166,DO32+DN33-DW32)))</f>
        <v>173.99999999999997</v>
      </c>
      <c r="DP33" s="17">
        <f>DO33*VLOOKUP('Données projet'!$B$14,Paramètres!$A$1:$I$89,3,0)*VLOOKUP('Données projet'!$B$14,Paramètres!$A$1:$I$89,5,0)</f>
        <v>116.71919999999999</v>
      </c>
      <c r="DQ33" s="13">
        <f t="shared" si="43"/>
        <v>30.908576435525887</v>
      </c>
      <c r="DR33" s="20">
        <f t="shared" si="16"/>
        <v>257.1183772918742</v>
      </c>
      <c r="DS33" s="59">
        <f t="shared" si="17"/>
        <v>550.45171062520751</v>
      </c>
      <c r="DT33" s="59">
        <f ca="1">AVERAGE(OFFSET($DS$3,0,0,'Données projet'!$E$14+1,1))-AVERAGE(OFFSET($H$3,0,0,'Données projet'!$E$14+1,1))</f>
        <v>156.63226020379989</v>
      </c>
      <c r="DU33" s="59">
        <f t="shared" si="44"/>
        <v>196.0481096619543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8.6699605526413386</v>
      </c>
      <c r="EC33" s="21">
        <f>EXP(-LN(2)/2)*EC32+(1-EXP(-LN(2)/2))/(LN(2)/2)*DW33*DZ33*VLOOKUP('Données projet'!$B$14,Paramètres!$A$1:$I$89,3,0)*0.475*44/12</f>
        <v>9.0734708021268382</v>
      </c>
      <c r="ED33" s="22">
        <f t="shared" si="18"/>
        <v>17.743431354768177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87.705128205128204</v>
      </c>
      <c r="EH33" s="12">
        <f>VLOOKUP(A33,'Données projet'!$A$191:$I$211,9,0)</f>
        <v>2.9235042735042733</v>
      </c>
      <c r="EI33" s="12">
        <f t="array" ref="EI33">INDEX(EH:EH,MIN(IF(ISNUMBER(EH33:EH229),ROW(EH33:EH229),"")))</f>
        <v>2.9235042735042733</v>
      </c>
      <c r="EJ33" s="12">
        <f>IF('Données projet'!$A$192&gt;35,EJ32+EI33-ER32,IF(A33&lt;'Données projet'!$A$192,$EG$205^A33,IF(A33='Données projet'!$A$192,'Données projet'!$B$192,EJ32+EI33-ER32)))</f>
        <v>87.705128205128204</v>
      </c>
      <c r="EK33" s="17">
        <f>EJ33*VLOOKUP('Données projet'!$B$15,Paramètres!$A$1:$I$89,3,0)*VLOOKUP('Données projet'!$B$15,Paramètres!$A$1:$I$89,5,0)</f>
        <v>94.405799999999999</v>
      </c>
      <c r="EL33" s="13">
        <f t="shared" si="45"/>
        <v>25.624824266745868</v>
      </c>
      <c r="EM33" s="20">
        <f t="shared" si="19"/>
        <v>209.05333726458238</v>
      </c>
      <c r="EN33" s="59">
        <f t="shared" si="20"/>
        <v>502.38667059791567</v>
      </c>
      <c r="EO33" s="59">
        <f ca="1">AVERAGE(OFFSET($EN$3,0,0,'Données projet'!$E$15+1,1))-AVERAGE(OFFSET($H$3,0,0,'Données projet'!$E$15+1,1))</f>
        <v>211.18501783767226</v>
      </c>
      <c r="EP33" s="59">
        <f t="shared" si="46"/>
        <v>147.98306963466246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133</v>
      </c>
      <c r="FC33" s="12">
        <f>VLOOKUP(A33,'Données projet'!$A$217:$I$237,9,0)</f>
        <v>9.4</v>
      </c>
      <c r="FD33" s="12">
        <f t="array" ref="FD33">INDEX(FC:FC,MIN(IF(ISNUMBER(FC33:FC229),ROW(FC33:FC229),"")))</f>
        <v>9.4</v>
      </c>
      <c r="FE33" s="12">
        <f>IF('Données projet'!$A$218&gt;35,FE32+FD33-FM32,IF(A33&lt;'Données projet'!$A$218,$FB$205^A33,IF(A33='Données projet'!$A$218,'Données projet'!$B$218,FE32+FD33-FM32)))</f>
        <v>133.00000000000003</v>
      </c>
      <c r="FF33" s="17">
        <f>FE33*VLOOKUP('Données projet'!$B$16,Paramètres!$A$1:$I$89,3,0)*VLOOKUP('Données projet'!$B$16,Paramètres!$A$1:$I$89,5,0)</f>
        <v>79.53400000000002</v>
      </c>
      <c r="FG33" s="13">
        <f t="shared" si="47"/>
        <v>22.023205994903069</v>
      </c>
      <c r="FH33" s="20">
        <f t="shared" si="22"/>
        <v>176.87880044112288</v>
      </c>
      <c r="FI33" s="59">
        <f t="shared" si="23"/>
        <v>470.21213377445622</v>
      </c>
      <c r="FJ33" s="59">
        <f ca="1">AVERAGE(OFFSET($FI$3,0,0,'Données projet'!$E$16+1,1))-AVERAGE(OFFSET($H$3,0,0,'Données projet'!$E$16+1,1))</f>
        <v>232.26937455765062</v>
      </c>
      <c r="FK33" s="59">
        <f t="shared" si="48"/>
        <v>115.80853281120301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31</v>
      </c>
      <c r="FN33" s="16">
        <f>IF(ISNA(VLOOKUP(A33,'Données projet'!$A$217:$I$237,5,0)),0%,VLOOKUP(A33,'Données projet'!$A$217:$I$237,5,0)*VLOOKUP('Données projet'!$B$16,Paramètres!$A$1:$I$89,7,0))</f>
        <v>9.0000000000000011E-2</v>
      </c>
      <c r="FO33" s="16">
        <f>IF(ISNA(VLOOKUP(A33,'Données projet'!$A$217:$I$237,6,0)),0%,VLOOKUP(A33,'Données projet'!$A$217:$I$237,6,0)*VLOOKUP('Données projet'!$B$16,Paramètres!$A$1:$I$89,7,0))</f>
        <v>0.18000000000000002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2.213266668744438</v>
      </c>
      <c r="FR33" s="21">
        <f>EXP(-LN(2)/25)*FR32+(1-EXP(-LN(2)/25))/(LN(2)/25)*Calculateur!FM33*Calculateur!FO33*VLOOKUP('Données projet'!$B$16,Paramètres!$A$1:$I$89,3,0)*0.475*44/12</f>
        <v>4.4091043890977497</v>
      </c>
      <c r="FS33" s="21">
        <f>EXP(-LN(2)/2)*FS32+(1-EXP(-LN(2)/2))/(LN(2)/2)*FM33*FP33*VLOOKUP('Données projet'!$B$16,Paramètres!$A$1:$I$89,3,0)*0.475*44/12</f>
        <v>8.3957289326182512</v>
      </c>
      <c r="FT33" s="22">
        <f t="shared" si="24"/>
        <v>15.018099990460438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174</v>
      </c>
      <c r="FX33" s="12">
        <f>VLOOKUP(A33,'Données projet'!$A$243:$I$263,9,0)</f>
        <v>12.2</v>
      </c>
      <c r="FY33" s="12">
        <f t="array" ref="FY33">INDEX(FX:FX,MIN(IF(ISNUMBER(FX33:FX229),ROW(FX33:FX229),"")))</f>
        <v>12.2</v>
      </c>
      <c r="FZ33" s="12">
        <f>IF('Données projet'!$A$244&gt;35,FZ32+FY33-GH32,IF(A33&lt;'Données projet'!$A$244,$FW$205^A33,IF(A33='Données projet'!$A$244,'Données projet'!$B$244,FZ32+FY33-GH32)))</f>
        <v>173.99999999999997</v>
      </c>
      <c r="GA33" s="17">
        <f>FZ33*VLOOKUP('Données projet'!$B$17,Paramètres!$A$1:$I$89,3,0)*VLOOKUP('Données projet'!$B$17,Paramètres!$A$1:$I$89,5,0)</f>
        <v>138.43439999999998</v>
      </c>
      <c r="GB33" s="13">
        <f t="shared" si="49"/>
        <v>35.938114113553581</v>
      </c>
      <c r="GC33" s="20">
        <f t="shared" si="25"/>
        <v>303.69879541443913</v>
      </c>
      <c r="GD33" s="59">
        <f t="shared" si="26"/>
        <v>597.0321287477725</v>
      </c>
      <c r="GE33" s="59">
        <f ca="1">AVERAGE(OFFSET($GD$3,0,0,'Données projet'!$E$17+1,1))-AVERAGE(OFFSET($H$3,0,0,'Données projet'!$E$17+1,1))</f>
        <v>199.58763537752952</v>
      </c>
      <c r="GF33" s="59">
        <f t="shared" si="50"/>
        <v>242.62852778451929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56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0.13250000000000001</v>
      </c>
      <c r="GK33" s="16">
        <f>IF(ISNA(VLOOKUP(A33,'Données projet'!$A$243:$I$263,7,0)),0%,VLOOKUP(A33,'Données projet'!$A$243:$I$263,7,0))</f>
        <v>0.25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10.282976469411818</v>
      </c>
      <c r="GN33" s="21">
        <f>EXP(-LN(2)/2)*GN32+(1-EXP(-LN(2)/2))/(LN(2)/2)*GH33*GK33*VLOOKUP('Données projet'!$B$17,Paramètres!$A$1:$I$89,3,0)*0.475*44/12</f>
        <v>10.761558393220204</v>
      </c>
      <c r="GO33" s="21">
        <f t="shared" si="27"/>
        <v>21.04453486263202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5.3369963369963358</v>
      </c>
      <c r="N34" s="13">
        <f>IF('Données projet'!$A$36&gt;35,N33+M34-V33,IF(A34&lt;'Données projet'!$A$36,$K$205^A34,IF(A34='Données projet'!$A$36,'Données projet'!$B$36,N33+M34-V33)))</f>
        <v>93.04212454212454</v>
      </c>
      <c r="O34" s="13">
        <f>N34*VLOOKUP('Données projet'!$B$9,Paramètres!$A$1:$I$89,3,0)*VLOOKUP('Données projet'!$B$9,Paramètres!$A$1:$I$89,5,0)</f>
        <v>84.184514285714286</v>
      </c>
      <c r="P34" s="13">
        <f t="shared" si="33"/>
        <v>23.157263963315572</v>
      </c>
      <c r="Q34" s="20">
        <f t="shared" si="2"/>
        <v>186.95359711706033</v>
      </c>
      <c r="R34" s="59">
        <f t="shared" si="0"/>
        <v>480.28693045039364</v>
      </c>
      <c r="S34" s="59">
        <f ca="1">AVERAGE(OFFSET($R$3,0,0,'Données projet'!$E$9+1,1))-AVERAGE(OFFSET($H$3,0,0,'Données projet'!$E$9+1,1))</f>
        <v>153.45079678708987</v>
      </c>
      <c r="T34" s="59">
        <f t="shared" si="34"/>
        <v>115.4217868409637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94.344714285714289</v>
      </c>
      <c r="AK34" s="13">
        <f t="shared" si="35"/>
        <v>25.610173041635999</v>
      </c>
      <c r="AL34" s="20">
        <f t="shared" si="4"/>
        <v>208.92142876180176</v>
      </c>
      <c r="AM34" s="59">
        <f t="shared" si="5"/>
        <v>502.25476209513511</v>
      </c>
      <c r="AN34" s="59">
        <f ca="1">AVERAGE(OFFSET($AM$3,0,0,'Données projet'!$E$10+1,1))-AVERAGE(OFFSET($H$3,0,0,'Données projet'!$E$10+1,1))</f>
        <v>190.21499310415584</v>
      </c>
      <c r="AO34" s="59">
        <f t="shared" si="36"/>
        <v>136.15730566500173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15.7</v>
      </c>
      <c r="BD34" s="12">
        <f>IF('Données projet'!$A$88&gt;35,BD33+BC34-BL33,IF(A34&lt;'Données projet'!$A$88,$BA$205^A34,IF(A34='Données projet'!$A$88,'Données projet'!$B$88,BD33+BC34-BL33)))</f>
        <v>155.70000000000005</v>
      </c>
      <c r="BE34" s="13">
        <f>BD34*VLOOKUP('Données projet'!$B$11,Paramètres!$A$1:$I$89,3,0)*VLOOKUP('Données projet'!$B$11,Paramètres!$A$1:$I$89,5,0)</f>
        <v>93.108600000000038</v>
      </c>
      <c r="BF34" s="13">
        <f t="shared" si="37"/>
        <v>25.313456376926009</v>
      </c>
      <c r="BG34" s="20">
        <f t="shared" si="7"/>
        <v>206.25174818981284</v>
      </c>
      <c r="BH34" s="59">
        <f t="shared" si="8"/>
        <v>499.58508152314619</v>
      </c>
      <c r="BI34" s="59">
        <f ca="1">AVERAGE(OFFSET($BH$3,0,0,'Données projet'!$E$11+1,1))-AVERAGE(OFFSET($H$3,0,0,'Données projet'!$E$11+1,1))</f>
        <v>270.30888762640245</v>
      </c>
      <c r="BJ34" s="59">
        <f t="shared" si="38"/>
        <v>202.23783851977691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2.099870186448126</v>
      </c>
      <c r="BQ34" s="21">
        <f>EXP(-LN(2)/25)*BQ33+(1-EXP(-LN(2)/25))/(LN(2)/25)*Calculateur!BL34*Calculateur!BN34*VLOOKUP('Données projet'!$B$11,Paramètres!$A$1:$I$89,3,0)*0.475*44/12</f>
        <v>11.958995058193914</v>
      </c>
      <c r="BR34" s="21">
        <f>EXP(-LN(2)/2)*BR33+(1-EXP(-LN(2)/2))/(LN(2)/2)*BL34*BO34*VLOOKUP('Données projet'!$B$11,Paramètres!$A$1:$I$89,3,0)*0.475*44/12</f>
        <v>13.076248933316267</v>
      </c>
      <c r="BS34" s="22">
        <f t="shared" si="9"/>
        <v>27.135114177958307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15.7</v>
      </c>
      <c r="BY34" s="12">
        <f>IF('Données projet'!$A$114&gt;35,BY33+BX34-CG33,IF(A34&lt;'Données projet'!$A$114,$BV$205^A34,IF(A34='Données projet'!$A$114,'Données projet'!$B$114,BY33+BX34-CG33)))</f>
        <v>155.70000000000005</v>
      </c>
      <c r="BZ34" s="13">
        <f>BY34*VLOOKUP('Données projet'!$B$12,Paramètres!$A$1:$I$89,3,0)*VLOOKUP('Données projet'!$B$12,Paramètres!$A$1:$I$89,5,0)</f>
        <v>93.108600000000038</v>
      </c>
      <c r="CA34" s="13">
        <f t="shared" si="39"/>
        <v>25.313456376926009</v>
      </c>
      <c r="CB34" s="20">
        <f t="shared" si="10"/>
        <v>206.25174818981284</v>
      </c>
      <c r="CC34" s="59">
        <f t="shared" si="11"/>
        <v>499.58508152314619</v>
      </c>
      <c r="CD34" s="59">
        <f ca="1">AVERAGE(OFFSET($CC$3,0,0,'Données projet'!$E$12+1,1))-AVERAGE(OFFSET($H$3,0,0,'Données projet'!$E$12+1,1))</f>
        <v>270.30888762640245</v>
      </c>
      <c r="CE34" s="59">
        <f t="shared" si="40"/>
        <v>202.23783851977691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2.099870186448126</v>
      </c>
      <c r="CL34" s="21">
        <f>EXP(-LN(2)/25)*CL33+(1-EXP(-LN(2)/25))/(LN(2)/25)*Calculateur!CG34*Calculateur!CI34*VLOOKUP('Données projet'!$B$12,Paramètres!$A$1:$I$89,3,0)*0.475*44/12</f>
        <v>11.958995058193914</v>
      </c>
      <c r="CM34" s="21">
        <f>EXP(-LN(2)/2)*CM33+(1-EXP(-LN(2)/2))/(LN(2)/2)*CG34*CJ34*VLOOKUP('Données projet'!$B$12,Paramètres!$A$1:$I$89,3,0)*0.475*44/12</f>
        <v>13.076248933316267</v>
      </c>
      <c r="CN34" s="22">
        <f t="shared" si="12"/>
        <v>27.135114177958307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16.131410256410259</v>
      </c>
      <c r="CT34" s="12">
        <f>IF('Données projet'!$A$140&gt;35,CT33+CS34-DB33,IF(A34&lt;'Données projet'!$A$140,$CQ$205^A34,IF(A34='Données projet'!$A$140,'Données projet'!$B$140,CT33+CS34-DB33)))</f>
        <v>232.92371794871792</v>
      </c>
      <c r="CU34" s="17">
        <f>CT34*VLOOKUP('Données projet'!$B$13,Paramètres!$A$1:$I$89,3,0)*VLOOKUP('Données projet'!$B$13,Paramètres!$A$1:$I$89,5,0)</f>
        <v>109.00829999999998</v>
      </c>
      <c r="CV34" s="13">
        <f t="shared" si="41"/>
        <v>29.097209307093255</v>
      </c>
      <c r="CW34" s="20">
        <f t="shared" si="13"/>
        <v>240.53376204318738</v>
      </c>
      <c r="CX34" s="59">
        <f t="shared" si="14"/>
        <v>533.86709537652064</v>
      </c>
      <c r="CY34" s="59">
        <f ca="1">AVERAGE(OFFSET($CX$3,0,0,'Données projet'!$E$13+1,1))-AVERAGE(OFFSET($H$3,0,0,'Données projet'!$E$13+1,1))</f>
        <v>158.58786357608489</v>
      </c>
      <c r="CZ34" s="59">
        <f t="shared" si="42"/>
        <v>163.20074068819849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10.199999999999999</v>
      </c>
      <c r="DO34" s="12">
        <f>IF('Données projet'!$A$166&gt;35,DO33+DN34-DW33,IF(A34&lt;'Données projet'!$A$166,$DL$205^A34,IF(A34='Données projet'!$A$166,'Données projet'!$B$166,DO33+DN34-DW33)))</f>
        <v>128.19999999999996</v>
      </c>
      <c r="DP34" s="17">
        <f>DO34*VLOOKUP('Données projet'!$B$14,Paramètres!$A$1:$I$89,3,0)*VLOOKUP('Données projet'!$B$14,Paramètres!$A$1:$I$89,5,0)</f>
        <v>85.996559999999974</v>
      </c>
      <c r="DQ34" s="13">
        <f t="shared" si="43"/>
        <v>23.597149628000455</v>
      </c>
      <c r="DR34" s="20">
        <f t="shared" si="16"/>
        <v>190.87571093543406</v>
      </c>
      <c r="DS34" s="59">
        <f t="shared" si="17"/>
        <v>484.20904426876734</v>
      </c>
      <c r="DT34" s="59">
        <f ca="1">AVERAGE(OFFSET($DS$3,0,0,'Données projet'!$E$14+1,1))-AVERAGE(OFFSET($H$3,0,0,'Données projet'!$E$14+1,1))</f>
        <v>156.63226020379989</v>
      </c>
      <c r="DU34" s="59">
        <f t="shared" si="44"/>
        <v>196.0481096619543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8.4328800253959511</v>
      </c>
      <c r="EC34" s="21">
        <f>EXP(-LN(2)/2)*EC33+(1-EXP(-LN(2)/2))/(LN(2)/2)*DW34*DZ34*VLOOKUP('Données projet'!$B$14,Paramètres!$A$1:$I$89,3,0)*0.475*44/12</f>
        <v>6.4159127330820303</v>
      </c>
      <c r="ED34" s="22">
        <f t="shared" si="18"/>
        <v>14.84879275847798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5.3369963369963358</v>
      </c>
      <c r="EJ34" s="12">
        <f>IF('Données projet'!$A$192&gt;35,EJ33+EI34-ER33,IF(A34&lt;'Données projet'!$A$192,$EG$205^A34,IF(A34='Données projet'!$A$192,'Données projet'!$B$192,EJ33+EI34-ER33)))</f>
        <v>93.04212454212454</v>
      </c>
      <c r="EK34" s="17">
        <f>EJ34*VLOOKUP('Données projet'!$B$15,Paramètres!$A$1:$I$89,3,0)*VLOOKUP('Données projet'!$B$15,Paramètres!$A$1:$I$89,5,0)</f>
        <v>100.15054285714285</v>
      </c>
      <c r="EL34" s="13">
        <f t="shared" si="45"/>
        <v>26.997859167564272</v>
      </c>
      <c r="EM34" s="20">
        <f t="shared" si="19"/>
        <v>221.45013352636488</v>
      </c>
      <c r="EN34" s="59">
        <f t="shared" si="20"/>
        <v>514.78346685969814</v>
      </c>
      <c r="EO34" s="59">
        <f ca="1">AVERAGE(OFFSET($EN$3,0,0,'Données projet'!$E$15+1,1))-AVERAGE(OFFSET($H$3,0,0,'Données projet'!$E$15+1,1))</f>
        <v>211.18501783767226</v>
      </c>
      <c r="EP34" s="59">
        <f t="shared" si="46"/>
        <v>147.98306963466246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10.7</v>
      </c>
      <c r="FE34" s="12">
        <f>IF('Données projet'!$A$218&gt;35,FE33+FD34-FM33,IF(A34&lt;'Données projet'!$A$218,$FB$205^A34,IF(A34='Données projet'!$A$218,'Données projet'!$B$218,FE33+FD34-FM33)))</f>
        <v>112.70000000000002</v>
      </c>
      <c r="FF34" s="17">
        <f>FE34*VLOOKUP('Données projet'!$B$16,Paramètres!$A$1:$I$89,3,0)*VLOOKUP('Données projet'!$B$16,Paramètres!$A$1:$I$89,5,0)</f>
        <v>67.394600000000025</v>
      </c>
      <c r="FG34" s="13">
        <f t="shared" si="47"/>
        <v>19.025023560011842</v>
      </c>
      <c r="FH34" s="20">
        <f t="shared" si="22"/>
        <v>150.514177700354</v>
      </c>
      <c r="FI34" s="59">
        <f t="shared" si="23"/>
        <v>443.84751103368728</v>
      </c>
      <c r="FJ34" s="59">
        <f ca="1">AVERAGE(OFFSET($FI$3,0,0,'Données projet'!$E$16+1,1))-AVERAGE(OFFSET($H$3,0,0,'Données projet'!$E$16+1,1))</f>
        <v>232.26937455765062</v>
      </c>
      <c r="FK34" s="59">
        <f t="shared" si="48"/>
        <v>115.80853281120301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2.1698658593297302</v>
      </c>
      <c r="FR34" s="21">
        <f>EXP(-LN(2)/25)*FR33+(1-EXP(-LN(2)/25))/(LN(2)/25)*Calculateur!FM34*Calculateur!FO34*VLOOKUP('Données projet'!$B$16,Paramètres!$A$1:$I$89,3,0)*0.475*44/12</f>
        <v>4.2885371977131488</v>
      </c>
      <c r="FS34" s="21">
        <f>EXP(-LN(2)/2)*FS33+(1-EXP(-LN(2)/2))/(LN(2)/2)*FM34*FP34*VLOOKUP('Données projet'!$B$16,Paramètres!$A$1:$I$89,3,0)*0.475*44/12</f>
        <v>5.9366768612584604</v>
      </c>
      <c r="FT34" s="22">
        <f t="shared" si="24"/>
        <v>12.39507991830134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10.199999999999999</v>
      </c>
      <c r="FZ34" s="12">
        <f>IF('Données projet'!$A$244&gt;35,FZ33+FY34-GH33,IF(A34&lt;'Données projet'!$A$244,$FW$205^A34,IF(A34='Données projet'!$A$244,'Données projet'!$B$244,FZ33+FY34-GH33)))</f>
        <v>128.19999999999996</v>
      </c>
      <c r="GA34" s="17">
        <f>FZ34*VLOOKUP('Données projet'!$B$17,Paramètres!$A$1:$I$89,3,0)*VLOOKUP('Données projet'!$B$17,Paramètres!$A$1:$I$89,5,0)</f>
        <v>101.99591999999997</v>
      </c>
      <c r="GB34" s="13">
        <f t="shared" si="49"/>
        <v>27.436949671708501</v>
      </c>
      <c r="GC34" s="20">
        <f t="shared" si="25"/>
        <v>225.42891467822554</v>
      </c>
      <c r="GD34" s="59">
        <f t="shared" si="26"/>
        <v>518.76224801155888</v>
      </c>
      <c r="GE34" s="59">
        <f ca="1">AVERAGE(OFFSET($GD$3,0,0,'Données projet'!$E$17+1,1))-AVERAGE(OFFSET($H$3,0,0,'Données projet'!$E$17+1,1))</f>
        <v>199.58763537752952</v>
      </c>
      <c r="GF34" s="59">
        <f t="shared" si="50"/>
        <v>242.62852778451929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10.001787937097522</v>
      </c>
      <c r="GN34" s="21">
        <f>EXP(-LN(2)/2)*GN33+(1-EXP(-LN(2)/2))/(LN(2)/2)*GH34*GK34*VLOOKUP('Données projet'!$B$17,Paramètres!$A$1:$I$89,3,0)*0.475*44/12</f>
        <v>7.6095709159810134</v>
      </c>
      <c r="GO34" s="21">
        <f t="shared" si="27"/>
        <v>17.611358853078535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5.3369963369963358</v>
      </c>
      <c r="N35" s="13">
        <f>IF('Données projet'!$A$36&gt;35,N34+M35-V34,IF(A35&lt;'Données projet'!$A$36,$K$205^A35,IF(A35='Données projet'!$A$36,'Données projet'!$B$36,N34+M35-V34)))</f>
        <v>98.379120879120876</v>
      </c>
      <c r="O35" s="13">
        <f>N35*VLOOKUP('Données projet'!$B$9,Paramètres!$A$1:$I$89,3,0)*VLOOKUP('Données projet'!$B$9,Paramètres!$A$1:$I$89,5,0)</f>
        <v>89.013428571428562</v>
      </c>
      <c r="P35" s="13">
        <f t="shared" si="33"/>
        <v>24.327135299174682</v>
      </c>
      <c r="Q35" s="20">
        <f t="shared" ref="Q35:Q66" si="53">(O35+P35)*0.475*44/12</f>
        <v>197.40148207463395</v>
      </c>
      <c r="R35" s="59">
        <f t="shared" si="0"/>
        <v>490.73481540796729</v>
      </c>
      <c r="S35" s="59">
        <f ca="1">AVERAGE(OFFSET($R$3,0,0,'Données projet'!$E$9+1,1))-AVERAGE(OFFSET($H$3,0,0,'Données projet'!$E$9+1,1))</f>
        <v>153.45079678708987</v>
      </c>
      <c r="T35" s="59">
        <f t="shared" si="34"/>
        <v>115.4217868409637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99.756428571428572</v>
      </c>
      <c r="AK35" s="13">
        <f t="shared" si="35"/>
        <v>26.903961780895703</v>
      </c>
      <c r="AL35" s="20">
        <f t="shared" si="4"/>
        <v>220.60017986363141</v>
      </c>
      <c r="AM35" s="59">
        <f t="shared" si="5"/>
        <v>513.93351319696467</v>
      </c>
      <c r="AN35" s="59">
        <f ca="1">AVERAGE(OFFSET($AM$3,0,0,'Données projet'!$E$10+1,1))-AVERAGE(OFFSET($H$3,0,0,'Données projet'!$E$10+1,1))</f>
        <v>190.21499310415584</v>
      </c>
      <c r="AO35" s="59">
        <f t="shared" si="36"/>
        <v>136.15730566500173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15.7</v>
      </c>
      <c r="BD35" s="12">
        <f>IF('Données projet'!$A$88&gt;35,BD34+BC35-BL34,IF(A35&lt;'Données projet'!$A$88,$BA$205^A35,IF(A35='Données projet'!$A$88,'Données projet'!$B$88,BD34+BC35-BL34)))</f>
        <v>171.40000000000003</v>
      </c>
      <c r="BE35" s="13">
        <f>BD35*VLOOKUP('Données projet'!$B$11,Paramètres!$A$1:$I$89,3,0)*VLOOKUP('Données projet'!$B$11,Paramètres!$A$1:$I$89,5,0)</f>
        <v>102.49720000000003</v>
      </c>
      <c r="BF35" s="13">
        <f t="shared" si="37"/>
        <v>27.556064299174871</v>
      </c>
      <c r="BG35" s="20">
        <f t="shared" si="7"/>
        <v>226.50943532106294</v>
      </c>
      <c r="BH35" s="59">
        <f t="shared" si="8"/>
        <v>519.8427686543962</v>
      </c>
      <c r="BI35" s="59">
        <f ca="1">AVERAGE(OFFSET($BH$3,0,0,'Données projet'!$E$11+1,1))-AVERAGE(OFFSET($H$3,0,0,'Données projet'!$E$11+1,1))</f>
        <v>270.30888762640245</v>
      </c>
      <c r="BJ35" s="59">
        <f t="shared" si="38"/>
        <v>202.23783851977691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2.058693012886224</v>
      </c>
      <c r="BQ35" s="21">
        <f>EXP(-LN(2)/25)*BQ34+(1-EXP(-LN(2)/25))/(LN(2)/25)*Calculateur!BL35*Calculateur!BN35*VLOOKUP('Données projet'!$B$11,Paramètres!$A$1:$I$89,3,0)*0.475*44/12</f>
        <v>11.631975709431384</v>
      </c>
      <c r="BR35" s="21">
        <f>EXP(-LN(2)/2)*BR34+(1-EXP(-LN(2)/2))/(LN(2)/2)*BL35*BO35*VLOOKUP('Données projet'!$B$11,Paramètres!$A$1:$I$89,3,0)*0.475*44/12</f>
        <v>9.246304293231292</v>
      </c>
      <c r="BS35" s="22">
        <f t="shared" si="9"/>
        <v>22.936973015548901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15.7</v>
      </c>
      <c r="BY35" s="12">
        <f>IF('Données projet'!$A$114&gt;35,BY34+BX35-CG34,IF(A35&lt;'Données projet'!$A$114,$BV$205^A35,IF(A35='Données projet'!$A$114,'Données projet'!$B$114,BY34+BX35-CG34)))</f>
        <v>171.40000000000003</v>
      </c>
      <c r="BZ35" s="13">
        <f>BY35*VLOOKUP('Données projet'!$B$12,Paramètres!$A$1:$I$89,3,0)*VLOOKUP('Données projet'!$B$12,Paramètres!$A$1:$I$89,5,0)</f>
        <v>102.49720000000003</v>
      </c>
      <c r="CA35" s="13">
        <f t="shared" si="39"/>
        <v>27.556064299174871</v>
      </c>
      <c r="CB35" s="20">
        <f t="shared" si="10"/>
        <v>226.50943532106294</v>
      </c>
      <c r="CC35" s="59">
        <f t="shared" si="11"/>
        <v>519.8427686543962</v>
      </c>
      <c r="CD35" s="59">
        <f ca="1">AVERAGE(OFFSET($CC$3,0,0,'Données projet'!$E$12+1,1))-AVERAGE(OFFSET($H$3,0,0,'Données projet'!$E$12+1,1))</f>
        <v>270.30888762640245</v>
      </c>
      <c r="CE35" s="59">
        <f t="shared" si="40"/>
        <v>202.23783851977691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2.058693012886224</v>
      </c>
      <c r="CL35" s="21">
        <f>EXP(-LN(2)/25)*CL34+(1-EXP(-LN(2)/25))/(LN(2)/25)*Calculateur!CG35*Calculateur!CI35*VLOOKUP('Données projet'!$B$12,Paramètres!$A$1:$I$89,3,0)*0.475*44/12</f>
        <v>11.631975709431384</v>
      </c>
      <c r="CM35" s="21">
        <f>EXP(-LN(2)/2)*CM34+(1-EXP(-LN(2)/2))/(LN(2)/2)*CG35*CJ35*VLOOKUP('Données projet'!$B$12,Paramètres!$A$1:$I$89,3,0)*0.475*44/12</f>
        <v>9.246304293231292</v>
      </c>
      <c r="CN35" s="22">
        <f t="shared" si="12"/>
        <v>22.936973015548901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16.131410256410259</v>
      </c>
      <c r="CT35" s="12">
        <f>IF('Données projet'!$A$140&gt;35,CT34+CS35-DB34,IF(A35&lt;'Données projet'!$A$140,$CQ$205^A35,IF(A35='Données projet'!$A$140,'Données projet'!$B$140,CT34+CS35-DB34)))</f>
        <v>249.05512820512817</v>
      </c>
      <c r="CU35" s="17">
        <f>CT35*VLOOKUP('Données projet'!$B$13,Paramètres!$A$1:$I$89,3,0)*VLOOKUP('Données projet'!$B$13,Paramètres!$A$1:$I$89,5,0)</f>
        <v>116.55779999999997</v>
      </c>
      <c r="CV35" s="13">
        <f t="shared" si="41"/>
        <v>30.870807833785406</v>
      </c>
      <c r="CW35" s="20">
        <f t="shared" si="13"/>
        <v>256.7714919771762</v>
      </c>
      <c r="CX35" s="59">
        <f t="shared" si="14"/>
        <v>550.10482531050957</v>
      </c>
      <c r="CY35" s="59">
        <f ca="1">AVERAGE(OFFSET($CX$3,0,0,'Données projet'!$E$13+1,1))-AVERAGE(OFFSET($H$3,0,0,'Données projet'!$E$13+1,1))</f>
        <v>158.58786357608489</v>
      </c>
      <c r="CZ35" s="59">
        <f t="shared" si="42"/>
        <v>163.20074068819849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10.199999999999999</v>
      </c>
      <c r="DO35" s="12">
        <f>IF('Données projet'!$A$166&gt;35,DO34+DN35-DW34,IF(A35&lt;'Données projet'!$A$166,$DL$205^A35,IF(A35='Données projet'!$A$166,'Données projet'!$B$166,DO34+DN35-DW34)))</f>
        <v>138.39999999999995</v>
      </c>
      <c r="DP35" s="17">
        <f>DO35*VLOOKUP('Données projet'!$B$14,Paramètres!$A$1:$I$89,3,0)*VLOOKUP('Données projet'!$B$14,Paramètres!$A$1:$I$89,5,0)</f>
        <v>92.838719999999967</v>
      </c>
      <c r="DQ35" s="13">
        <f t="shared" si="43"/>
        <v>25.248613631008698</v>
      </c>
      <c r="DR35" s="20">
        <f t="shared" si="16"/>
        <v>205.6687727406734</v>
      </c>
      <c r="DS35" s="59">
        <f t="shared" si="17"/>
        <v>499.00210607400675</v>
      </c>
      <c r="DT35" s="59">
        <f ca="1">AVERAGE(OFFSET($DS$3,0,0,'Données projet'!$E$14+1,1))-AVERAGE(OFFSET($H$3,0,0,'Données projet'!$E$14+1,1))</f>
        <v>156.63226020379989</v>
      </c>
      <c r="DU35" s="59">
        <f t="shared" si="44"/>
        <v>196.0481096619543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8.2022824776356114</v>
      </c>
      <c r="EC35" s="21">
        <f>EXP(-LN(2)/2)*EC34+(1-EXP(-LN(2)/2))/(LN(2)/2)*DW35*DZ35*VLOOKUP('Données projet'!$B$14,Paramètres!$A$1:$I$89,3,0)*0.475*44/12</f>
        <v>4.53673540106342</v>
      </c>
      <c r="ED35" s="22">
        <f t="shared" si="18"/>
        <v>12.73901787869903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5.3369963369963358</v>
      </c>
      <c r="EJ35" s="12">
        <f>IF('Données projet'!$A$192&gt;35,EJ34+EI35-ER34,IF(A35&lt;'Données projet'!$A$192,$EG$205^A35,IF(A35='Données projet'!$A$192,'Données projet'!$B$192,EJ34+EI35-ER34)))</f>
        <v>98.379120879120876</v>
      </c>
      <c r="EK35" s="17">
        <f>EJ35*VLOOKUP('Données projet'!$B$15,Paramètres!$A$1:$I$89,3,0)*VLOOKUP('Données projet'!$B$15,Paramètres!$A$1:$I$89,5,0)</f>
        <v>105.89528571428571</v>
      </c>
      <c r="EL35" s="13">
        <f t="shared" si="45"/>
        <v>28.361751794073548</v>
      </c>
      <c r="EM35" s="20">
        <f t="shared" si="19"/>
        <v>233.83100699372565</v>
      </c>
      <c r="EN35" s="59">
        <f t="shared" si="20"/>
        <v>527.16434032705899</v>
      </c>
      <c r="EO35" s="59">
        <f ca="1">AVERAGE(OFFSET($EN$3,0,0,'Données projet'!$E$15+1,1))-AVERAGE(OFFSET($H$3,0,0,'Données projet'!$E$15+1,1))</f>
        <v>211.18501783767226</v>
      </c>
      <c r="EP35" s="59">
        <f t="shared" si="46"/>
        <v>147.98306963466246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10.7</v>
      </c>
      <c r="FE35" s="12">
        <f>IF('Données projet'!$A$218&gt;35,FE34+FD35-FM34,IF(A35&lt;'Données projet'!$A$218,$FB$205^A35,IF(A35='Données projet'!$A$218,'Données projet'!$B$218,FE34+FD35-FM34)))</f>
        <v>123.40000000000002</v>
      </c>
      <c r="FF35" s="17">
        <f>FE35*VLOOKUP('Données projet'!$B$16,Paramètres!$A$1:$I$89,3,0)*VLOOKUP('Données projet'!$B$16,Paramètres!$A$1:$I$89,5,0)</f>
        <v>73.793200000000013</v>
      </c>
      <c r="FG35" s="13">
        <f t="shared" si="47"/>
        <v>20.612530256955832</v>
      </c>
      <c r="FH35" s="20">
        <f t="shared" si="22"/>
        <v>164.42331353086476</v>
      </c>
      <c r="FI35" s="59">
        <f t="shared" si="23"/>
        <v>457.75664686419805</v>
      </c>
      <c r="FJ35" s="59">
        <f ca="1">AVERAGE(OFFSET($FI$3,0,0,'Données projet'!$E$16+1,1))-AVERAGE(OFFSET($H$3,0,0,'Données projet'!$E$16+1,1))</f>
        <v>232.26937455765062</v>
      </c>
      <c r="FK35" s="59">
        <f t="shared" si="48"/>
        <v>115.80853281120301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2.1273161133157648</v>
      </c>
      <c r="FR35" s="21">
        <f>EXP(-LN(2)/25)*FR34+(1-EXP(-LN(2)/25))/(LN(2)/25)*Calculateur!FM35*Calculateur!FO35*VLOOKUP('Données projet'!$B$16,Paramètres!$A$1:$I$89,3,0)*0.475*44/12</f>
        <v>4.1712669225173133</v>
      </c>
      <c r="FS35" s="21">
        <f>EXP(-LN(2)/2)*FS34+(1-EXP(-LN(2)/2))/(LN(2)/2)*FM35*FP35*VLOOKUP('Données projet'!$B$16,Paramètres!$A$1:$I$89,3,0)*0.475*44/12</f>
        <v>4.1978644663091265</v>
      </c>
      <c r="FT35" s="22">
        <f t="shared" si="24"/>
        <v>10.496447502142203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10.199999999999999</v>
      </c>
      <c r="FZ35" s="12">
        <f>IF('Données projet'!$A$244&gt;35,FZ34+FY35-GH34,IF(A35&lt;'Données projet'!$A$244,$FW$205^A35,IF(A35='Données projet'!$A$244,'Données projet'!$B$244,FZ34+FY35-GH34)))</f>
        <v>138.39999999999995</v>
      </c>
      <c r="GA35" s="17">
        <f>FZ35*VLOOKUP('Données projet'!$B$17,Paramètres!$A$1:$I$89,3,0)*VLOOKUP('Données projet'!$B$17,Paramètres!$A$1:$I$89,5,0)</f>
        <v>110.11103999999996</v>
      </c>
      <c r="GB35" s="13">
        <f t="shared" si="49"/>
        <v>29.357144926198423</v>
      </c>
      <c r="GC35" s="20">
        <f t="shared" si="25"/>
        <v>242.90708874646216</v>
      </c>
      <c r="GD35" s="59">
        <f t="shared" si="26"/>
        <v>536.24042207979551</v>
      </c>
      <c r="GE35" s="59">
        <f ca="1">AVERAGE(OFFSET($GD$3,0,0,'Données projet'!$E$17+1,1))-AVERAGE(OFFSET($H$3,0,0,'Données projet'!$E$17+1,1))</f>
        <v>199.58763537752952</v>
      </c>
      <c r="GF35" s="59">
        <f t="shared" si="50"/>
        <v>242.62852778451929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9.7282885199864211</v>
      </c>
      <c r="GN35" s="21">
        <f>EXP(-LN(2)/2)*GN34+(1-EXP(-LN(2)/2))/(LN(2)/2)*GH35*GK35*VLOOKUP('Données projet'!$B$17,Paramètres!$A$1:$I$89,3,0)*0.475*44/12</f>
        <v>5.3807791966101028</v>
      </c>
      <c r="GO35" s="21">
        <f t="shared" si="27"/>
        <v>15.109067716596524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5.3369963369963358</v>
      </c>
      <c r="N36" s="13">
        <f>IF('Données projet'!$A$36&gt;35,N35+M36-V35,IF(A36&lt;'Données projet'!$A$36,$K$205^A36,IF(A36='Données projet'!$A$36,'Données projet'!$B$36,N35+M36-V35)))</f>
        <v>103.71611721611721</v>
      </c>
      <c r="O36" s="13">
        <f>N36*VLOOKUP('Données projet'!$B$9,Paramètres!$A$1:$I$89,3,0)*VLOOKUP('Données projet'!$B$9,Paramètres!$A$1:$I$89,5,0)</f>
        <v>93.842342857142853</v>
      </c>
      <c r="P36" s="13">
        <f t="shared" si="33"/>
        <v>25.489638806781517</v>
      </c>
      <c r="Q36" s="20">
        <f t="shared" si="53"/>
        <v>207.83653473133492</v>
      </c>
      <c r="R36" s="59">
        <f t="shared" si="0"/>
        <v>501.16986806466821</v>
      </c>
      <c r="S36" s="59">
        <f ca="1">AVERAGE(OFFSET($R$3,0,0,'Données projet'!$E$9+1,1))-AVERAGE(OFFSET($H$3,0,0,'Données projet'!$E$9+1,1))</f>
        <v>153.45079678708987</v>
      </c>
      <c r="T36" s="59">
        <f t="shared" si="34"/>
        <v>115.4217868409637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105.16814285714285</v>
      </c>
      <c r="AK36" s="13">
        <f t="shared" si="35"/>
        <v>28.189602262365472</v>
      </c>
      <c r="AL36" s="20">
        <f t="shared" si="4"/>
        <v>232.264739416477</v>
      </c>
      <c r="AM36" s="59">
        <f t="shared" si="5"/>
        <v>525.59807274981029</v>
      </c>
      <c r="AN36" s="59">
        <f ca="1">AVERAGE(OFFSET($AM$3,0,0,'Données projet'!$E$10+1,1))-AVERAGE(OFFSET($H$3,0,0,'Données projet'!$E$10+1,1))</f>
        <v>190.21499310415584</v>
      </c>
      <c r="AO36" s="59">
        <f t="shared" si="36"/>
        <v>136.15730566500173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15.7</v>
      </c>
      <c r="BD36" s="12">
        <f>IF('Données projet'!$A$88&gt;35,BD35+BC36-BL35,IF(A36&lt;'Données projet'!$A$88,$BA$205^A36,IF(A36='Données projet'!$A$88,'Données projet'!$B$88,BD35+BC36-BL35)))</f>
        <v>187.10000000000002</v>
      </c>
      <c r="BE36" s="13">
        <f>BD36*VLOOKUP('Données projet'!$B$11,Paramètres!$A$1:$I$89,3,0)*VLOOKUP('Données projet'!$B$11,Paramètres!$A$1:$I$89,5,0)</f>
        <v>111.88580000000003</v>
      </c>
      <c r="BF36" s="13">
        <f t="shared" si="37"/>
        <v>29.774853250315406</v>
      </c>
      <c r="BG36" s="20">
        <f t="shared" si="7"/>
        <v>246.72563774429935</v>
      </c>
      <c r="BH36" s="59">
        <f t="shared" si="8"/>
        <v>540.05897107763269</v>
      </c>
      <c r="BI36" s="59">
        <f ca="1">AVERAGE(OFFSET($BH$3,0,0,'Données projet'!$E$11+1,1))-AVERAGE(OFFSET($H$3,0,0,'Données projet'!$E$11+1,1))</f>
        <v>270.30888762640245</v>
      </c>
      <c r="BJ36" s="59">
        <f t="shared" si="38"/>
        <v>202.23783851977691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2.018323298582275</v>
      </c>
      <c r="BQ36" s="21">
        <f>EXP(-LN(2)/25)*BQ35+(1-EXP(-LN(2)/25))/(LN(2)/25)*Calculateur!BL36*Calculateur!BN36*VLOOKUP('Données projet'!$B$11,Paramètres!$A$1:$I$89,3,0)*0.475*44/12</f>
        <v>11.313898721957965</v>
      </c>
      <c r="BR36" s="21">
        <f>EXP(-LN(2)/2)*BR35+(1-EXP(-LN(2)/2))/(LN(2)/2)*BL36*BO36*VLOOKUP('Données projet'!$B$11,Paramètres!$A$1:$I$89,3,0)*0.475*44/12</f>
        <v>6.5381244666581342</v>
      </c>
      <c r="BS36" s="22">
        <f t="shared" si="9"/>
        <v>19.870346487198375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15.7</v>
      </c>
      <c r="BY36" s="12">
        <f>IF('Données projet'!$A$114&gt;35,BY35+BX36-CG35,IF(A36&lt;'Données projet'!$A$114,$BV$205^A36,IF(A36='Données projet'!$A$114,'Données projet'!$B$114,BY35+BX36-CG35)))</f>
        <v>187.10000000000002</v>
      </c>
      <c r="BZ36" s="13">
        <f>BY36*VLOOKUP('Données projet'!$B$12,Paramètres!$A$1:$I$89,3,0)*VLOOKUP('Données projet'!$B$12,Paramètres!$A$1:$I$89,5,0)</f>
        <v>111.88580000000003</v>
      </c>
      <c r="CA36" s="13">
        <f t="shared" si="39"/>
        <v>29.774853250315406</v>
      </c>
      <c r="CB36" s="20">
        <f t="shared" si="10"/>
        <v>246.72563774429935</v>
      </c>
      <c r="CC36" s="59">
        <f t="shared" si="11"/>
        <v>540.05897107763269</v>
      </c>
      <c r="CD36" s="59">
        <f ca="1">AVERAGE(OFFSET($CC$3,0,0,'Données projet'!$E$12+1,1))-AVERAGE(OFFSET($H$3,0,0,'Données projet'!$E$12+1,1))</f>
        <v>270.30888762640245</v>
      </c>
      <c r="CE36" s="59">
        <f t="shared" si="40"/>
        <v>202.23783851977691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2.018323298582275</v>
      </c>
      <c r="CL36" s="21">
        <f>EXP(-LN(2)/25)*CL35+(1-EXP(-LN(2)/25))/(LN(2)/25)*Calculateur!CG36*Calculateur!CI36*VLOOKUP('Données projet'!$B$12,Paramètres!$A$1:$I$89,3,0)*0.475*44/12</f>
        <v>11.313898721957965</v>
      </c>
      <c r="CM36" s="21">
        <f>EXP(-LN(2)/2)*CM35+(1-EXP(-LN(2)/2))/(LN(2)/2)*CG36*CJ36*VLOOKUP('Données projet'!$B$12,Paramètres!$A$1:$I$89,3,0)*0.475*44/12</f>
        <v>6.5381244666581342</v>
      </c>
      <c r="CN36" s="22">
        <f t="shared" si="12"/>
        <v>19.870346487198375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16.131410256410259</v>
      </c>
      <c r="CT36" s="12">
        <f>IF('Données projet'!$A$140&gt;35,CT35+CS36-DB35,IF(A36&lt;'Données projet'!$A$140,$CQ$205^A36,IF(A36='Données projet'!$A$140,'Données projet'!$B$140,CT35+CS36-DB35)))</f>
        <v>265.18653846153842</v>
      </c>
      <c r="CU36" s="17">
        <f>CT36*VLOOKUP('Données projet'!$B$13,Paramètres!$A$1:$I$89,3,0)*VLOOKUP('Données projet'!$B$13,Paramètres!$A$1:$I$89,5,0)</f>
        <v>124.10729999999997</v>
      </c>
      <c r="CV36" s="13">
        <f t="shared" si="41"/>
        <v>32.631075149258578</v>
      </c>
      <c r="CW36" s="20">
        <f t="shared" si="13"/>
        <v>272.98600338495862</v>
      </c>
      <c r="CX36" s="59">
        <f t="shared" si="14"/>
        <v>566.31933671829188</v>
      </c>
      <c r="CY36" s="59">
        <f ca="1">AVERAGE(OFFSET($CX$3,0,0,'Données projet'!$E$13+1,1))-AVERAGE(OFFSET($H$3,0,0,'Données projet'!$E$13+1,1))</f>
        <v>158.58786357608489</v>
      </c>
      <c r="CZ36" s="59">
        <f t="shared" si="42"/>
        <v>163.20074068819849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10.199999999999999</v>
      </c>
      <c r="DO36" s="12">
        <f>IF('Données projet'!$A$166&gt;35,DO35+DN36-DW35,IF(A36&lt;'Données projet'!$A$166,$DL$205^A36,IF(A36='Données projet'!$A$166,'Données projet'!$B$166,DO35+DN36-DW35)))</f>
        <v>148.59999999999994</v>
      </c>
      <c r="DP36" s="17">
        <f>DO36*VLOOKUP('Données projet'!$B$14,Paramètres!$A$1:$I$89,3,0)*VLOOKUP('Données projet'!$B$14,Paramètres!$A$1:$I$89,5,0)</f>
        <v>99.680879999999959</v>
      </c>
      <c r="DQ36" s="13">
        <f t="shared" si="43"/>
        <v>26.885957471977871</v>
      </c>
      <c r="DR36" s="20">
        <f t="shared" si="16"/>
        <v>220.43724193036135</v>
      </c>
      <c r="DS36" s="59">
        <f t="shared" si="17"/>
        <v>513.7705752636947</v>
      </c>
      <c r="DT36" s="59">
        <f ca="1">AVERAGE(OFFSET($DS$3,0,0,'Données projet'!$E$14+1,1))-AVERAGE(OFFSET($H$3,0,0,'Données projet'!$E$14+1,1))</f>
        <v>156.63226020379989</v>
      </c>
      <c r="DU36" s="59">
        <f t="shared" si="44"/>
        <v>196.0481096619543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7.9779906319453771</v>
      </c>
      <c r="EC36" s="21">
        <f>EXP(-LN(2)/2)*EC35+(1-EXP(-LN(2)/2))/(LN(2)/2)*DW36*DZ36*VLOOKUP('Données projet'!$B$14,Paramètres!$A$1:$I$89,3,0)*0.475*44/12</f>
        <v>3.207956366541016</v>
      </c>
      <c r="ED36" s="22">
        <f t="shared" si="18"/>
        <v>11.185946998486394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5.3369963369963358</v>
      </c>
      <c r="EJ36" s="12">
        <f>IF('Données projet'!$A$192&gt;35,EJ35+EI36-ER35,IF(A36&lt;'Données projet'!$A$192,$EG$205^A36,IF(A36='Données projet'!$A$192,'Données projet'!$B$192,EJ35+EI36-ER35)))</f>
        <v>103.71611721611721</v>
      </c>
      <c r="EK36" s="17">
        <f>EJ36*VLOOKUP('Données projet'!$B$15,Paramètres!$A$1:$I$89,3,0)*VLOOKUP('Données projet'!$B$15,Paramètres!$A$1:$I$89,5,0)</f>
        <v>111.64002857142856</v>
      </c>
      <c r="EL36" s="13">
        <f t="shared" si="45"/>
        <v>29.717054649794633</v>
      </c>
      <c r="EM36" s="20">
        <f t="shared" si="19"/>
        <v>246.19691994363038</v>
      </c>
      <c r="EN36" s="59">
        <f t="shared" si="20"/>
        <v>539.53025327696366</v>
      </c>
      <c r="EO36" s="59">
        <f ca="1">AVERAGE(OFFSET($EN$3,0,0,'Données projet'!$E$15+1,1))-AVERAGE(OFFSET($H$3,0,0,'Données projet'!$E$15+1,1))</f>
        <v>211.18501783767226</v>
      </c>
      <c r="EP36" s="59">
        <f t="shared" si="46"/>
        <v>147.98306963466246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10.7</v>
      </c>
      <c r="FE36" s="12">
        <f>IF('Données projet'!$A$218&gt;35,FE35+FD36-FM35,IF(A36&lt;'Données projet'!$A$218,$FB$205^A36,IF(A36='Données projet'!$A$218,'Données projet'!$B$218,FE35+FD36-FM35)))</f>
        <v>134.10000000000002</v>
      </c>
      <c r="FF36" s="17">
        <f>FE36*VLOOKUP('Données projet'!$B$16,Paramètres!$A$1:$I$89,3,0)*VLOOKUP('Données projet'!$B$16,Paramètres!$A$1:$I$89,5,0)</f>
        <v>80.191800000000015</v>
      </c>
      <c r="FG36" s="13">
        <f t="shared" si="47"/>
        <v>22.184073687979513</v>
      </c>
      <c r="FH36" s="20">
        <f t="shared" si="22"/>
        <v>178.30464667323099</v>
      </c>
      <c r="FI36" s="59">
        <f t="shared" si="23"/>
        <v>471.63798000656431</v>
      </c>
      <c r="FJ36" s="59">
        <f ca="1">AVERAGE(OFFSET($FI$3,0,0,'Données projet'!$E$16+1,1))-AVERAGE(OFFSET($H$3,0,0,'Données projet'!$E$16+1,1))</f>
        <v>232.26937455765062</v>
      </c>
      <c r="FK36" s="59">
        <f t="shared" si="48"/>
        <v>115.80853281120301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2.0856007418683506</v>
      </c>
      <c r="FR36" s="21">
        <f>EXP(-LN(2)/25)*FR35+(1-EXP(-LN(2)/25))/(LN(2)/25)*Calculateur!FM36*Calculateur!FO36*VLOOKUP('Données projet'!$B$16,Paramètres!$A$1:$I$89,3,0)*0.475*44/12</f>
        <v>4.0572034091636837</v>
      </c>
      <c r="FS36" s="21">
        <f>EXP(-LN(2)/2)*FS35+(1-EXP(-LN(2)/2))/(LN(2)/2)*FM36*FP36*VLOOKUP('Données projet'!$B$16,Paramètres!$A$1:$I$89,3,0)*0.475*44/12</f>
        <v>2.9683384306292306</v>
      </c>
      <c r="FT36" s="22">
        <f t="shared" si="24"/>
        <v>9.1111425816612659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10.199999999999999</v>
      </c>
      <c r="FZ36" s="12">
        <f>IF('Données projet'!$A$244&gt;35,FZ35+FY36-GH35,IF(A36&lt;'Données projet'!$A$244,$FW$205^A36,IF(A36='Données projet'!$A$244,'Données projet'!$B$244,FZ35+FY36-GH35)))</f>
        <v>148.59999999999994</v>
      </c>
      <c r="GA36" s="17">
        <f>FZ36*VLOOKUP('Données projet'!$B$17,Paramètres!$A$1:$I$89,3,0)*VLOOKUP('Données projet'!$B$17,Paramètres!$A$1:$I$89,5,0)</f>
        <v>118.22615999999996</v>
      </c>
      <c r="GB36" s="13">
        <f t="shared" si="49"/>
        <v>31.260922342884676</v>
      </c>
      <c r="GC36" s="20">
        <f t="shared" si="25"/>
        <v>260.35666841385739</v>
      </c>
      <c r="GD36" s="59">
        <f t="shared" si="26"/>
        <v>553.69000174719076</v>
      </c>
      <c r="GE36" s="59">
        <f ca="1">AVERAGE(OFFSET($GD$3,0,0,'Données projet'!$E$17+1,1))-AVERAGE(OFFSET($H$3,0,0,'Données projet'!$E$17+1,1))</f>
        <v>199.58763537752952</v>
      </c>
      <c r="GF36" s="59">
        <f t="shared" si="50"/>
        <v>242.62852778451929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9.4622679588189342</v>
      </c>
      <c r="GN36" s="21">
        <f>EXP(-LN(2)/2)*GN35+(1-EXP(-LN(2)/2))/(LN(2)/2)*GH36*GK36*VLOOKUP('Données projet'!$B$17,Paramètres!$A$1:$I$89,3,0)*0.475*44/12</f>
        <v>3.8047854579905072</v>
      </c>
      <c r="GO36" s="21">
        <f t="shared" si="27"/>
        <v>13.267053416809441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5.3369963369963358</v>
      </c>
      <c r="N37" s="13">
        <f>IF('Données projet'!$A$36&gt;35,N36+M37-V36,IF(A37&lt;'Données projet'!$A$36,$K$205^A37,IF(A37='Données projet'!$A$36,'Données projet'!$B$36,N36+M37-V36)))</f>
        <v>109.05311355311355</v>
      </c>
      <c r="O37" s="13">
        <f>N37*VLOOKUP('Données projet'!$B$9,Paramètres!$A$1:$I$89,3,0)*VLOOKUP('Données projet'!$B$9,Paramètres!$A$1:$I$89,5,0)</f>
        <v>98.671257142857144</v>
      </c>
      <c r="P37" s="13">
        <f t="shared" si="33"/>
        <v>26.645196865813876</v>
      </c>
      <c r="Q37" s="20">
        <f t="shared" si="53"/>
        <v>218.25949073176866</v>
      </c>
      <c r="R37" s="59">
        <f t="shared" si="0"/>
        <v>511.59282406510198</v>
      </c>
      <c r="S37" s="59">
        <f ca="1">AVERAGE(OFFSET($R$3,0,0,'Données projet'!$E$9+1,1))-AVERAGE(OFFSET($H$3,0,0,'Données projet'!$E$9+1,1))</f>
        <v>153.45079678708987</v>
      </c>
      <c r="T37" s="59">
        <f t="shared" si="34"/>
        <v>115.4217868409637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110.57985714285715</v>
      </c>
      <c r="AK37" s="13">
        <f t="shared" si="35"/>
        <v>29.467561605850825</v>
      </c>
      <c r="AL37" s="20">
        <f t="shared" si="4"/>
        <v>243.91592098733301</v>
      </c>
      <c r="AM37" s="59">
        <f t="shared" si="5"/>
        <v>537.2492543206663</v>
      </c>
      <c r="AN37" s="59">
        <f ca="1">AVERAGE(OFFSET($AM$3,0,0,'Données projet'!$E$10+1,1))-AVERAGE(OFFSET($H$3,0,0,'Données projet'!$E$10+1,1))</f>
        <v>190.21499310415584</v>
      </c>
      <c r="AO37" s="59">
        <f t="shared" si="36"/>
        <v>136.15730566500173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15.7</v>
      </c>
      <c r="BD37" s="12">
        <f>IF('Données projet'!$A$88&gt;35,BD36+BC37-BL36,IF(A37&lt;'Données projet'!$A$88,$BA$205^A37,IF(A37='Données projet'!$A$88,'Données projet'!$B$88,BD36+BC37-BL36)))</f>
        <v>202.8</v>
      </c>
      <c r="BE37" s="13">
        <f>BD37*VLOOKUP('Données projet'!$B$11,Paramètres!$A$1:$I$89,3,0)*VLOOKUP('Données projet'!$B$11,Paramètres!$A$1:$I$89,5,0)</f>
        <v>121.27440000000001</v>
      </c>
      <c r="BF37" s="13">
        <f t="shared" si="37"/>
        <v>31.972049173215385</v>
      </c>
      <c r="BG37" s="20">
        <f t="shared" si="7"/>
        <v>266.90423231001682</v>
      </c>
      <c r="BH37" s="59">
        <f t="shared" si="8"/>
        <v>560.23756564335008</v>
      </c>
      <c r="BI37" s="59">
        <f ca="1">AVERAGE(OFFSET($BH$3,0,0,'Données projet'!$E$11+1,1))-AVERAGE(OFFSET($H$3,0,0,'Données projet'!$E$11+1,1))</f>
        <v>270.30888762640245</v>
      </c>
      <c r="BJ37" s="59">
        <f t="shared" si="38"/>
        <v>202.23783851977691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1.978745209752732</v>
      </c>
      <c r="BQ37" s="21">
        <f>EXP(-LN(2)/25)*BQ36+(1-EXP(-LN(2)/25))/(LN(2)/25)*Calculateur!BL37*Calculateur!BN37*VLOOKUP('Données projet'!$B$11,Paramètres!$A$1:$I$89,3,0)*0.475*44/12</f>
        <v>11.004519566433949</v>
      </c>
      <c r="BR37" s="21">
        <f>EXP(-LN(2)/2)*BR36+(1-EXP(-LN(2)/2))/(LN(2)/2)*BL37*BO37*VLOOKUP('Données projet'!$B$11,Paramètres!$A$1:$I$89,3,0)*0.475*44/12</f>
        <v>4.623152146615646</v>
      </c>
      <c r="BS37" s="22">
        <f t="shared" si="9"/>
        <v>17.606416922802328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15.7</v>
      </c>
      <c r="BY37" s="12">
        <f>IF('Données projet'!$A$114&gt;35,BY36+BX37-CG36,IF(A37&lt;'Données projet'!$A$114,$BV$205^A37,IF(A37='Données projet'!$A$114,'Données projet'!$B$114,BY36+BX37-CG36)))</f>
        <v>202.8</v>
      </c>
      <c r="BZ37" s="13">
        <f>BY37*VLOOKUP('Données projet'!$B$12,Paramètres!$A$1:$I$89,3,0)*VLOOKUP('Données projet'!$B$12,Paramètres!$A$1:$I$89,5,0)</f>
        <v>121.27440000000001</v>
      </c>
      <c r="CA37" s="13">
        <f t="shared" si="39"/>
        <v>31.972049173215385</v>
      </c>
      <c r="CB37" s="20">
        <f t="shared" si="10"/>
        <v>266.90423231001682</v>
      </c>
      <c r="CC37" s="59">
        <f t="shared" si="11"/>
        <v>560.23756564335008</v>
      </c>
      <c r="CD37" s="59">
        <f ca="1">AVERAGE(OFFSET($CC$3,0,0,'Données projet'!$E$12+1,1))-AVERAGE(OFFSET($H$3,0,0,'Données projet'!$E$12+1,1))</f>
        <v>270.30888762640245</v>
      </c>
      <c r="CE37" s="59">
        <f t="shared" si="40"/>
        <v>202.23783851977691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1.978745209752732</v>
      </c>
      <c r="CL37" s="21">
        <f>EXP(-LN(2)/25)*CL36+(1-EXP(-LN(2)/25))/(LN(2)/25)*Calculateur!CG37*Calculateur!CI37*VLOOKUP('Données projet'!$B$12,Paramètres!$A$1:$I$89,3,0)*0.475*44/12</f>
        <v>11.004519566433949</v>
      </c>
      <c r="CM37" s="21">
        <f>EXP(-LN(2)/2)*CM36+(1-EXP(-LN(2)/2))/(LN(2)/2)*CG37*CJ37*VLOOKUP('Données projet'!$B$12,Paramètres!$A$1:$I$89,3,0)*0.475*44/12</f>
        <v>4.623152146615646</v>
      </c>
      <c r="CN37" s="22">
        <f t="shared" si="12"/>
        <v>17.606416922802328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16.131410256410259</v>
      </c>
      <c r="CT37" s="12">
        <f>IF('Données projet'!$A$140&gt;35,CT36+CS37-DB36,IF(A37&lt;'Données projet'!$A$140,$CQ$205^A37,IF(A37='Données projet'!$A$140,'Données projet'!$B$140,CT36+CS37-DB36)))</f>
        <v>281.3179487179487</v>
      </c>
      <c r="CU37" s="17">
        <f>CT37*VLOOKUP('Données projet'!$B$13,Paramètres!$A$1:$I$89,3,0)*VLOOKUP('Données projet'!$B$13,Paramètres!$A$1:$I$89,5,0)</f>
        <v>131.65679999999998</v>
      </c>
      <c r="CV37" s="13">
        <f t="shared" si="41"/>
        <v>34.378914540413547</v>
      </c>
      <c r="CW37" s="20">
        <f t="shared" si="13"/>
        <v>289.17886949122021</v>
      </c>
      <c r="CX37" s="59">
        <f t="shared" si="14"/>
        <v>582.51220282455347</v>
      </c>
      <c r="CY37" s="59">
        <f ca="1">AVERAGE(OFFSET($CX$3,0,0,'Données projet'!$E$13+1,1))-AVERAGE(OFFSET($H$3,0,0,'Données projet'!$E$13+1,1))</f>
        <v>158.58786357608489</v>
      </c>
      <c r="CZ37" s="59">
        <f t="shared" si="42"/>
        <v>163.20074068819849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10.199999999999999</v>
      </c>
      <c r="DO37" s="12">
        <f>IF('Données projet'!$A$166&gt;35,DO36+DN37-DW36,IF(A37&lt;'Données projet'!$A$166,$DL$205^A37,IF(A37='Données projet'!$A$166,'Données projet'!$B$166,DO36+DN37-DW36)))</f>
        <v>158.79999999999993</v>
      </c>
      <c r="DP37" s="17">
        <f>DO37*VLOOKUP('Données projet'!$B$14,Paramètres!$A$1:$I$89,3,0)*VLOOKUP('Données projet'!$B$14,Paramètres!$A$1:$I$89,5,0)</f>
        <v>106.52303999999995</v>
      </c>
      <c r="DQ37" s="13">
        <f t="shared" si="43"/>
        <v>28.510260627094947</v>
      </c>
      <c r="DR37" s="20">
        <f t="shared" si="16"/>
        <v>235.18299859219027</v>
      </c>
      <c r="DS37" s="59">
        <f t="shared" si="17"/>
        <v>528.51633192552356</v>
      </c>
      <c r="DT37" s="59">
        <f ca="1">AVERAGE(OFFSET($DS$3,0,0,'Données projet'!$E$14+1,1))-AVERAGE(OFFSET($H$3,0,0,'Données projet'!$E$14+1,1))</f>
        <v>156.63226020379989</v>
      </c>
      <c r="DU37" s="59">
        <f t="shared" si="44"/>
        <v>196.0481096619543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7.7598320585705371</v>
      </c>
      <c r="EC37" s="21">
        <f>EXP(-LN(2)/2)*EC36+(1-EXP(-LN(2)/2))/(LN(2)/2)*DW37*DZ37*VLOOKUP('Données projet'!$B$14,Paramètres!$A$1:$I$89,3,0)*0.475*44/12</f>
        <v>2.2683677005317104</v>
      </c>
      <c r="ED37" s="22">
        <f t="shared" si="18"/>
        <v>10.028199759102247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5.3369963369963358</v>
      </c>
      <c r="EJ37" s="12">
        <f>IF('Données projet'!$A$192&gt;35,EJ36+EI37-ER36,IF(A37&lt;'Données projet'!$A$192,$EG$205^A37,IF(A37='Données projet'!$A$192,'Données projet'!$B$192,EJ36+EI37-ER36)))</f>
        <v>109.05311355311355</v>
      </c>
      <c r="EK37" s="17">
        <f>EJ37*VLOOKUP('Données projet'!$B$15,Paramètres!$A$1:$I$89,3,0)*VLOOKUP('Données projet'!$B$15,Paramètres!$A$1:$I$89,5,0)</f>
        <v>117.38477142857143</v>
      </c>
      <c r="EL37" s="13">
        <f t="shared" si="45"/>
        <v>31.064260165399627</v>
      </c>
      <c r="EM37" s="20">
        <f t="shared" si="19"/>
        <v>258.54873002616625</v>
      </c>
      <c r="EN37" s="59">
        <f t="shared" si="20"/>
        <v>551.88206335949963</v>
      </c>
      <c r="EO37" s="59">
        <f ca="1">AVERAGE(OFFSET($EN$3,0,0,'Données projet'!$E$15+1,1))-AVERAGE(OFFSET($H$3,0,0,'Données projet'!$E$15+1,1))</f>
        <v>211.18501783767226</v>
      </c>
      <c r="EP37" s="59">
        <f t="shared" si="46"/>
        <v>147.98306963466246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10.7</v>
      </c>
      <c r="FE37" s="12">
        <f>IF('Données projet'!$A$218&gt;35,FE36+FD37-FM36,IF(A37&lt;'Données projet'!$A$218,$FB$205^A37,IF(A37='Données projet'!$A$218,'Données projet'!$B$218,FE36+FD37-FM36)))</f>
        <v>144.80000000000001</v>
      </c>
      <c r="FF37" s="17">
        <f>FE37*VLOOKUP('Données projet'!$B$16,Paramètres!$A$1:$I$89,3,0)*VLOOKUP('Données projet'!$B$16,Paramètres!$A$1:$I$89,5,0)</f>
        <v>86.590400000000002</v>
      </c>
      <c r="FG37" s="13">
        <f t="shared" si="47"/>
        <v>23.741072392921538</v>
      </c>
      <c r="FH37" s="20">
        <f t="shared" si="22"/>
        <v>192.16064775100503</v>
      </c>
      <c r="FI37" s="59">
        <f t="shared" si="23"/>
        <v>485.49398108433832</v>
      </c>
      <c r="FJ37" s="59">
        <f ca="1">AVERAGE(OFFSET($FI$3,0,0,'Données projet'!$E$16+1,1))-AVERAGE(OFFSET($H$3,0,0,'Données projet'!$E$16+1,1))</f>
        <v>232.26937455765062</v>
      </c>
      <c r="FK37" s="59">
        <f t="shared" si="48"/>
        <v>115.80853281120301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2.0447033834111563</v>
      </c>
      <c r="FR37" s="21">
        <f>EXP(-LN(2)/25)*FR36+(1-EXP(-LN(2)/25))/(LN(2)/25)*Calculateur!FM37*Calculateur!FO37*VLOOKUP('Données projet'!$B$16,Paramètres!$A$1:$I$89,3,0)*0.475*44/12</f>
        <v>3.9462589685810485</v>
      </c>
      <c r="FS37" s="21">
        <f>EXP(-LN(2)/2)*FS36+(1-EXP(-LN(2)/2))/(LN(2)/2)*FM37*FP37*VLOOKUP('Données projet'!$B$16,Paramètres!$A$1:$I$89,3,0)*0.475*44/12</f>
        <v>2.0989322331545632</v>
      </c>
      <c r="FT37" s="22">
        <f t="shared" si="24"/>
        <v>8.0898945851467676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10.199999999999999</v>
      </c>
      <c r="FZ37" s="12">
        <f>IF('Données projet'!$A$244&gt;35,FZ36+FY37-GH36,IF(A37&lt;'Données projet'!$A$244,$FW$205^A37,IF(A37='Données projet'!$A$244,'Données projet'!$B$244,FZ36+FY37-GH36)))</f>
        <v>158.79999999999993</v>
      </c>
      <c r="GA37" s="17">
        <f>FZ37*VLOOKUP('Données projet'!$B$17,Paramètres!$A$1:$I$89,3,0)*VLOOKUP('Données projet'!$B$17,Paramètres!$A$1:$I$89,5,0)</f>
        <v>126.34127999999994</v>
      </c>
      <c r="GB37" s="13">
        <f t="shared" si="49"/>
        <v>33.14953705360643</v>
      </c>
      <c r="GC37" s="20">
        <f t="shared" si="25"/>
        <v>277.77983970169777</v>
      </c>
      <c r="GD37" s="59">
        <f t="shared" si="26"/>
        <v>571.11317303503108</v>
      </c>
      <c r="GE37" s="59">
        <f ca="1">AVERAGE(OFFSET($GD$3,0,0,'Données projet'!$E$17+1,1))-AVERAGE(OFFSET($H$3,0,0,'Données projet'!$E$17+1,1))</f>
        <v>199.58763537752952</v>
      </c>
      <c r="GF37" s="59">
        <f t="shared" si="50"/>
        <v>242.62852778451929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9.2035217438859842</v>
      </c>
      <c r="GN37" s="21">
        <f>EXP(-LN(2)/2)*GN36+(1-EXP(-LN(2)/2))/(LN(2)/2)*GH37*GK37*VLOOKUP('Données projet'!$B$17,Paramètres!$A$1:$I$89,3,0)*0.475*44/12</f>
        <v>2.6903895983050519</v>
      </c>
      <c r="GO37" s="21">
        <f t="shared" si="27"/>
        <v>11.893911342191036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5.3369963369963358</v>
      </c>
      <c r="N38" s="13">
        <f>IF('Données projet'!$A$36&gt;35,N37+M38-V37,IF(A38&lt;'Données projet'!$A$36,$K$205^A38,IF(A38='Données projet'!$A$36,'Données projet'!$B$36,N37+M38-V37)))</f>
        <v>114.39010989010988</v>
      </c>
      <c r="O38" s="13">
        <f>N38*VLOOKUP('Données projet'!$B$9,Paramètres!$A$1:$I$89,3,0)*VLOOKUP('Données projet'!$B$9,Paramètres!$A$1:$I$89,5,0)</f>
        <v>103.50017142857141</v>
      </c>
      <c r="P38" s="13">
        <f t="shared" si="33"/>
        <v>27.794188178262466</v>
      </c>
      <c r="Q38" s="20">
        <f t="shared" si="53"/>
        <v>228.67100964856897</v>
      </c>
      <c r="R38" s="59">
        <f t="shared" si="0"/>
        <v>522.00434298190225</v>
      </c>
      <c r="S38" s="59">
        <f ca="1">AVERAGE(OFFSET($R$3,0,0,'Données projet'!$E$9+1,1))-AVERAGE(OFFSET($H$3,0,0,'Données projet'!$E$9+1,1))</f>
        <v>153.45079678708987</v>
      </c>
      <c r="T38" s="59">
        <f t="shared" si="34"/>
        <v>115.4217868409637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115.99157142857143</v>
      </c>
      <c r="AK38" s="13">
        <f t="shared" si="35"/>
        <v>30.738258626956586</v>
      </c>
      <c r="AL38" s="20">
        <f t="shared" si="4"/>
        <v>255.55445401337798</v>
      </c>
      <c r="AM38" s="59">
        <f t="shared" si="5"/>
        <v>548.88778734671132</v>
      </c>
      <c r="AN38" s="59">
        <f ca="1">AVERAGE(OFFSET($AM$3,0,0,'Données projet'!$E$10+1,1))-AVERAGE(OFFSET($H$3,0,0,'Données projet'!$E$10+1,1))</f>
        <v>190.21499310415584</v>
      </c>
      <c r="AO38" s="59">
        <f t="shared" si="36"/>
        <v>136.15730566500173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15.7</v>
      </c>
      <c r="BD38" s="12">
        <f>IF('Données projet'!$A$88&gt;35,BD37+BC38-BL37,IF(A38&lt;'Données projet'!$A$88,$BA$205^A38,IF(A38='Données projet'!$A$88,'Données projet'!$B$88,BD37+BC38-BL37)))</f>
        <v>218.5</v>
      </c>
      <c r="BE38" s="13">
        <f>BD38*VLOOKUP('Données projet'!$B$11,Paramètres!$A$1:$I$89,3,0)*VLOOKUP('Données projet'!$B$11,Paramètres!$A$1:$I$89,5,0)</f>
        <v>130.66300000000001</v>
      </c>
      <c r="BF38" s="13">
        <f t="shared" si="37"/>
        <v>34.149513779485744</v>
      </c>
      <c r="BG38" s="20">
        <f t="shared" si="7"/>
        <v>287.04846149927101</v>
      </c>
      <c r="BH38" s="59">
        <f t="shared" si="8"/>
        <v>580.38179483260433</v>
      </c>
      <c r="BI38" s="59">
        <f ca="1">AVERAGE(OFFSET($BH$3,0,0,'Données projet'!$E$11+1,1))-AVERAGE(OFFSET($H$3,0,0,'Données projet'!$E$11+1,1))</f>
        <v>270.30888762640245</v>
      </c>
      <c r="BJ38" s="59">
        <f t="shared" si="38"/>
        <v>202.23783851977691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1.9399432231048859</v>
      </c>
      <c r="BQ38" s="21">
        <f>EXP(-LN(2)/25)*BQ37+(1-EXP(-LN(2)/25))/(LN(2)/25)*Calculateur!BL38*Calculateur!BN38*VLOOKUP('Données projet'!$B$11,Paramètres!$A$1:$I$89,3,0)*0.475*44/12</f>
        <v>10.70360040018728</v>
      </c>
      <c r="BR38" s="21">
        <f>EXP(-LN(2)/2)*BR37+(1-EXP(-LN(2)/2))/(LN(2)/2)*BL38*BO38*VLOOKUP('Données projet'!$B$11,Paramètres!$A$1:$I$89,3,0)*0.475*44/12</f>
        <v>3.2690622333290671</v>
      </c>
      <c r="BS38" s="22">
        <f t="shared" si="9"/>
        <v>15.912605856621234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15.7</v>
      </c>
      <c r="BY38" s="12">
        <f>IF('Données projet'!$A$114&gt;35,BY37+BX38-CG37,IF(A38&lt;'Données projet'!$A$114,$BV$205^A38,IF(A38='Données projet'!$A$114,'Données projet'!$B$114,BY37+BX38-CG37)))</f>
        <v>218.5</v>
      </c>
      <c r="BZ38" s="13">
        <f>BY38*VLOOKUP('Données projet'!$B$12,Paramètres!$A$1:$I$89,3,0)*VLOOKUP('Données projet'!$B$12,Paramètres!$A$1:$I$89,5,0)</f>
        <v>130.66300000000001</v>
      </c>
      <c r="CA38" s="13">
        <f t="shared" si="39"/>
        <v>34.149513779485744</v>
      </c>
      <c r="CB38" s="20">
        <f t="shared" si="10"/>
        <v>287.04846149927101</v>
      </c>
      <c r="CC38" s="59">
        <f t="shared" si="11"/>
        <v>580.38179483260433</v>
      </c>
      <c r="CD38" s="59">
        <f ca="1">AVERAGE(OFFSET($CC$3,0,0,'Données projet'!$E$12+1,1))-AVERAGE(OFFSET($H$3,0,0,'Données projet'!$E$12+1,1))</f>
        <v>270.30888762640245</v>
      </c>
      <c r="CE38" s="59">
        <f t="shared" si="40"/>
        <v>202.23783851977691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1.9399432231048859</v>
      </c>
      <c r="CL38" s="21">
        <f>EXP(-LN(2)/25)*CL37+(1-EXP(-LN(2)/25))/(LN(2)/25)*Calculateur!CG38*Calculateur!CI38*VLOOKUP('Données projet'!$B$12,Paramètres!$A$1:$I$89,3,0)*0.475*44/12</f>
        <v>10.70360040018728</v>
      </c>
      <c r="CM38" s="21">
        <f>EXP(-LN(2)/2)*CM37+(1-EXP(-LN(2)/2))/(LN(2)/2)*CG38*CJ38*VLOOKUP('Données projet'!$B$12,Paramètres!$A$1:$I$89,3,0)*0.475*44/12</f>
        <v>3.2690622333290671</v>
      </c>
      <c r="CN38" s="22">
        <f t="shared" si="12"/>
        <v>15.912605856621234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16.131410256410259</v>
      </c>
      <c r="CT38" s="12">
        <f>IF('Données projet'!$A$140&gt;35,CT37+CS38-DB37,IF(A38&lt;'Données projet'!$A$140,$CQ$205^A38,IF(A38='Données projet'!$A$140,'Données projet'!$B$140,CT37+CS38-DB37)))</f>
        <v>297.44935897435897</v>
      </c>
      <c r="CU38" s="17">
        <f>CT38*VLOOKUP('Données projet'!$B$13,Paramètres!$A$1:$I$89,3,0)*VLOOKUP('Données projet'!$B$13,Paramètres!$A$1:$I$89,5,0)</f>
        <v>139.2063</v>
      </c>
      <c r="CV38" s="13">
        <f t="shared" si="41"/>
        <v>36.115119849784641</v>
      </c>
      <c r="CW38" s="20">
        <f t="shared" si="13"/>
        <v>305.35147290504159</v>
      </c>
      <c r="CX38" s="59">
        <f t="shared" si="14"/>
        <v>598.6848062383749</v>
      </c>
      <c r="CY38" s="59">
        <f ca="1">AVERAGE(OFFSET($CX$3,0,0,'Données projet'!$E$13+1,1))-AVERAGE(OFFSET($H$3,0,0,'Données projet'!$E$13+1,1))</f>
        <v>158.58786357608489</v>
      </c>
      <c r="CZ38" s="59">
        <f t="shared" si="42"/>
        <v>163.20074068819849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10.199999999999999</v>
      </c>
      <c r="DO38" s="12">
        <f>IF('Données projet'!$A$166&gt;35,DO37+DN38-DW37,IF(A38&lt;'Données projet'!$A$166,$DL$205^A38,IF(A38='Données projet'!$A$166,'Données projet'!$B$166,DO37+DN38-DW37)))</f>
        <v>168.99999999999991</v>
      </c>
      <c r="DP38" s="17">
        <f>DO38*VLOOKUP('Données projet'!$B$14,Paramètres!$A$1:$I$89,3,0)*VLOOKUP('Données projet'!$B$14,Paramètres!$A$1:$I$89,5,0)</f>
        <v>113.36519999999994</v>
      </c>
      <c r="DQ38" s="13">
        <f t="shared" si="43"/>
        <v>30.122456058687586</v>
      </c>
      <c r="DR38" s="20">
        <f t="shared" si="16"/>
        <v>249.90766763554743</v>
      </c>
      <c r="DS38" s="59">
        <f t="shared" si="17"/>
        <v>543.24100096888071</v>
      </c>
      <c r="DT38" s="59">
        <f ca="1">AVERAGE(OFFSET($DS$3,0,0,'Données projet'!$E$14+1,1))-AVERAGE(OFFSET($H$3,0,0,'Données projet'!$E$14+1,1))</f>
        <v>156.63226020379989</v>
      </c>
      <c r="DU38" s="59">
        <f t="shared" si="44"/>
        <v>196.0481096619543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7.5476390428570932</v>
      </c>
      <c r="EC38" s="21">
        <f>EXP(-LN(2)/2)*EC37+(1-EXP(-LN(2)/2))/(LN(2)/2)*DW38*DZ38*VLOOKUP('Données projet'!$B$14,Paramètres!$A$1:$I$89,3,0)*0.475*44/12</f>
        <v>1.6039781832705082</v>
      </c>
      <c r="ED38" s="22">
        <f t="shared" si="18"/>
        <v>9.1516172261276019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5.3369963369963358</v>
      </c>
      <c r="EJ38" s="12">
        <f>IF('Données projet'!$A$192&gt;35,EJ37+EI38-ER37,IF(A38&lt;'Données projet'!$A$192,$EG$205^A38,IF(A38='Données projet'!$A$192,'Données projet'!$B$192,EJ37+EI38-ER37)))</f>
        <v>114.39010989010988</v>
      </c>
      <c r="EK38" s="17">
        <f>EJ38*VLOOKUP('Données projet'!$B$15,Paramètres!$A$1:$I$89,3,0)*VLOOKUP('Données projet'!$B$15,Paramètres!$A$1:$I$89,5,0)</f>
        <v>123.12951428571428</v>
      </c>
      <c r="EL38" s="13">
        <f t="shared" si="45"/>
        <v>32.40380984999895</v>
      </c>
      <c r="EM38" s="20">
        <f t="shared" si="19"/>
        <v>270.88720620303383</v>
      </c>
      <c r="EN38" s="59">
        <f t="shared" si="20"/>
        <v>564.22053953636714</v>
      </c>
      <c r="EO38" s="59">
        <f ca="1">AVERAGE(OFFSET($EN$3,0,0,'Données projet'!$E$15+1,1))-AVERAGE(OFFSET($H$3,0,0,'Données projet'!$E$15+1,1))</f>
        <v>211.18501783767226</v>
      </c>
      <c r="EP38" s="59">
        <f t="shared" si="46"/>
        <v>147.98306963466246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10.7</v>
      </c>
      <c r="FE38" s="12">
        <f>IF('Données projet'!$A$218&gt;35,FE37+FD38-FM37,IF(A38&lt;'Données projet'!$A$218,$FB$205^A38,IF(A38='Données projet'!$A$218,'Données projet'!$B$218,FE37+FD38-FM37)))</f>
        <v>155.5</v>
      </c>
      <c r="FF38" s="17">
        <f>FE38*VLOOKUP('Données projet'!$B$16,Paramètres!$A$1:$I$89,3,0)*VLOOKUP('Données projet'!$B$16,Paramètres!$A$1:$I$89,5,0)</f>
        <v>92.989000000000004</v>
      </c>
      <c r="FG38" s="13">
        <f t="shared" si="47"/>
        <v>25.284723373727264</v>
      </c>
      <c r="FH38" s="20">
        <f t="shared" si="22"/>
        <v>205.99340154257496</v>
      </c>
      <c r="FI38" s="59">
        <f t="shared" si="23"/>
        <v>499.3267348759083</v>
      </c>
      <c r="FJ38" s="59">
        <f ca="1">AVERAGE(OFFSET($FI$3,0,0,'Données projet'!$E$16+1,1))-AVERAGE(OFFSET($H$3,0,0,'Données projet'!$E$16+1,1))</f>
        <v>232.26937455765062</v>
      </c>
      <c r="FK38" s="59">
        <f t="shared" si="48"/>
        <v>115.80853281120301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2.0046079972083821</v>
      </c>
      <c r="FR38" s="21">
        <f>EXP(-LN(2)/25)*FR37+(1-EXP(-LN(2)/25))/(LN(2)/25)*Calculateur!FM38*Calculateur!FO38*VLOOKUP('Données projet'!$B$16,Paramètres!$A$1:$I$89,3,0)*0.475*44/12</f>
        <v>3.8383483095604598</v>
      </c>
      <c r="FS38" s="21">
        <f>EXP(-LN(2)/2)*FS37+(1-EXP(-LN(2)/2))/(LN(2)/2)*FM38*FP38*VLOOKUP('Données projet'!$B$16,Paramètres!$A$1:$I$89,3,0)*0.475*44/12</f>
        <v>1.4841692153146153</v>
      </c>
      <c r="FT38" s="22">
        <f t="shared" si="24"/>
        <v>7.3271255220834579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10.199999999999999</v>
      </c>
      <c r="FZ38" s="12">
        <f>IF('Données projet'!$A$244&gt;35,FZ37+FY38-GH37,IF(A38&lt;'Données projet'!$A$244,$FW$205^A38,IF(A38='Données projet'!$A$244,'Données projet'!$B$244,FZ37+FY38-GH37)))</f>
        <v>168.99999999999991</v>
      </c>
      <c r="GA38" s="17">
        <f>FZ38*VLOOKUP('Données projet'!$B$17,Paramètres!$A$1:$I$89,3,0)*VLOOKUP('Données projet'!$B$17,Paramètres!$A$1:$I$89,5,0)</f>
        <v>134.45639999999995</v>
      </c>
      <c r="GB38" s="13">
        <f t="shared" si="49"/>
        <v>35.024073835162383</v>
      </c>
      <c r="GC38" s="20">
        <f t="shared" si="25"/>
        <v>295.17849192957436</v>
      </c>
      <c r="GD38" s="59">
        <f t="shared" si="26"/>
        <v>588.51182526290768</v>
      </c>
      <c r="GE38" s="59">
        <f ca="1">AVERAGE(OFFSET($GD$3,0,0,'Données projet'!$E$17+1,1))-AVERAGE(OFFSET($H$3,0,0,'Données projet'!$E$17+1,1))</f>
        <v>199.58763537752952</v>
      </c>
      <c r="GF38" s="59">
        <f t="shared" si="50"/>
        <v>242.62852778451929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8.9518509578072489</v>
      </c>
      <c r="GN38" s="21">
        <f>EXP(-LN(2)/2)*GN37+(1-EXP(-LN(2)/2))/(LN(2)/2)*GH38*GK38*VLOOKUP('Données projet'!$B$17,Paramètres!$A$1:$I$89,3,0)*0.475*44/12</f>
        <v>1.902392728995254</v>
      </c>
      <c r="GO38" s="21">
        <f t="shared" si="27"/>
        <v>10.854243686802503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5.3369963369963358</v>
      </c>
      <c r="N39" s="13">
        <f>IF('Données projet'!$A$36&gt;35,N38+M39-V38,IF(A39&lt;'Données projet'!$A$36,$K$205^A39,IF(A39='Données projet'!$A$36,'Données projet'!$B$36,N38+M39-V38)))</f>
        <v>119.72710622710622</v>
      </c>
      <c r="O39" s="13">
        <f>N39*VLOOKUP('Données projet'!$B$9,Paramètres!$A$1:$I$89,3,0)*VLOOKUP('Données projet'!$B$9,Paramètres!$A$1:$I$89,5,0)</f>
        <v>108.32908571428571</v>
      </c>
      <c r="P39" s="13">
        <f t="shared" si="33"/>
        <v>28.936954111534238</v>
      </c>
      <c r="Q39" s="20">
        <f t="shared" si="53"/>
        <v>239.07168602996975</v>
      </c>
      <c r="R39" s="59">
        <f t="shared" si="0"/>
        <v>532.40501936330304</v>
      </c>
      <c r="S39" s="59">
        <f ca="1">AVERAGE(OFFSET($R$3,0,0,'Données projet'!$E$9+1,1))-AVERAGE(OFFSET($H$3,0,0,'Données projet'!$E$9+1,1))</f>
        <v>153.45079678708987</v>
      </c>
      <c r="T39" s="59">
        <f t="shared" si="34"/>
        <v>115.4217868409637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121.40328571428572</v>
      </c>
      <c r="AK39" s="13">
        <f t="shared" si="35"/>
        <v>32.002070852076919</v>
      </c>
      <c r="AL39" s="20">
        <f t="shared" si="4"/>
        <v>267.18099601974819</v>
      </c>
      <c r="AM39" s="59">
        <f t="shared" si="5"/>
        <v>560.51432935308151</v>
      </c>
      <c r="AN39" s="59">
        <f ca="1">AVERAGE(OFFSET($AM$3,0,0,'Données projet'!$E$10+1,1))-AVERAGE(OFFSET($H$3,0,0,'Données projet'!$E$10+1,1))</f>
        <v>190.21499310415584</v>
      </c>
      <c r="AO39" s="59">
        <f t="shared" si="36"/>
        <v>136.15730566500173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15.7</v>
      </c>
      <c r="BD39" s="12">
        <f>IF('Données projet'!$A$88&gt;35,BD38+BC39-BL38,IF(A39&lt;'Données projet'!$A$88,$BA$205^A39,IF(A39='Données projet'!$A$88,'Données projet'!$B$88,BD38+BC39-BL38)))</f>
        <v>234.2</v>
      </c>
      <c r="BE39" s="13">
        <f>BD39*VLOOKUP('Données projet'!$B$11,Paramètres!$A$1:$I$89,3,0)*VLOOKUP('Données projet'!$B$11,Paramètres!$A$1:$I$89,5,0)</f>
        <v>140.05160000000001</v>
      </c>
      <c r="BF39" s="13">
        <f t="shared" si="37"/>
        <v>36.308826076884721</v>
      </c>
      <c r="BG39" s="20">
        <f t="shared" si="7"/>
        <v>307.16107541724091</v>
      </c>
      <c r="BH39" s="59">
        <f t="shared" si="8"/>
        <v>600.49440875057417</v>
      </c>
      <c r="BI39" s="59">
        <f ca="1">AVERAGE(OFFSET($BH$3,0,0,'Données projet'!$E$11+1,1))-AVERAGE(OFFSET($H$3,0,0,'Données projet'!$E$11+1,1))</f>
        <v>270.30888762640245</v>
      </c>
      <c r="BJ39" s="59">
        <f t="shared" si="38"/>
        <v>202.23783851977691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1.901902119748329</v>
      </c>
      <c r="BQ39" s="21">
        <f>EXP(-LN(2)/25)*BQ38+(1-EXP(-LN(2)/25))/(LN(2)/25)*Calculateur!BL39*Calculateur!BN39*VLOOKUP('Données projet'!$B$11,Paramètres!$A$1:$I$89,3,0)*0.475*44/12</f>
        <v>10.410909884366278</v>
      </c>
      <c r="BR39" s="21">
        <f>EXP(-LN(2)/2)*BR38+(1-EXP(-LN(2)/2))/(LN(2)/2)*BL39*BO39*VLOOKUP('Données projet'!$B$11,Paramètres!$A$1:$I$89,3,0)*0.475*44/12</f>
        <v>2.311576073307823</v>
      </c>
      <c r="BS39" s="22">
        <f t="shared" si="9"/>
        <v>14.624388077422429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15.7</v>
      </c>
      <c r="BY39" s="12">
        <f>IF('Données projet'!$A$114&gt;35,BY38+BX39-CG38,IF(A39&lt;'Données projet'!$A$114,$BV$205^A39,IF(A39='Données projet'!$A$114,'Données projet'!$B$114,BY38+BX39-CG38)))</f>
        <v>234.2</v>
      </c>
      <c r="BZ39" s="13">
        <f>BY39*VLOOKUP('Données projet'!$B$12,Paramètres!$A$1:$I$89,3,0)*VLOOKUP('Données projet'!$B$12,Paramètres!$A$1:$I$89,5,0)</f>
        <v>140.05160000000001</v>
      </c>
      <c r="CA39" s="13">
        <f t="shared" si="39"/>
        <v>36.308826076884721</v>
      </c>
      <c r="CB39" s="20">
        <f t="shared" si="10"/>
        <v>307.16107541724091</v>
      </c>
      <c r="CC39" s="59">
        <f t="shared" si="11"/>
        <v>600.49440875057417</v>
      </c>
      <c r="CD39" s="59">
        <f ca="1">AVERAGE(OFFSET($CC$3,0,0,'Données projet'!$E$12+1,1))-AVERAGE(OFFSET($H$3,0,0,'Données projet'!$E$12+1,1))</f>
        <v>270.30888762640245</v>
      </c>
      <c r="CE39" s="59">
        <f t="shared" si="40"/>
        <v>202.23783851977691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1.901902119748329</v>
      </c>
      <c r="CL39" s="21">
        <f>EXP(-LN(2)/25)*CL38+(1-EXP(-LN(2)/25))/(LN(2)/25)*Calculateur!CG39*Calculateur!CI39*VLOOKUP('Données projet'!$B$12,Paramètres!$A$1:$I$89,3,0)*0.475*44/12</f>
        <v>10.410909884366278</v>
      </c>
      <c r="CM39" s="21">
        <f>EXP(-LN(2)/2)*CM38+(1-EXP(-LN(2)/2))/(LN(2)/2)*CG39*CJ39*VLOOKUP('Données projet'!$B$12,Paramètres!$A$1:$I$89,3,0)*0.475*44/12</f>
        <v>2.311576073307823</v>
      </c>
      <c r="CN39" s="22">
        <f t="shared" si="12"/>
        <v>14.624388077422429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16.131410256410259</v>
      </c>
      <c r="CT39" s="12">
        <f>IF('Données projet'!$A$140&gt;35,CT38+CS39-DB38,IF(A39&lt;'Données projet'!$A$140,$CQ$205^A39,IF(A39='Données projet'!$A$140,'Données projet'!$B$140,CT38+CS39-DB38)))</f>
        <v>313.58076923076925</v>
      </c>
      <c r="CU39" s="17">
        <f>CT39*VLOOKUP('Données projet'!$B$13,Paramètres!$A$1:$I$89,3,0)*VLOOKUP('Données projet'!$B$13,Paramètres!$A$1:$I$89,5,0)</f>
        <v>146.75580000000002</v>
      </c>
      <c r="CV39" s="13">
        <f t="shared" si="41"/>
        <v>37.840393952855997</v>
      </c>
      <c r="CW39" s="20">
        <f t="shared" si="13"/>
        <v>321.5050378012242</v>
      </c>
      <c r="CX39" s="59">
        <f t="shared" si="14"/>
        <v>614.83837113455752</v>
      </c>
      <c r="CY39" s="59">
        <f ca="1">AVERAGE(OFFSET($CX$3,0,0,'Données projet'!$E$13+1,1))-AVERAGE(OFFSET($H$3,0,0,'Données projet'!$E$13+1,1))</f>
        <v>158.58786357608489</v>
      </c>
      <c r="CZ39" s="59">
        <f t="shared" si="42"/>
        <v>163.20074068819849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10.199999999999999</v>
      </c>
      <c r="DO39" s="12">
        <f>IF('Données projet'!$A$166&gt;35,DO38+DN39-DW38,IF(A39&lt;'Données projet'!$A$166,$DL$205^A39,IF(A39='Données projet'!$A$166,'Données projet'!$B$166,DO38+DN39-DW38)))</f>
        <v>179.1999999999999</v>
      </c>
      <c r="DP39" s="17">
        <f>DO39*VLOOKUP('Données projet'!$B$14,Paramètres!$A$1:$I$89,3,0)*VLOOKUP('Données projet'!$B$14,Paramètres!$A$1:$I$89,5,0)</f>
        <v>120.20735999999994</v>
      </c>
      <c r="DQ39" s="13">
        <f t="shared" si="43"/>
        <v>31.72335774813088</v>
      </c>
      <c r="DR39" s="20">
        <f t="shared" si="16"/>
        <v>264.61266674466111</v>
      </c>
      <c r="DS39" s="59">
        <f t="shared" si="17"/>
        <v>557.94600007799443</v>
      </c>
      <c r="DT39" s="59">
        <f ca="1">AVERAGE(OFFSET($DS$3,0,0,'Données projet'!$E$14+1,1))-AVERAGE(OFFSET($H$3,0,0,'Données projet'!$E$14+1,1))</f>
        <v>156.63226020379989</v>
      </c>
      <c r="DU39" s="59">
        <f t="shared" si="44"/>
        <v>196.0481096619543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7.3412484563170795</v>
      </c>
      <c r="EC39" s="21">
        <f>EXP(-LN(2)/2)*EC38+(1-EXP(-LN(2)/2))/(LN(2)/2)*DW39*DZ39*VLOOKUP('Données projet'!$B$14,Paramètres!$A$1:$I$89,3,0)*0.475*44/12</f>
        <v>1.1341838502658554</v>
      </c>
      <c r="ED39" s="22">
        <f t="shared" si="18"/>
        <v>8.4754323065829347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5.3369963369963358</v>
      </c>
      <c r="EJ39" s="12">
        <f>IF('Données projet'!$A$192&gt;35,EJ38+EI39-ER38,IF(A39&lt;'Données projet'!$A$192,$EG$205^A39,IF(A39='Données projet'!$A$192,'Données projet'!$B$192,EJ38+EI39-ER38)))</f>
        <v>119.72710622710622</v>
      </c>
      <c r="EK39" s="17">
        <f>EJ39*VLOOKUP('Données projet'!$B$15,Paramètres!$A$1:$I$89,3,0)*VLOOKUP('Données projet'!$B$15,Paramètres!$A$1:$I$89,5,0)</f>
        <v>128.87425714285712</v>
      </c>
      <c r="EL39" s="13">
        <f t="shared" si="45"/>
        <v>33.736101686238115</v>
      </c>
      <c r="EM39" s="20">
        <f t="shared" si="19"/>
        <v>283.21304162734083</v>
      </c>
      <c r="EN39" s="59">
        <f t="shared" si="20"/>
        <v>576.54637496067414</v>
      </c>
      <c r="EO39" s="59">
        <f ca="1">AVERAGE(OFFSET($EN$3,0,0,'Données projet'!$E$15+1,1))-AVERAGE(OFFSET($H$3,0,0,'Données projet'!$E$15+1,1))</f>
        <v>211.18501783767226</v>
      </c>
      <c r="EP39" s="59">
        <f t="shared" si="46"/>
        <v>147.98306963466246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10.7</v>
      </c>
      <c r="FE39" s="12">
        <f>IF('Données projet'!$A$218&gt;35,FE38+FD39-FM38,IF(A39&lt;'Données projet'!$A$218,$FB$205^A39,IF(A39='Données projet'!$A$218,'Données projet'!$B$218,FE38+FD39-FM38)))</f>
        <v>166.2</v>
      </c>
      <c r="FF39" s="17">
        <f>FE39*VLOOKUP('Données projet'!$B$16,Paramètres!$A$1:$I$89,3,0)*VLOOKUP('Données projet'!$B$16,Paramètres!$A$1:$I$89,5,0)</f>
        <v>99.387600000000006</v>
      </c>
      <c r="FG39" s="13">
        <f t="shared" si="47"/>
        <v>26.816049574516668</v>
      </c>
      <c r="FH39" s="20">
        <f t="shared" si="22"/>
        <v>219.80468967561652</v>
      </c>
      <c r="FI39" s="59">
        <f t="shared" si="23"/>
        <v>513.13802300894986</v>
      </c>
      <c r="FJ39" s="59">
        <f ca="1">AVERAGE(OFFSET($FI$3,0,0,'Données projet'!$E$16+1,1))-AVERAGE(OFFSET($H$3,0,0,'Données projet'!$E$16+1,1))</f>
        <v>232.26937455765062</v>
      </c>
      <c r="FK39" s="59">
        <f t="shared" si="48"/>
        <v>115.80853281120301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1.9652988570732735</v>
      </c>
      <c r="FR39" s="21">
        <f>EXP(-LN(2)/25)*FR38+(1-EXP(-LN(2)/25))/(LN(2)/25)*Calculateur!FM39*Calculateur!FO39*VLOOKUP('Données projet'!$B$16,Paramètres!$A$1:$I$89,3,0)*0.475*44/12</f>
        <v>3.7333884731855642</v>
      </c>
      <c r="FS39" s="21">
        <f>EXP(-LN(2)/2)*FS38+(1-EXP(-LN(2)/2))/(LN(2)/2)*FM39*FP39*VLOOKUP('Données projet'!$B$16,Paramètres!$A$1:$I$89,3,0)*0.475*44/12</f>
        <v>1.0494661165772816</v>
      </c>
      <c r="FT39" s="22">
        <f t="shared" si="24"/>
        <v>6.7481534468361195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10.199999999999999</v>
      </c>
      <c r="FZ39" s="12">
        <f>IF('Données projet'!$A$244&gt;35,FZ38+FY39-GH38,IF(A39&lt;'Données projet'!$A$244,$FW$205^A39,IF(A39='Données projet'!$A$244,'Données projet'!$B$244,FZ38+FY39-GH38)))</f>
        <v>179.1999999999999</v>
      </c>
      <c r="GA39" s="17">
        <f>FZ39*VLOOKUP('Données projet'!$B$17,Paramètres!$A$1:$I$89,3,0)*VLOOKUP('Données projet'!$B$17,Paramètres!$A$1:$I$89,5,0)</f>
        <v>142.57151999999994</v>
      </c>
      <c r="GB39" s="13">
        <f t="shared" si="49"/>
        <v>36.88547912245555</v>
      </c>
      <c r="GC39" s="20">
        <f t="shared" si="25"/>
        <v>312.55427347160997</v>
      </c>
      <c r="GD39" s="59">
        <f t="shared" si="26"/>
        <v>605.88760680494329</v>
      </c>
      <c r="GE39" s="59">
        <f ca="1">AVERAGE(OFFSET($GD$3,0,0,'Données projet'!$E$17+1,1))-AVERAGE(OFFSET($H$3,0,0,'Données projet'!$E$17+1,1))</f>
        <v>199.58763537752952</v>
      </c>
      <c r="GF39" s="59">
        <f t="shared" si="50"/>
        <v>242.62852778451929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8.7070621226086278</v>
      </c>
      <c r="GN39" s="21">
        <f>EXP(-LN(2)/2)*GN38+(1-EXP(-LN(2)/2))/(LN(2)/2)*GH39*GK39*VLOOKUP('Données projet'!$B$17,Paramètres!$A$1:$I$89,3,0)*0.475*44/12</f>
        <v>1.3451947991525262</v>
      </c>
      <c r="GO39" s="21">
        <f t="shared" si="27"/>
        <v>10.052256921761154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5.3369963369963358</v>
      </c>
      <c r="N40" s="13">
        <f>IF('Données projet'!$A$36&gt;35,N39+M40-V39,IF(A40&lt;'Données projet'!$A$36,$K$205^A40,IF(A40='Données projet'!$A$36,'Données projet'!$B$36,N39+M40-V39)))</f>
        <v>125.06410256410255</v>
      </c>
      <c r="O40" s="13">
        <f>N40*VLOOKUP('Données projet'!$B$9,Paramètres!$A$1:$I$89,3,0)*VLOOKUP('Données projet'!$B$9,Paramètres!$A$1:$I$89,5,0)</f>
        <v>113.15799999999999</v>
      </c>
      <c r="P40" s="13">
        <f t="shared" si="33"/>
        <v>30.073803878601733</v>
      </c>
      <c r="Q40" s="20">
        <f t="shared" si="53"/>
        <v>249.46205842189795</v>
      </c>
      <c r="R40" s="59">
        <f t="shared" si="0"/>
        <v>542.79539175523132</v>
      </c>
      <c r="S40" s="59">
        <f ca="1">AVERAGE(OFFSET($R$3,0,0,'Données projet'!$E$9+1,1))-AVERAGE(OFFSET($H$3,0,0,'Données projet'!$E$9+1,1))</f>
        <v>153.45079678708987</v>
      </c>
      <c r="T40" s="59">
        <f t="shared" si="34"/>
        <v>115.4217868409637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126.81499999999998</v>
      </c>
      <c r="AK40" s="13">
        <f t="shared" si="35"/>
        <v>33.259340247246584</v>
      </c>
      <c r="AL40" s="20">
        <f t="shared" si="4"/>
        <v>278.79614259728777</v>
      </c>
      <c r="AM40" s="59">
        <f t="shared" si="5"/>
        <v>572.12947593062108</v>
      </c>
      <c r="AN40" s="59">
        <f ca="1">AVERAGE(OFFSET($AM$3,0,0,'Données projet'!$E$10+1,1))-AVERAGE(OFFSET($H$3,0,0,'Données projet'!$E$10+1,1))</f>
        <v>190.21499310415584</v>
      </c>
      <c r="AO40" s="59">
        <f t="shared" si="36"/>
        <v>136.15730566500173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15.7</v>
      </c>
      <c r="BD40" s="12">
        <f>IF('Données projet'!$A$88&gt;35,BD39+BC40-BL39,IF(A40&lt;'Données projet'!$A$88,$BA$205^A40,IF(A40='Données projet'!$A$88,'Données projet'!$B$88,BD39+BC40-BL39)))</f>
        <v>249.89999999999998</v>
      </c>
      <c r="BE40" s="13">
        <f>BD40*VLOOKUP('Données projet'!$B$11,Paramètres!$A$1:$I$89,3,0)*VLOOKUP('Données projet'!$B$11,Paramètres!$A$1:$I$89,5,0)</f>
        <v>149.4402</v>
      </c>
      <c r="BF40" s="13">
        <f t="shared" si="37"/>
        <v>38.451341391894722</v>
      </c>
      <c r="BG40" s="20">
        <f t="shared" si="7"/>
        <v>327.24443459088332</v>
      </c>
      <c r="BH40" s="59">
        <f t="shared" si="8"/>
        <v>620.57776792421669</v>
      </c>
      <c r="BI40" s="59">
        <f ca="1">AVERAGE(OFFSET($BH$3,0,0,'Données projet'!$E$11+1,1))-AVERAGE(OFFSET($H$3,0,0,'Données projet'!$E$11+1,1))</f>
        <v>270.30888762640245</v>
      </c>
      <c r="BJ40" s="59">
        <f t="shared" si="38"/>
        <v>202.23783851977691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1.8646069792258124</v>
      </c>
      <c r="BQ40" s="21">
        <f>EXP(-LN(2)/25)*BQ39+(1-EXP(-LN(2)/25))/(LN(2)/25)*Calculateur!BL40*Calculateur!BN40*VLOOKUP('Données projet'!$B$11,Paramètres!$A$1:$I$89,3,0)*0.475*44/12</f>
        <v>10.126223006092326</v>
      </c>
      <c r="BR40" s="21">
        <f>EXP(-LN(2)/2)*BR39+(1-EXP(-LN(2)/2))/(LN(2)/2)*BL40*BO40*VLOOKUP('Données projet'!$B$11,Paramètres!$A$1:$I$89,3,0)*0.475*44/12</f>
        <v>1.6345311166645335</v>
      </c>
      <c r="BS40" s="22">
        <f t="shared" si="9"/>
        <v>13.625361101982671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15.7</v>
      </c>
      <c r="BY40" s="12">
        <f>IF('Données projet'!$A$114&gt;35,BY39+BX40-CG39,IF(A40&lt;'Données projet'!$A$114,$BV$205^A40,IF(A40='Données projet'!$A$114,'Données projet'!$B$114,BY39+BX40-CG39)))</f>
        <v>249.89999999999998</v>
      </c>
      <c r="BZ40" s="13">
        <f>BY40*VLOOKUP('Données projet'!$B$12,Paramètres!$A$1:$I$89,3,0)*VLOOKUP('Données projet'!$B$12,Paramètres!$A$1:$I$89,5,0)</f>
        <v>149.4402</v>
      </c>
      <c r="CA40" s="13">
        <f t="shared" si="39"/>
        <v>38.451341391894722</v>
      </c>
      <c r="CB40" s="20">
        <f t="shared" si="10"/>
        <v>327.24443459088332</v>
      </c>
      <c r="CC40" s="59">
        <f t="shared" si="11"/>
        <v>620.57776792421669</v>
      </c>
      <c r="CD40" s="59">
        <f ca="1">AVERAGE(OFFSET($CC$3,0,0,'Données projet'!$E$12+1,1))-AVERAGE(OFFSET($H$3,0,0,'Données projet'!$E$12+1,1))</f>
        <v>270.30888762640245</v>
      </c>
      <c r="CE40" s="59">
        <f t="shared" si="40"/>
        <v>202.23783851977691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1.8646069792258124</v>
      </c>
      <c r="CL40" s="21">
        <f>EXP(-LN(2)/25)*CL39+(1-EXP(-LN(2)/25))/(LN(2)/25)*Calculateur!CG40*Calculateur!CI40*VLOOKUP('Données projet'!$B$12,Paramètres!$A$1:$I$89,3,0)*0.475*44/12</f>
        <v>10.126223006092326</v>
      </c>
      <c r="CM40" s="21">
        <f>EXP(-LN(2)/2)*CM39+(1-EXP(-LN(2)/2))/(LN(2)/2)*CG40*CJ40*VLOOKUP('Données projet'!$B$12,Paramètres!$A$1:$I$89,3,0)*0.475*44/12</f>
        <v>1.6345311166645335</v>
      </c>
      <c r="CN40" s="22">
        <f t="shared" si="12"/>
        <v>13.625361101982671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16.131410256410259</v>
      </c>
      <c r="CT40" s="12">
        <f>IF('Données projet'!$A$140&gt;35,CT39+CS40-DB39,IF(A40&lt;'Données projet'!$A$140,$CQ$205^A40,IF(A40='Données projet'!$A$140,'Données projet'!$B$140,CT39+CS40-DB39)))</f>
        <v>329.71217948717953</v>
      </c>
      <c r="CU40" s="17">
        <f>CT40*VLOOKUP('Données projet'!$B$13,Paramètres!$A$1:$I$89,3,0)*VLOOKUP('Données projet'!$B$13,Paramètres!$A$1:$I$89,5,0)</f>
        <v>154.30530000000002</v>
      </c>
      <c r="CV40" s="13">
        <f t="shared" si="41"/>
        <v>39.555363325024224</v>
      </c>
      <c r="CW40" s="20">
        <f t="shared" si="13"/>
        <v>337.64065529108387</v>
      </c>
      <c r="CX40" s="59">
        <f t="shared" si="14"/>
        <v>630.97398862441719</v>
      </c>
      <c r="CY40" s="59">
        <f ca="1">AVERAGE(OFFSET($CX$3,0,0,'Données projet'!$E$13+1,1))-AVERAGE(OFFSET($H$3,0,0,'Données projet'!$E$13+1,1))</f>
        <v>158.58786357608489</v>
      </c>
      <c r="CZ40" s="59">
        <f t="shared" si="42"/>
        <v>163.20074068819849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10.199999999999999</v>
      </c>
      <c r="DO40" s="12">
        <f>IF('Données projet'!$A$166&gt;35,DO39+DN40-DW39,IF(A40&lt;'Données projet'!$A$166,$DL$205^A40,IF(A40='Données projet'!$A$166,'Données projet'!$B$166,DO39+DN40-DW39)))</f>
        <v>189.39999999999989</v>
      </c>
      <c r="DP40" s="17">
        <f>DO40*VLOOKUP('Données projet'!$B$14,Paramètres!$A$1:$I$89,3,0)*VLOOKUP('Données projet'!$B$14,Paramètres!$A$1:$I$89,5,0)</f>
        <v>127.04951999999993</v>
      </c>
      <c r="DQ40" s="13">
        <f t="shared" si="43"/>
        <v>33.313681779925446</v>
      </c>
      <c r="DR40" s="20">
        <f t="shared" si="16"/>
        <v>279.29924310003668</v>
      </c>
      <c r="DS40" s="59">
        <f t="shared" si="17"/>
        <v>572.63257643336999</v>
      </c>
      <c r="DT40" s="59">
        <f ca="1">AVERAGE(OFFSET($DS$3,0,0,'Données projet'!$E$14+1,1))-AVERAGE(OFFSET($H$3,0,0,'Données projet'!$E$14+1,1))</f>
        <v>156.63226020379989</v>
      </c>
      <c r="DU40" s="59">
        <f t="shared" si="44"/>
        <v>196.0481096619543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7.1405016312196112</v>
      </c>
      <c r="EC40" s="21">
        <f>EXP(-LN(2)/2)*EC39+(1-EXP(-LN(2)/2))/(LN(2)/2)*DW40*DZ40*VLOOKUP('Données projet'!$B$14,Paramètres!$A$1:$I$89,3,0)*0.475*44/12</f>
        <v>0.80198909163525423</v>
      </c>
      <c r="ED40" s="22">
        <f t="shared" si="18"/>
        <v>7.9424907228548651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5.3369963369963358</v>
      </c>
      <c r="EJ40" s="12">
        <f>IF('Données projet'!$A$192&gt;35,EJ39+EI40-ER39,IF(A40&lt;'Données projet'!$A$192,$EG$205^A40,IF(A40='Données projet'!$A$192,'Données projet'!$B$192,EJ39+EI40-ER39)))</f>
        <v>125.06410256410255</v>
      </c>
      <c r="EK40" s="17">
        <f>EJ40*VLOOKUP('Données projet'!$B$15,Paramètres!$A$1:$I$89,3,0)*VLOOKUP('Données projet'!$B$15,Paramètres!$A$1:$I$89,5,0)</f>
        <v>134.61899999999997</v>
      </c>
      <c r="EL40" s="13">
        <f t="shared" si="45"/>
        <v>35.06149616956688</v>
      </c>
      <c r="EM40" s="20">
        <f t="shared" si="19"/>
        <v>295.52686416199555</v>
      </c>
      <c r="EN40" s="59">
        <f t="shared" si="20"/>
        <v>588.86019749532886</v>
      </c>
      <c r="EO40" s="59">
        <f ca="1">AVERAGE(OFFSET($EN$3,0,0,'Données projet'!$E$15+1,1))-AVERAGE(OFFSET($H$3,0,0,'Données projet'!$E$15+1,1))</f>
        <v>211.18501783767226</v>
      </c>
      <c r="EP40" s="59">
        <f t="shared" si="46"/>
        <v>147.98306963466246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10.7</v>
      </c>
      <c r="FE40" s="12">
        <f>IF('Données projet'!$A$218&gt;35,FE39+FD40-FM39,IF(A40&lt;'Données projet'!$A$218,$FB$205^A40,IF(A40='Données projet'!$A$218,'Données projet'!$B$218,FE39+FD40-FM39)))</f>
        <v>176.89999999999998</v>
      </c>
      <c r="FF40" s="17">
        <f>FE40*VLOOKUP('Données projet'!$B$16,Paramètres!$A$1:$I$89,3,0)*VLOOKUP('Données projet'!$B$16,Paramètres!$A$1:$I$89,5,0)</f>
        <v>105.78619999999999</v>
      </c>
      <c r="FG40" s="13">
        <f t="shared" si="47"/>
        <v>28.335934777169435</v>
      </c>
      <c r="FH40" s="20">
        <f t="shared" si="22"/>
        <v>233.59605140357007</v>
      </c>
      <c r="FI40" s="59">
        <f t="shared" si="23"/>
        <v>526.92938473690333</v>
      </c>
      <c r="FJ40" s="59">
        <f ca="1">AVERAGE(OFFSET($FI$3,0,0,'Données projet'!$E$16+1,1))-AVERAGE(OFFSET($H$3,0,0,'Données projet'!$E$16+1,1))</f>
        <v>232.26937455765062</v>
      </c>
      <c r="FK40" s="59">
        <f t="shared" si="48"/>
        <v>115.80853281120301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1.9267605452000063</v>
      </c>
      <c r="FR40" s="21">
        <f>EXP(-LN(2)/25)*FR39+(1-EXP(-LN(2)/25))/(LN(2)/25)*Calculateur!FM40*Calculateur!FO40*VLOOKUP('Données projet'!$B$16,Paramètres!$A$1:$I$89,3,0)*0.475*44/12</f>
        <v>3.6312987690559377</v>
      </c>
      <c r="FS40" s="21">
        <f>EXP(-LN(2)/2)*FS39+(1-EXP(-LN(2)/2))/(LN(2)/2)*FM40*FP40*VLOOKUP('Données projet'!$B$16,Paramètres!$A$1:$I$89,3,0)*0.475*44/12</f>
        <v>0.74208460765730766</v>
      </c>
      <c r="FT40" s="22">
        <f t="shared" si="24"/>
        <v>6.3001439219132518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10.199999999999999</v>
      </c>
      <c r="FZ40" s="12">
        <f>IF('Données projet'!$A$244&gt;35,FZ39+FY40-GH39,IF(A40&lt;'Données projet'!$A$244,$FW$205^A40,IF(A40='Données projet'!$A$244,'Données projet'!$B$244,FZ39+FY40-GH39)))</f>
        <v>189.39999999999989</v>
      </c>
      <c r="GA40" s="17">
        <f>FZ40*VLOOKUP('Données projet'!$B$17,Paramètres!$A$1:$I$89,3,0)*VLOOKUP('Données projet'!$B$17,Paramètres!$A$1:$I$89,5,0)</f>
        <v>150.68663999999993</v>
      </c>
      <c r="GB40" s="13">
        <f t="shared" si="49"/>
        <v>38.734585523437175</v>
      </c>
      <c r="GC40" s="20">
        <f t="shared" si="25"/>
        <v>329.90863445331962</v>
      </c>
      <c r="GD40" s="59">
        <f t="shared" si="26"/>
        <v>623.24196778665294</v>
      </c>
      <c r="GE40" s="59">
        <f ca="1">AVERAGE(OFFSET($GD$3,0,0,'Données projet'!$E$17+1,1))-AVERAGE(OFFSET($H$3,0,0,'Données projet'!$E$17+1,1))</f>
        <v>199.58763537752952</v>
      </c>
      <c r="GF40" s="59">
        <f t="shared" si="50"/>
        <v>242.62852778451929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8.4689670509813979</v>
      </c>
      <c r="GN40" s="21">
        <f>EXP(-LN(2)/2)*GN39+(1-EXP(-LN(2)/2))/(LN(2)/2)*GH40*GK40*VLOOKUP('Données projet'!$B$17,Paramètres!$A$1:$I$89,3,0)*0.475*44/12</f>
        <v>0.95119636449762712</v>
      </c>
      <c r="GO40" s="21">
        <f t="shared" si="27"/>
        <v>9.4201634154790241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5.3369963369963358</v>
      </c>
      <c r="N41" s="13">
        <f>IF('Données projet'!$A$36&gt;35,N40+M41-V40,IF(A41&lt;'Données projet'!$A$36,$K$205^A41,IF(A41='Données projet'!$A$36,'Données projet'!$B$36,N40+M41-V40)))</f>
        <v>130.40109890109889</v>
      </c>
      <c r="O41" s="13">
        <f>N41*VLOOKUP('Données projet'!$B$9,Paramètres!$A$1:$I$89,3,0)*VLOOKUP('Données projet'!$B$9,Paramètres!$A$1:$I$89,5,0)</f>
        <v>117.98691428571428</v>
      </c>
      <c r="P41" s="13">
        <f t="shared" si="33"/>
        <v>31.205018808985951</v>
      </c>
      <c r="Q41" s="20">
        <f t="shared" si="53"/>
        <v>259.8426168066029</v>
      </c>
      <c r="R41" s="59">
        <f t="shared" si="0"/>
        <v>553.17595013993628</v>
      </c>
      <c r="S41" s="59">
        <f ca="1">AVERAGE(OFFSET($R$3,0,0,'Données projet'!$E$9+1,1))-AVERAGE(OFFSET($H$3,0,0,'Données projet'!$E$9+1,1))</f>
        <v>153.45079678708987</v>
      </c>
      <c r="T41" s="59">
        <f t="shared" si="34"/>
        <v>115.4217868409637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132.22671428571428</v>
      </c>
      <c r="AK41" s="13">
        <f t="shared" si="35"/>
        <v>34.510377941523238</v>
      </c>
      <c r="AL41" s="20">
        <f t="shared" si="4"/>
        <v>290.4004356291054</v>
      </c>
      <c r="AM41" s="59">
        <f t="shared" si="5"/>
        <v>583.73376896243872</v>
      </c>
      <c r="AN41" s="59">
        <f ca="1">AVERAGE(OFFSET($AM$3,0,0,'Données projet'!$E$10+1,1))-AVERAGE(OFFSET($H$3,0,0,'Données projet'!$E$10+1,1))</f>
        <v>190.21499310415584</v>
      </c>
      <c r="AO41" s="59">
        <f t="shared" si="36"/>
        <v>136.15730566500173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15.7</v>
      </c>
      <c r="BD41" s="12">
        <f>IF('Données projet'!$A$88&gt;35,BD40+BC41-BL40,IF(A41&lt;'Données projet'!$A$88,$BA$205^A41,IF(A41='Données projet'!$A$88,'Données projet'!$B$88,BD40+BC41-BL40)))</f>
        <v>265.59999999999997</v>
      </c>
      <c r="BE41" s="13">
        <f>BD41*VLOOKUP('Données projet'!$B$11,Paramètres!$A$1:$I$89,3,0)*VLOOKUP('Données projet'!$B$11,Paramètres!$A$1:$I$89,5,0)</f>
        <v>158.8288</v>
      </c>
      <c r="BF41" s="13">
        <f t="shared" si="37"/>
        <v>40.578235128063156</v>
      </c>
      <c r="BG41" s="20">
        <f t="shared" si="7"/>
        <v>347.30058618137667</v>
      </c>
      <c r="BH41" s="59">
        <f t="shared" si="8"/>
        <v>640.63391951470999</v>
      </c>
      <c r="BI41" s="59">
        <f ca="1">AVERAGE(OFFSET($BH$3,0,0,'Données projet'!$E$11+1,1))-AVERAGE(OFFSET($H$3,0,0,'Données projet'!$E$11+1,1))</f>
        <v>270.30888762640245</v>
      </c>
      <c r="BJ41" s="59">
        <f t="shared" si="38"/>
        <v>202.23783851977691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1.8280431736611527</v>
      </c>
      <c r="BQ41" s="21">
        <f>EXP(-LN(2)/25)*BQ40+(1-EXP(-LN(2)/25))/(LN(2)/25)*Calculateur!BL41*Calculateur!BN41*VLOOKUP('Données projet'!$B$11,Paramètres!$A$1:$I$89,3,0)*0.475*44/12</f>
        <v>9.8493209054758069</v>
      </c>
      <c r="BR41" s="21">
        <f>EXP(-LN(2)/2)*BR40+(1-EXP(-LN(2)/2))/(LN(2)/2)*BL41*BO41*VLOOKUP('Données projet'!$B$11,Paramètres!$A$1:$I$89,3,0)*0.475*44/12</f>
        <v>1.1557880366539115</v>
      </c>
      <c r="BS41" s="22">
        <f t="shared" si="9"/>
        <v>12.83315211579087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15.7</v>
      </c>
      <c r="BY41" s="12">
        <f>IF('Données projet'!$A$114&gt;35,BY40+BX41-CG40,IF(A41&lt;'Données projet'!$A$114,$BV$205^A41,IF(A41='Données projet'!$A$114,'Données projet'!$B$114,BY40+BX41-CG40)))</f>
        <v>265.59999999999997</v>
      </c>
      <c r="BZ41" s="13">
        <f>BY41*VLOOKUP('Données projet'!$B$12,Paramètres!$A$1:$I$89,3,0)*VLOOKUP('Données projet'!$B$12,Paramètres!$A$1:$I$89,5,0)</f>
        <v>158.8288</v>
      </c>
      <c r="CA41" s="13">
        <f t="shared" si="39"/>
        <v>40.578235128063156</v>
      </c>
      <c r="CB41" s="20">
        <f t="shared" si="10"/>
        <v>347.30058618137667</v>
      </c>
      <c r="CC41" s="59">
        <f t="shared" si="11"/>
        <v>640.63391951470999</v>
      </c>
      <c r="CD41" s="59">
        <f ca="1">AVERAGE(OFFSET($CC$3,0,0,'Données projet'!$E$12+1,1))-AVERAGE(OFFSET($H$3,0,0,'Données projet'!$E$12+1,1))</f>
        <v>270.30888762640245</v>
      </c>
      <c r="CE41" s="59">
        <f t="shared" si="40"/>
        <v>202.23783851977691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1.8280431736611527</v>
      </c>
      <c r="CL41" s="21">
        <f>EXP(-LN(2)/25)*CL40+(1-EXP(-LN(2)/25))/(LN(2)/25)*Calculateur!CG41*Calculateur!CI41*VLOOKUP('Données projet'!$B$12,Paramètres!$A$1:$I$89,3,0)*0.475*44/12</f>
        <v>9.8493209054758069</v>
      </c>
      <c r="CM41" s="21">
        <f>EXP(-LN(2)/2)*CM40+(1-EXP(-LN(2)/2))/(LN(2)/2)*CG41*CJ41*VLOOKUP('Données projet'!$B$12,Paramètres!$A$1:$I$89,3,0)*0.475*44/12</f>
        <v>1.1557880366539115</v>
      </c>
      <c r="CN41" s="22">
        <f t="shared" si="12"/>
        <v>12.83315211579087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16.131410256410259</v>
      </c>
      <c r="CT41" s="12">
        <f>IF('Données projet'!$A$140&gt;35,CT40+CS41-DB40,IF(A41&lt;'Données projet'!$A$140,$CQ$205^A41,IF(A41='Données projet'!$A$140,'Données projet'!$B$140,CT40+CS41-DB40)))</f>
        <v>345.8435897435898</v>
      </c>
      <c r="CU41" s="17">
        <f>CT41*VLOOKUP('Données projet'!$B$13,Paramètres!$A$1:$I$89,3,0)*VLOOKUP('Données projet'!$B$13,Paramètres!$A$1:$I$89,5,0)</f>
        <v>161.85480000000001</v>
      </c>
      <c r="CV41" s="13">
        <f t="shared" si="41"/>
        <v>41.260589676862445</v>
      </c>
      <c r="CW41" s="20">
        <f t="shared" si="13"/>
        <v>353.75930368720213</v>
      </c>
      <c r="CX41" s="59">
        <f t="shared" si="14"/>
        <v>647.09263702053545</v>
      </c>
      <c r="CY41" s="59">
        <f ca="1">AVERAGE(OFFSET($CX$3,0,0,'Données projet'!$E$13+1,1))-AVERAGE(OFFSET($H$3,0,0,'Données projet'!$E$13+1,1))</f>
        <v>158.58786357608489</v>
      </c>
      <c r="CZ41" s="59">
        <f t="shared" si="42"/>
        <v>163.20074068819849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10.199999999999999</v>
      </c>
      <c r="DO41" s="12">
        <f>IF('Données projet'!$A$166&gt;35,DO40+DN41-DW40,IF(A41&lt;'Données projet'!$A$166,$DL$205^A41,IF(A41='Données projet'!$A$166,'Données projet'!$B$166,DO40+DN41-DW40)))</f>
        <v>199.59999999999988</v>
      </c>
      <c r="DP41" s="17">
        <f>DO41*VLOOKUP('Données projet'!$B$14,Paramètres!$A$1:$I$89,3,0)*VLOOKUP('Données projet'!$B$14,Paramètres!$A$1:$I$89,5,0)</f>
        <v>133.89167999999992</v>
      </c>
      <c r="DQ41" s="13">
        <f t="shared" si="43"/>
        <v>34.894062754078419</v>
      </c>
      <c r="DR41" s="20">
        <f t="shared" si="16"/>
        <v>293.96850196335311</v>
      </c>
      <c r="DS41" s="59">
        <f t="shared" si="17"/>
        <v>587.30183529668648</v>
      </c>
      <c r="DT41" s="59">
        <f ca="1">AVERAGE(OFFSET($DS$3,0,0,'Données projet'!$E$14+1,1))-AVERAGE(OFFSET($H$3,0,0,'Données projet'!$E$14+1,1))</f>
        <v>156.63226020379989</v>
      </c>
      <c r="DU41" s="59">
        <f t="shared" si="44"/>
        <v>196.0481096619543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6.9452442386112496</v>
      </c>
      <c r="EC41" s="21">
        <f>EXP(-LN(2)/2)*EC40+(1-EXP(-LN(2)/2))/(LN(2)/2)*DW41*DZ41*VLOOKUP('Données projet'!$B$14,Paramètres!$A$1:$I$89,3,0)*0.475*44/12</f>
        <v>0.56709192513292772</v>
      </c>
      <c r="ED41" s="22">
        <f t="shared" si="18"/>
        <v>7.5123361637441777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5.3369963369963358</v>
      </c>
      <c r="EJ41" s="12">
        <f>IF('Données projet'!$A$192&gt;35,EJ40+EI41-ER40,IF(A41&lt;'Données projet'!$A$192,$EG$205^A41,IF(A41='Données projet'!$A$192,'Données projet'!$B$192,EJ40+EI41-ER40)))</f>
        <v>130.40109890109889</v>
      </c>
      <c r="EK41" s="17">
        <f>EJ41*VLOOKUP('Données projet'!$B$15,Paramètres!$A$1:$I$89,3,0)*VLOOKUP('Données projet'!$B$15,Paramètres!$A$1:$I$89,5,0)</f>
        <v>140.36374285714285</v>
      </c>
      <c r="EL41" s="13">
        <f t="shared" si="45"/>
        <v>36.380321287557514</v>
      </c>
      <c r="EM41" s="20">
        <f t="shared" si="19"/>
        <v>307.82924505201976</v>
      </c>
      <c r="EN41" s="59">
        <f t="shared" si="20"/>
        <v>601.16257838535307</v>
      </c>
      <c r="EO41" s="59">
        <f ca="1">AVERAGE(OFFSET($EN$3,0,0,'Données projet'!$E$15+1,1))-AVERAGE(OFFSET($H$3,0,0,'Données projet'!$E$15+1,1))</f>
        <v>211.18501783767226</v>
      </c>
      <c r="EP41" s="59">
        <f t="shared" si="46"/>
        <v>147.98306963466246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10.7</v>
      </c>
      <c r="FE41" s="12">
        <f>IF('Données projet'!$A$218&gt;35,FE40+FD41-FM40,IF(A41&lt;'Données projet'!$A$218,$FB$205^A41,IF(A41='Données projet'!$A$218,'Données projet'!$B$218,FE40+FD41-FM40)))</f>
        <v>187.59999999999997</v>
      </c>
      <c r="FF41" s="17">
        <f>FE41*VLOOKUP('Données projet'!$B$16,Paramètres!$A$1:$I$89,3,0)*VLOOKUP('Données projet'!$B$16,Paramètres!$A$1:$I$89,5,0)</f>
        <v>112.1848</v>
      </c>
      <c r="FG41" s="13">
        <f t="shared" si="47"/>
        <v>29.845149809641917</v>
      </c>
      <c r="FH41" s="20">
        <f t="shared" si="22"/>
        <v>247.36882925179302</v>
      </c>
      <c r="FI41" s="59">
        <f t="shared" si="23"/>
        <v>540.7021625851263</v>
      </c>
      <c r="FJ41" s="59">
        <f ca="1">AVERAGE(OFFSET($FI$3,0,0,'Données projet'!$E$16+1,1))-AVERAGE(OFFSET($H$3,0,0,'Données projet'!$E$16+1,1))</f>
        <v>232.26937455765062</v>
      </c>
      <c r="FK41" s="59">
        <f t="shared" si="48"/>
        <v>115.80853281120301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1.8889779461165246</v>
      </c>
      <c r="FR41" s="21">
        <f>EXP(-LN(2)/25)*FR40+(1-EXP(-LN(2)/25))/(LN(2)/25)*Calculateur!FM41*Calculateur!FO41*VLOOKUP('Données projet'!$B$16,Paramètres!$A$1:$I$89,3,0)*0.475*44/12</f>
        <v>3.5320007132544005</v>
      </c>
      <c r="FS41" s="21">
        <f>EXP(-LN(2)/2)*FS40+(1-EXP(-LN(2)/2))/(LN(2)/2)*FM41*FP41*VLOOKUP('Données projet'!$B$16,Paramètres!$A$1:$I$89,3,0)*0.475*44/12</f>
        <v>0.52473305828864081</v>
      </c>
      <c r="FT41" s="22">
        <f t="shared" si="24"/>
        <v>5.9457117176595657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10.199999999999999</v>
      </c>
      <c r="FZ41" s="12">
        <f>IF('Données projet'!$A$244&gt;35,FZ40+FY41-GH40,IF(A41&lt;'Données projet'!$A$244,$FW$205^A41,IF(A41='Données projet'!$A$244,'Données projet'!$B$244,FZ40+FY41-GH40)))</f>
        <v>199.59999999999988</v>
      </c>
      <c r="GA41" s="17">
        <f>FZ41*VLOOKUP('Données projet'!$B$17,Paramètres!$A$1:$I$89,3,0)*VLOOKUP('Données projet'!$B$17,Paramètres!$A$1:$I$89,5,0)</f>
        <v>158.80175999999992</v>
      </c>
      <c r="GB41" s="13">
        <f t="shared" si="49"/>
        <v>40.572130902159856</v>
      </c>
      <c r="GC41" s="20">
        <f t="shared" si="25"/>
        <v>347.24285998792817</v>
      </c>
      <c r="GD41" s="59">
        <f t="shared" si="26"/>
        <v>640.57619332126148</v>
      </c>
      <c r="GE41" s="59">
        <f ca="1">AVERAGE(OFFSET($GD$3,0,0,'Données projet'!$E$17+1,1))-AVERAGE(OFFSET($H$3,0,0,'Données projet'!$E$17+1,1))</f>
        <v>199.58763537752952</v>
      </c>
      <c r="GF41" s="59">
        <f t="shared" si="50"/>
        <v>242.62852778451929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8.2373827016086896</v>
      </c>
      <c r="GN41" s="21">
        <f>EXP(-LN(2)/2)*GN40+(1-EXP(-LN(2)/2))/(LN(2)/2)*GH41*GK41*VLOOKUP('Données projet'!$B$17,Paramètres!$A$1:$I$89,3,0)*0.475*44/12</f>
        <v>0.67259739957626319</v>
      </c>
      <c r="GO41" s="21">
        <f t="shared" si="27"/>
        <v>8.9099801011849529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5.3369963369963358</v>
      </c>
      <c r="N42" s="13">
        <f>IF('Données projet'!$A$36&gt;35,N41+M42-V41,IF(A42&lt;'Données projet'!$A$36,$K$205^A42,IF(A42='Données projet'!$A$36,'Données projet'!$B$36,N41+M42-V41)))</f>
        <v>135.73809523809524</v>
      </c>
      <c r="O42" s="13">
        <f>N42*VLOOKUP('Données projet'!$B$9,Paramètres!$A$1:$I$89,3,0)*VLOOKUP('Données projet'!$B$9,Paramètres!$A$1:$I$89,5,0)</f>
        <v>122.81582857142857</v>
      </c>
      <c r="P42" s="13">
        <f t="shared" si="33"/>
        <v>32.330855900842984</v>
      </c>
      <c r="Q42" s="20">
        <f t="shared" si="53"/>
        <v>270.21380878920627</v>
      </c>
      <c r="R42" s="59">
        <f t="shared" si="0"/>
        <v>563.54714212253953</v>
      </c>
      <c r="S42" s="59">
        <f ca="1">AVERAGE(OFFSET($R$3,0,0,'Données projet'!$E$9+1,1))-AVERAGE(OFFSET($H$3,0,0,'Données projet'!$E$9+1,1))</f>
        <v>153.45079678708987</v>
      </c>
      <c r="T42" s="59">
        <f t="shared" si="34"/>
        <v>115.4217868409637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137.63842857142859</v>
      </c>
      <c r="AK42" s="13">
        <f t="shared" si="35"/>
        <v>35.755468155325104</v>
      </c>
      <c r="AL42" s="20">
        <f t="shared" si="4"/>
        <v>301.99437013242931</v>
      </c>
      <c r="AM42" s="59">
        <f t="shared" si="5"/>
        <v>595.32770346576262</v>
      </c>
      <c r="AN42" s="59">
        <f ca="1">AVERAGE(OFFSET($AM$3,0,0,'Données projet'!$E$10+1,1))-AVERAGE(OFFSET($H$3,0,0,'Données projet'!$E$10+1,1))</f>
        <v>190.21499310415584</v>
      </c>
      <c r="AO42" s="59">
        <f t="shared" si="36"/>
        <v>136.15730566500173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15.7</v>
      </c>
      <c r="BD42" s="12">
        <f>IF('Données projet'!$A$88&gt;35,BD41+BC42-BL41,IF(A42&lt;'Données projet'!$A$88,$BA$205^A42,IF(A42='Données projet'!$A$88,'Données projet'!$B$88,BD41+BC42-BL41)))</f>
        <v>281.29999999999995</v>
      </c>
      <c r="BE42" s="13">
        <f>BD42*VLOOKUP('Données projet'!$B$11,Paramètres!$A$1:$I$89,3,0)*VLOOKUP('Données projet'!$B$11,Paramètres!$A$1:$I$89,5,0)</f>
        <v>168.2174</v>
      </c>
      <c r="BF42" s="13">
        <f t="shared" si="37"/>
        <v>42.690535879167591</v>
      </c>
      <c r="BG42" s="20">
        <f t="shared" si="7"/>
        <v>367.33132165621686</v>
      </c>
      <c r="BH42" s="59">
        <f t="shared" si="8"/>
        <v>660.66465498955017</v>
      </c>
      <c r="BI42" s="59">
        <f ca="1">AVERAGE(OFFSET($BH$3,0,0,'Données projet'!$E$11+1,1))-AVERAGE(OFFSET($H$3,0,0,'Données projet'!$E$11+1,1))</f>
        <v>270.30888762640245</v>
      </c>
      <c r="BJ42" s="59">
        <f t="shared" si="38"/>
        <v>202.23783851977691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1.7921963620218966</v>
      </c>
      <c r="BQ42" s="21">
        <f>EXP(-LN(2)/25)*BQ41+(1-EXP(-LN(2)/25))/(LN(2)/25)*Calculateur!BL42*Calculateur!BN42*VLOOKUP('Données projet'!$B$11,Paramètres!$A$1:$I$89,3,0)*0.475*44/12</f>
        <v>9.5799907073622954</v>
      </c>
      <c r="BR42" s="21">
        <f>EXP(-LN(2)/2)*BR41+(1-EXP(-LN(2)/2))/(LN(2)/2)*BL42*BO42*VLOOKUP('Données projet'!$B$11,Paramètres!$A$1:$I$89,3,0)*0.475*44/12</f>
        <v>0.81726555833226677</v>
      </c>
      <c r="BS42" s="22">
        <f t="shared" si="9"/>
        <v>12.189452627716459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15.7</v>
      </c>
      <c r="BY42" s="12">
        <f>IF('Données projet'!$A$114&gt;35,BY41+BX42-CG41,IF(A42&lt;'Données projet'!$A$114,$BV$205^A42,IF(A42='Données projet'!$A$114,'Données projet'!$B$114,BY41+BX42-CG41)))</f>
        <v>281.29999999999995</v>
      </c>
      <c r="BZ42" s="13">
        <f>BY42*VLOOKUP('Données projet'!$B$12,Paramètres!$A$1:$I$89,3,0)*VLOOKUP('Données projet'!$B$12,Paramètres!$A$1:$I$89,5,0)</f>
        <v>168.2174</v>
      </c>
      <c r="CA42" s="13">
        <f t="shared" si="39"/>
        <v>42.690535879167591</v>
      </c>
      <c r="CB42" s="20">
        <f t="shared" si="10"/>
        <v>367.33132165621686</v>
      </c>
      <c r="CC42" s="59">
        <f t="shared" si="11"/>
        <v>660.66465498955017</v>
      </c>
      <c r="CD42" s="59">
        <f ca="1">AVERAGE(OFFSET($CC$3,0,0,'Données projet'!$E$12+1,1))-AVERAGE(OFFSET($H$3,0,0,'Données projet'!$E$12+1,1))</f>
        <v>270.30888762640245</v>
      </c>
      <c r="CE42" s="59">
        <f t="shared" si="40"/>
        <v>202.23783851977691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1.7921963620218966</v>
      </c>
      <c r="CL42" s="21">
        <f>EXP(-LN(2)/25)*CL41+(1-EXP(-LN(2)/25))/(LN(2)/25)*Calculateur!CG42*Calculateur!CI42*VLOOKUP('Données projet'!$B$12,Paramètres!$A$1:$I$89,3,0)*0.475*44/12</f>
        <v>9.5799907073622954</v>
      </c>
      <c r="CM42" s="21">
        <f>EXP(-LN(2)/2)*CM41+(1-EXP(-LN(2)/2))/(LN(2)/2)*CG42*CJ42*VLOOKUP('Données projet'!$B$12,Paramètres!$A$1:$I$89,3,0)*0.475*44/12</f>
        <v>0.81726555833226677</v>
      </c>
      <c r="CN42" s="22">
        <f t="shared" si="12"/>
        <v>12.189452627716459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16.131410256410259</v>
      </c>
      <c r="CT42" s="12">
        <f>IF('Données projet'!$A$140&gt;35,CT41+CS42-DB41,IF(A42&lt;'Données projet'!$A$140,$CQ$205^A42,IF(A42='Données projet'!$A$140,'Données projet'!$B$140,CT41+CS42-DB41)))</f>
        <v>361.97500000000008</v>
      </c>
      <c r="CU42" s="17">
        <f>CT42*VLOOKUP('Données projet'!$B$13,Paramètres!$A$1:$I$89,3,0)*VLOOKUP('Données projet'!$B$13,Paramètres!$A$1:$I$89,5,0)</f>
        <v>169.40430000000006</v>
      </c>
      <c r="CV42" s="13">
        <f t="shared" si="41"/>
        <v>42.956579357099159</v>
      </c>
      <c r="CW42" s="20">
        <f t="shared" si="13"/>
        <v>369.86186488028119</v>
      </c>
      <c r="CX42" s="59">
        <f t="shared" si="14"/>
        <v>663.1951982136145</v>
      </c>
      <c r="CY42" s="59">
        <f ca="1">AVERAGE(OFFSET($CX$3,0,0,'Données projet'!$E$13+1,1))-AVERAGE(OFFSET($H$3,0,0,'Données projet'!$E$13+1,1))</f>
        <v>158.58786357608489</v>
      </c>
      <c r="CZ42" s="59">
        <f t="shared" si="42"/>
        <v>163.20074068819849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10.199999999999999</v>
      </c>
      <c r="DO42" s="12">
        <f>IF('Données projet'!$A$166&gt;35,DO41+DN42-DW41,IF(A42&lt;'Données projet'!$A$166,$DL$205^A42,IF(A42='Données projet'!$A$166,'Données projet'!$B$166,DO41+DN42-DW41)))</f>
        <v>209.79999999999987</v>
      </c>
      <c r="DP42" s="17">
        <f>DO42*VLOOKUP('Données projet'!$B$14,Paramètres!$A$1:$I$89,3,0)*VLOOKUP('Données projet'!$B$14,Paramètres!$A$1:$I$89,5,0)</f>
        <v>140.7338399999999</v>
      </c>
      <c r="DQ42" s="13">
        <f t="shared" si="43"/>
        <v>36.465066748163046</v>
      </c>
      <c r="DR42" s="20">
        <f t="shared" si="16"/>
        <v>308.62142925305045</v>
      </c>
      <c r="DS42" s="59">
        <f t="shared" si="17"/>
        <v>601.95476258638382</v>
      </c>
      <c r="DT42" s="59">
        <f ca="1">AVERAGE(OFFSET($DS$3,0,0,'Données projet'!$E$14+1,1))-AVERAGE(OFFSET($H$3,0,0,'Données projet'!$E$14+1,1))</f>
        <v>156.63226020379989</v>
      </c>
      <c r="DU42" s="59">
        <f t="shared" si="44"/>
        <v>196.0481096619543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6.7553261696719042</v>
      </c>
      <c r="EC42" s="21">
        <f>EXP(-LN(2)/2)*EC41+(1-EXP(-LN(2)/2))/(LN(2)/2)*DW42*DZ42*VLOOKUP('Données projet'!$B$14,Paramètres!$A$1:$I$89,3,0)*0.475*44/12</f>
        <v>0.40099454581762711</v>
      </c>
      <c r="ED42" s="22">
        <f t="shared" si="18"/>
        <v>7.1563207154895316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5.3369963369963358</v>
      </c>
      <c r="EJ42" s="12">
        <f>IF('Données projet'!$A$192&gt;35,EJ41+EI42-ER41,IF(A42&lt;'Données projet'!$A$192,$EG$205^A42,IF(A42='Données projet'!$A$192,'Données projet'!$B$192,EJ41+EI42-ER41)))</f>
        <v>135.73809523809524</v>
      </c>
      <c r="EK42" s="17">
        <f>EJ42*VLOOKUP('Données projet'!$B$15,Paramètres!$A$1:$I$89,3,0)*VLOOKUP('Données projet'!$B$15,Paramètres!$A$1:$I$89,5,0)</f>
        <v>146.10848571428573</v>
      </c>
      <c r="EL42" s="13">
        <f t="shared" si="45"/>
        <v>37.692876661099341</v>
      </c>
      <c r="EM42" s="20">
        <f t="shared" si="19"/>
        <v>320.12070613712899</v>
      </c>
      <c r="EN42" s="59">
        <f t="shared" si="20"/>
        <v>613.45403947046225</v>
      </c>
      <c r="EO42" s="59">
        <f ca="1">AVERAGE(OFFSET($EN$3,0,0,'Données projet'!$E$15+1,1))-AVERAGE(OFFSET($H$3,0,0,'Données projet'!$E$15+1,1))</f>
        <v>211.18501783767226</v>
      </c>
      <c r="EP42" s="59">
        <f t="shared" si="46"/>
        <v>147.98306963466246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10.7</v>
      </c>
      <c r="FE42" s="12">
        <f>IF('Données projet'!$A$218&gt;35,FE41+FD42-FM41,IF(A42&lt;'Données projet'!$A$218,$FB$205^A42,IF(A42='Données projet'!$A$218,'Données projet'!$B$218,FE41+FD42-FM41)))</f>
        <v>198.29999999999995</v>
      </c>
      <c r="FF42" s="17">
        <f>FE42*VLOOKUP('Données projet'!$B$16,Paramètres!$A$1:$I$89,3,0)*VLOOKUP('Données projet'!$B$16,Paramètres!$A$1:$I$89,5,0)</f>
        <v>118.58339999999998</v>
      </c>
      <c r="FG42" s="13">
        <f t="shared" si="47"/>
        <v>31.344372603090932</v>
      </c>
      <c r="FH42" s="20">
        <f t="shared" si="22"/>
        <v>261.12420395038333</v>
      </c>
      <c r="FI42" s="59">
        <f t="shared" si="23"/>
        <v>554.45753728371665</v>
      </c>
      <c r="FJ42" s="59">
        <f ca="1">AVERAGE(OFFSET($FI$3,0,0,'Données projet'!$E$16+1,1))-AVERAGE(OFFSET($H$3,0,0,'Données projet'!$E$16+1,1))</f>
        <v>232.26937455765062</v>
      </c>
      <c r="FK42" s="59">
        <f t="shared" si="48"/>
        <v>115.80853281120301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1.8519362407559601</v>
      </c>
      <c r="FR42" s="21">
        <f>EXP(-LN(2)/25)*FR41+(1-EXP(-LN(2)/25))/(LN(2)/25)*Calculateur!FM42*Calculateur!FO42*VLOOKUP('Données projet'!$B$16,Paramètres!$A$1:$I$89,3,0)*0.475*44/12</f>
        <v>3.4354179680106141</v>
      </c>
      <c r="FS42" s="21">
        <f>EXP(-LN(2)/2)*FS41+(1-EXP(-LN(2)/2))/(LN(2)/2)*FM42*FP42*VLOOKUP('Données projet'!$B$16,Paramètres!$A$1:$I$89,3,0)*0.475*44/12</f>
        <v>0.37104230382865383</v>
      </c>
      <c r="FT42" s="22">
        <f t="shared" si="24"/>
        <v>5.6583965125952282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10.199999999999999</v>
      </c>
      <c r="FZ42" s="12">
        <f>IF('Données projet'!$A$244&gt;35,FZ41+FY42-GH41,IF(A42&lt;'Données projet'!$A$244,$FW$205^A42,IF(A42='Données projet'!$A$244,'Données projet'!$B$244,FZ41+FY42-GH41)))</f>
        <v>209.79999999999987</v>
      </c>
      <c r="GA42" s="17">
        <f>FZ42*VLOOKUP('Données projet'!$B$17,Paramètres!$A$1:$I$89,3,0)*VLOOKUP('Données projet'!$B$17,Paramètres!$A$1:$I$89,5,0)</f>
        <v>166.91687999999991</v>
      </c>
      <c r="GB42" s="13">
        <f t="shared" si="49"/>
        <v>42.398773450063487</v>
      </c>
      <c r="GC42" s="20">
        <f t="shared" si="25"/>
        <v>364.55809642552708</v>
      </c>
      <c r="GD42" s="59">
        <f t="shared" si="26"/>
        <v>657.89142975886034</v>
      </c>
      <c r="GE42" s="59">
        <f ca="1">AVERAGE(OFFSET($GD$3,0,0,'Données projet'!$E$17+1,1))-AVERAGE(OFFSET($H$3,0,0,'Données projet'!$E$17+1,1))</f>
        <v>199.58763537752952</v>
      </c>
      <c r="GF42" s="59">
        <f t="shared" si="50"/>
        <v>242.62852778451929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8.0121310384480697</v>
      </c>
      <c r="GN42" s="21">
        <f>EXP(-LN(2)/2)*GN41+(1-EXP(-LN(2)/2))/(LN(2)/2)*GH42*GK42*VLOOKUP('Données projet'!$B$17,Paramètres!$A$1:$I$89,3,0)*0.475*44/12</f>
        <v>0.47559818224881362</v>
      </c>
      <c r="GO42" s="21">
        <f t="shared" si="27"/>
        <v>8.4877292206968828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5.3369963369963358</v>
      </c>
      <c r="N43" s="13">
        <f>IF('Données projet'!$A$36&gt;35,N42+M43-V42,IF(A43&lt;'Données projet'!$A$36,$K$205^A43,IF(A43='Données projet'!$A$36,'Données projet'!$B$36,N42+M43-V42)))</f>
        <v>141.07509157509156</v>
      </c>
      <c r="O43" s="13">
        <f>N43*VLOOKUP('Données projet'!$B$9,Paramètres!$A$1:$I$89,3,0)*VLOOKUP('Données projet'!$B$9,Paramètres!$A$1:$I$89,5,0)</f>
        <v>127.64474285714284</v>
      </c>
      <c r="P43" s="13">
        <f t="shared" si="33"/>
        <v>33.451550798682433</v>
      </c>
      <c r="Q43" s="20">
        <f t="shared" si="53"/>
        <v>280.57604478389567</v>
      </c>
      <c r="R43" s="59">
        <f t="shared" si="0"/>
        <v>573.90937811722893</v>
      </c>
      <c r="S43" s="59">
        <f ca="1">AVERAGE(OFFSET($R$3,0,0,'Données projet'!$E$9+1,1))-AVERAGE(OFFSET($H$3,0,0,'Données projet'!$E$9+1,1))</f>
        <v>153.45079678708987</v>
      </c>
      <c r="T43" s="59">
        <f t="shared" si="34"/>
        <v>115.4217868409637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143.05014285714284</v>
      </c>
      <c r="AK43" s="13">
        <f t="shared" si="35"/>
        <v>36.994871493561163</v>
      </c>
      <c r="AL43" s="20">
        <f t="shared" si="4"/>
        <v>313.57839999414279</v>
      </c>
      <c r="AM43" s="59">
        <f t="shared" si="5"/>
        <v>606.9117333274761</v>
      </c>
      <c r="AN43" s="59">
        <f ca="1">AVERAGE(OFFSET($AM$3,0,0,'Données projet'!$E$10+1,1))-AVERAGE(OFFSET($H$3,0,0,'Données projet'!$E$10+1,1))</f>
        <v>190.21499310415584</v>
      </c>
      <c r="AO43" s="59">
        <f t="shared" si="36"/>
        <v>136.15730566500173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297</v>
      </c>
      <c r="BB43" s="12">
        <f>VLOOKUP(A43,'Données projet'!$A$87:$I$107,9,0)</f>
        <v>15.7</v>
      </c>
      <c r="BC43" s="12">
        <f t="array" ref="BC43">INDEX(BB:BB,MIN(IF(ISNUMBER(BB43:BB239),ROW(BB43:BB239),"")))</f>
        <v>15.7</v>
      </c>
      <c r="BD43" s="12">
        <f>IF('Données projet'!$A$88&gt;35,BD42+BC43-BL42,IF(A43&lt;'Données projet'!$A$88,$BA$205^A43,IF(A43='Données projet'!$A$88,'Données projet'!$B$88,BD42+BC43-BL42)))</f>
        <v>296.99999999999994</v>
      </c>
      <c r="BE43" s="13">
        <f>BD43*VLOOKUP('Données projet'!$B$11,Paramètres!$A$1:$I$89,3,0)*VLOOKUP('Données projet'!$B$11,Paramètres!$A$1:$I$89,5,0)</f>
        <v>177.60599999999997</v>
      </c>
      <c r="BF43" s="13">
        <f t="shared" si="37"/>
        <v>44.789150937858665</v>
      </c>
      <c r="BG43" s="20">
        <f t="shared" si="7"/>
        <v>387.33822121677048</v>
      </c>
      <c r="BH43" s="59">
        <f t="shared" si="8"/>
        <v>680.67155455010379</v>
      </c>
      <c r="BI43" s="59">
        <f ca="1">AVERAGE(OFFSET($BH$3,0,0,'Données projet'!$E$11+1,1))-AVERAGE(OFFSET($H$3,0,0,'Données projet'!$E$11+1,1))</f>
        <v>270.30888762640245</v>
      </c>
      <c r="BJ43" s="59">
        <f t="shared" si="38"/>
        <v>202.23783851977691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1.7570524844944901</v>
      </c>
      <c r="BQ43" s="21">
        <f>EXP(-LN(2)/25)*BQ42+(1-EXP(-LN(2)/25))/(LN(2)/25)*Calculateur!BL43*Calculateur!BN43*VLOOKUP('Données projet'!$B$11,Paramètres!$A$1:$I$89,3,0)*0.475*44/12</f>
        <v>9.318025357679657</v>
      </c>
      <c r="BR43" s="21">
        <f>EXP(-LN(2)/2)*BR42+(1-EXP(-LN(2)/2))/(LN(2)/2)*BL43*BO43*VLOOKUP('Données projet'!$B$11,Paramètres!$A$1:$I$89,3,0)*0.475*44/12</f>
        <v>0.57789401832695575</v>
      </c>
      <c r="BS43" s="22">
        <f t="shared" si="9"/>
        <v>11.652971860501104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297</v>
      </c>
      <c r="BW43" s="12">
        <f>VLOOKUP(A43,'Données projet'!$A$113:$I$133,9,0)</f>
        <v>15.7</v>
      </c>
      <c r="BX43" s="12">
        <f t="array" ref="BX43">INDEX(BW:BW,MIN(IF(ISNUMBER(BW43:BW239),ROW(BW43:BW239),"")))</f>
        <v>15.7</v>
      </c>
      <c r="BY43" s="12">
        <f>IF('Données projet'!$A$114&gt;35,BY42+BX43-CG42,IF(A43&lt;'Données projet'!$A$114,$BV$205^A43,IF(A43='Données projet'!$A$114,'Données projet'!$B$114,BY42+BX43-CG42)))</f>
        <v>296.99999999999994</v>
      </c>
      <c r="BZ43" s="13">
        <f>BY43*VLOOKUP('Données projet'!$B$12,Paramètres!$A$1:$I$89,3,0)*VLOOKUP('Données projet'!$B$12,Paramètres!$A$1:$I$89,5,0)</f>
        <v>177.60599999999997</v>
      </c>
      <c r="CA43" s="13">
        <f t="shared" si="39"/>
        <v>44.789150937858665</v>
      </c>
      <c r="CB43" s="20">
        <f t="shared" si="10"/>
        <v>387.33822121677048</v>
      </c>
      <c r="CC43" s="59">
        <f t="shared" si="11"/>
        <v>680.67155455010379</v>
      </c>
      <c r="CD43" s="59">
        <f ca="1">AVERAGE(OFFSET($CC$3,0,0,'Données projet'!$E$12+1,1))-AVERAGE(OFFSET($H$3,0,0,'Données projet'!$E$12+1,1))</f>
        <v>270.30888762640245</v>
      </c>
      <c r="CE43" s="59">
        <f t="shared" si="40"/>
        <v>202.23783851977691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1.7570524844944901</v>
      </c>
      <c r="CL43" s="21">
        <f>EXP(-LN(2)/25)*CL42+(1-EXP(-LN(2)/25))/(LN(2)/25)*Calculateur!CG43*Calculateur!CI43*VLOOKUP('Données projet'!$B$12,Paramètres!$A$1:$I$89,3,0)*0.475*44/12</f>
        <v>9.318025357679657</v>
      </c>
      <c r="CM43" s="21">
        <f>EXP(-LN(2)/2)*CM42+(1-EXP(-LN(2)/2))/(LN(2)/2)*CG43*CJ43*VLOOKUP('Données projet'!$B$12,Paramètres!$A$1:$I$89,3,0)*0.475*44/12</f>
        <v>0.57789401832695575</v>
      </c>
      <c r="CN43" s="22">
        <f t="shared" si="12"/>
        <v>11.652971860501104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16.131410256410259</v>
      </c>
      <c r="CT43" s="12">
        <f>IF('Données projet'!$A$140&gt;35,CT42+CS43-DB42,IF(A43&lt;'Données projet'!$A$140,$CQ$205^A43,IF(A43='Données projet'!$A$140,'Données projet'!$B$140,CT42+CS43-DB42)))</f>
        <v>378.10641025641036</v>
      </c>
      <c r="CU43" s="17">
        <f>CT43*VLOOKUP('Données projet'!$B$13,Paramètres!$A$1:$I$89,3,0)*VLOOKUP('Données projet'!$B$13,Paramètres!$A$1:$I$89,5,0)</f>
        <v>176.95380000000006</v>
      </c>
      <c r="CV43" s="13">
        <f t="shared" si="41"/>
        <v>44.643791032081154</v>
      </c>
      <c r="CW43" s="20">
        <f t="shared" si="13"/>
        <v>385.94913771420806</v>
      </c>
      <c r="CX43" s="59">
        <f t="shared" si="14"/>
        <v>679.28247104754132</v>
      </c>
      <c r="CY43" s="59">
        <f ca="1">AVERAGE(OFFSET($CX$3,0,0,'Données projet'!$E$13+1,1))-AVERAGE(OFFSET($H$3,0,0,'Données projet'!$E$13+1,1))</f>
        <v>158.58786357608489</v>
      </c>
      <c r="CZ43" s="59">
        <f t="shared" si="42"/>
        <v>163.20074068819849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220</v>
      </c>
      <c r="DM43" s="12">
        <f>VLOOKUP(A43,'Données projet'!$A$165:$I$185,9,0)</f>
        <v>10.199999999999999</v>
      </c>
      <c r="DN43" s="12">
        <f t="array" ref="DN43">INDEX(DM:DM,MIN(IF(ISNUMBER(DM43:DM239),ROW(DM43:DM239),"")))</f>
        <v>10.199999999999999</v>
      </c>
      <c r="DO43" s="12">
        <f>IF('Données projet'!$A$166&gt;35,DO42+DN43-DW42,IF(A43&lt;'Données projet'!$A$166,$DL$205^A43,IF(A43='Données projet'!$A$166,'Données projet'!$B$166,DO42+DN43-DW42)))</f>
        <v>219.99999999999986</v>
      </c>
      <c r="DP43" s="17">
        <f>DO43*VLOOKUP('Données projet'!$B$14,Paramètres!$A$1:$I$89,3,0)*VLOOKUP('Données projet'!$B$14,Paramètres!$A$1:$I$89,5,0)</f>
        <v>147.57599999999991</v>
      </c>
      <c r="DQ43" s="13">
        <f t="shared" si="43"/>
        <v>38.027201687128048</v>
      </c>
      <c r="DR43" s="20">
        <f t="shared" si="16"/>
        <v>323.25890960508121</v>
      </c>
      <c r="DS43" s="59">
        <f t="shared" si="17"/>
        <v>616.59224293841453</v>
      </c>
      <c r="DT43" s="59">
        <f ca="1">AVERAGE(OFFSET($DS$3,0,0,'Données projet'!$E$14+1,1))-AVERAGE(OFFSET($H$3,0,0,'Données projet'!$E$14+1,1))</f>
        <v>156.63226020379989</v>
      </c>
      <c r="DU43" s="59">
        <f t="shared" si="44"/>
        <v>196.0481096619543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6.5706014203150627</v>
      </c>
      <c r="EC43" s="21">
        <f>EXP(-LN(2)/2)*EC42+(1-EXP(-LN(2)/2))/(LN(2)/2)*DW43*DZ43*VLOOKUP('Données projet'!$B$14,Paramètres!$A$1:$I$89,3,0)*0.475*44/12</f>
        <v>0.28354596256646386</v>
      </c>
      <c r="ED43" s="22">
        <f t="shared" si="18"/>
        <v>6.8541473828815267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5.3369963369963358</v>
      </c>
      <c r="EJ43" s="12">
        <f>IF('Données projet'!$A$192&gt;35,EJ42+EI43-ER42,IF(A43&lt;'Données projet'!$A$192,$EG$205^A43,IF(A43='Données projet'!$A$192,'Données projet'!$B$192,EJ42+EI43-ER42)))</f>
        <v>141.07509157509156</v>
      </c>
      <c r="EK43" s="17">
        <f>EJ43*VLOOKUP('Données projet'!$B$15,Paramètres!$A$1:$I$89,3,0)*VLOOKUP('Données projet'!$B$15,Paramètres!$A$1:$I$89,5,0)</f>
        <v>151.85322857142856</v>
      </c>
      <c r="EL43" s="13">
        <f t="shared" si="45"/>
        <v>38.99943701596716</v>
      </c>
      <c r="EM43" s="20">
        <f t="shared" si="19"/>
        <v>332.40172589804757</v>
      </c>
      <c r="EN43" s="59">
        <f t="shared" si="20"/>
        <v>625.73505923138089</v>
      </c>
      <c r="EO43" s="59">
        <f ca="1">AVERAGE(OFFSET($EN$3,0,0,'Données projet'!$E$15+1,1))-AVERAGE(OFFSET($H$3,0,0,'Données projet'!$E$15+1,1))</f>
        <v>211.18501783767226</v>
      </c>
      <c r="EP43" s="59">
        <f t="shared" si="46"/>
        <v>147.98306963466246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209</v>
      </c>
      <c r="FC43" s="12">
        <f>VLOOKUP(A43,'Données projet'!$A$217:$I$237,9,0)</f>
        <v>10.7</v>
      </c>
      <c r="FD43" s="12">
        <f t="array" ref="FD43">INDEX(FC:FC,MIN(IF(ISNUMBER(FC43:FC239),ROW(FC43:FC239),"")))</f>
        <v>10.7</v>
      </c>
      <c r="FE43" s="12">
        <f>IF('Données projet'!$A$218&gt;35,FE42+FD43-FM42,IF(A43&lt;'Données projet'!$A$218,$FB$205^A43,IF(A43='Données projet'!$A$218,'Données projet'!$B$218,FE42+FD43-FM42)))</f>
        <v>208.99999999999994</v>
      </c>
      <c r="FF43" s="17">
        <f>FE43*VLOOKUP('Données projet'!$B$16,Paramètres!$A$1:$I$89,3,0)*VLOOKUP('Données projet'!$B$16,Paramètres!$A$1:$I$89,5,0)</f>
        <v>124.98199999999997</v>
      </c>
      <c r="FG43" s="13">
        <f t="shared" si="47"/>
        <v>32.834203796212122</v>
      </c>
      <c r="FH43" s="20">
        <f t="shared" si="22"/>
        <v>274.86322161173604</v>
      </c>
      <c r="FI43" s="59">
        <f t="shared" si="23"/>
        <v>568.19655494506935</v>
      </c>
      <c r="FJ43" s="59">
        <f ca="1">AVERAGE(OFFSET($FI$3,0,0,'Données projet'!$E$16+1,1))-AVERAGE(OFFSET($H$3,0,0,'Données projet'!$E$16+1,1))</f>
        <v>232.26937455765062</v>
      </c>
      <c r="FK43" s="59">
        <f t="shared" si="48"/>
        <v>115.80853281120301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44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1.8156209006443069</v>
      </c>
      <c r="FR43" s="21">
        <f>EXP(-LN(2)/25)*FR42+(1-EXP(-LN(2)/25))/(LN(2)/25)*Calculateur!FM43*Calculateur!FO43*VLOOKUP('Données projet'!$B$16,Paramètres!$A$1:$I$89,3,0)*0.475*44/12</f>
        <v>3.3414762830145848</v>
      </c>
      <c r="FS43" s="21">
        <f>EXP(-LN(2)/2)*FS42+(1-EXP(-LN(2)/2))/(LN(2)/2)*FM43*FP43*VLOOKUP('Données projet'!$B$16,Paramètres!$A$1:$I$89,3,0)*0.475*44/12</f>
        <v>0.2623665291443204</v>
      </c>
      <c r="FT43" s="22">
        <f t="shared" si="24"/>
        <v>5.4194637128032124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220</v>
      </c>
      <c r="FX43" s="12">
        <f>VLOOKUP(A43,'Données projet'!$A$243:$I$263,9,0)</f>
        <v>10.199999999999999</v>
      </c>
      <c r="FY43" s="12">
        <f t="array" ref="FY43">INDEX(FX:FX,MIN(IF(ISNUMBER(FX43:FX239),ROW(FX43:FX239),"")))</f>
        <v>10.199999999999999</v>
      </c>
      <c r="FZ43" s="12">
        <f>IF('Données projet'!$A$244&gt;35,FZ42+FY43-GH42,IF(A43&lt;'Données projet'!$A$244,$FW$205^A43,IF(A43='Données projet'!$A$244,'Données projet'!$B$244,FZ42+FY43-GH42)))</f>
        <v>219.99999999999986</v>
      </c>
      <c r="GA43" s="17">
        <f>FZ43*VLOOKUP('Données projet'!$B$17,Paramètres!$A$1:$I$89,3,0)*VLOOKUP('Données projet'!$B$17,Paramètres!$A$1:$I$89,5,0)</f>
        <v>175.0319999999999</v>
      </c>
      <c r="GB43" s="13">
        <f t="shared" si="49"/>
        <v>44.215103743190973</v>
      </c>
      <c r="GC43" s="20">
        <f t="shared" si="25"/>
        <v>381.85537235272409</v>
      </c>
      <c r="GD43" s="59">
        <f t="shared" si="26"/>
        <v>675.18870568605735</v>
      </c>
      <c r="GE43" s="59">
        <f ca="1">AVERAGE(OFFSET($GD$3,0,0,'Données projet'!$E$17+1,1))-AVERAGE(OFFSET($H$3,0,0,'Données projet'!$E$17+1,1))</f>
        <v>199.58763537752952</v>
      </c>
      <c r="GF43" s="59">
        <f t="shared" si="50"/>
        <v>242.62852778451929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56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7.7930388938620476</v>
      </c>
      <c r="GN43" s="21">
        <f>EXP(-LN(2)/2)*GN42+(1-EXP(-LN(2)/2))/(LN(2)/2)*GH43*GK43*VLOOKUP('Données projet'!$B$17,Paramètres!$A$1:$I$89,3,0)*0.475*44/12</f>
        <v>0.33629869978813165</v>
      </c>
      <c r="GO43" s="21">
        <f t="shared" si="27"/>
        <v>8.1293375936501793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5.3369963369963358</v>
      </c>
      <c r="N44" s="13">
        <f>IF('Données projet'!$A$36&gt;35,N43+M44-V43,IF(A44&lt;'Données projet'!$A$36,$K$205^A44,IF(A44='Données projet'!$A$36,'Données projet'!$B$36,N43+M44-V43)))</f>
        <v>146.41208791208788</v>
      </c>
      <c r="O44" s="13">
        <f>N44*VLOOKUP('Données projet'!$B$9,Paramètres!$A$1:$I$89,3,0)*VLOOKUP('Données projet'!$B$9,Paramètres!$A$1:$I$89,5,0)</f>
        <v>132.47365714285712</v>
      </c>
      <c r="P44" s="13">
        <f t="shared" si="33"/>
        <v>34.567320307816402</v>
      </c>
      <c r="Q44" s="20">
        <f t="shared" si="53"/>
        <v>290.92970239325638</v>
      </c>
      <c r="R44" s="59">
        <f t="shared" si="0"/>
        <v>584.26303572658969</v>
      </c>
      <c r="S44" s="59">
        <f ca="1">AVERAGE(OFFSET($R$3,0,0,'Données projet'!$E$9+1,1))-AVERAGE(OFFSET($H$3,0,0,'Données projet'!$E$9+1,1))</f>
        <v>153.45079678708987</v>
      </c>
      <c r="T44" s="59">
        <f t="shared" si="34"/>
        <v>115.4217868409637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148.46185714285713</v>
      </c>
      <c r="AK44" s="13">
        <f t="shared" si="35"/>
        <v>38.228827726420505</v>
      </c>
      <c r="AL44" s="20">
        <f t="shared" si="4"/>
        <v>325.15294281399184</v>
      </c>
      <c r="AM44" s="59">
        <f t="shared" si="5"/>
        <v>618.48627614732516</v>
      </c>
      <c r="AN44" s="59">
        <f ca="1">AVERAGE(OFFSET($AM$3,0,0,'Données projet'!$E$10+1,1))-AVERAGE(OFFSET($H$3,0,0,'Données projet'!$E$10+1,1))</f>
        <v>190.21499310415584</v>
      </c>
      <c r="AO44" s="59">
        <f t="shared" si="36"/>
        <v>136.15730566500173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16.2</v>
      </c>
      <c r="BD44" s="12">
        <f>IF('Données projet'!$A$88&gt;35,BD43+BC44-BL43,IF(A44&lt;'Données projet'!$A$88,$BA$205^A44,IF(A44='Données projet'!$A$88,'Données projet'!$B$88,BD43+BC44-BL43)))</f>
        <v>234.19999999999993</v>
      </c>
      <c r="BE44" s="13">
        <f>BD44*VLOOKUP('Données projet'!$B$11,Paramètres!$A$1:$I$89,3,0)*VLOOKUP('Données projet'!$B$11,Paramètres!$A$1:$I$89,5,0)</f>
        <v>140.05159999999998</v>
      </c>
      <c r="BF44" s="13">
        <f t="shared" si="37"/>
        <v>36.308826076884692</v>
      </c>
      <c r="BG44" s="20">
        <f t="shared" si="7"/>
        <v>307.1610754172408</v>
      </c>
      <c r="BH44" s="59">
        <f t="shared" si="8"/>
        <v>600.49440875057417</v>
      </c>
      <c r="BI44" s="59">
        <f ca="1">AVERAGE(OFFSET($BH$3,0,0,'Données projet'!$E$11+1,1))-AVERAGE(OFFSET($H$3,0,0,'Données projet'!$E$11+1,1))</f>
        <v>270.30888762640245</v>
      </c>
      <c r="BJ44" s="59">
        <f t="shared" si="38"/>
        <v>202.23783851977691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1.7225977569697475</v>
      </c>
      <c r="BQ44" s="21">
        <f>EXP(-LN(2)/25)*BQ43+(1-EXP(-LN(2)/25))/(LN(2)/25)*Calculateur!BL44*Calculateur!BN44*VLOOKUP('Données projet'!$B$11,Paramètres!$A$1:$I$89,3,0)*0.475*44/12</f>
        <v>9.0632234642602505</v>
      </c>
      <c r="BR44" s="21">
        <f>EXP(-LN(2)/2)*BR43+(1-EXP(-LN(2)/2))/(LN(2)/2)*BL44*BO44*VLOOKUP('Données projet'!$B$11,Paramètres!$A$1:$I$89,3,0)*0.475*44/12</f>
        <v>0.40863277916613339</v>
      </c>
      <c r="BS44" s="22">
        <f t="shared" si="9"/>
        <v>11.194454000396131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16.2</v>
      </c>
      <c r="BY44" s="12">
        <f>IF('Données projet'!$A$114&gt;35,BY43+BX44-CG43,IF(A44&lt;'Données projet'!$A$114,$BV$205^A44,IF(A44='Données projet'!$A$114,'Données projet'!$B$114,BY43+BX44-CG43)))</f>
        <v>234.19999999999993</v>
      </c>
      <c r="BZ44" s="13">
        <f>BY44*VLOOKUP('Données projet'!$B$12,Paramètres!$A$1:$I$89,3,0)*VLOOKUP('Données projet'!$B$12,Paramètres!$A$1:$I$89,5,0)</f>
        <v>140.05159999999998</v>
      </c>
      <c r="CA44" s="13">
        <f t="shared" si="39"/>
        <v>36.308826076884692</v>
      </c>
      <c r="CB44" s="20">
        <f t="shared" si="10"/>
        <v>307.1610754172408</v>
      </c>
      <c r="CC44" s="59">
        <f t="shared" si="11"/>
        <v>600.49440875057417</v>
      </c>
      <c r="CD44" s="59">
        <f ca="1">AVERAGE(OFFSET($CC$3,0,0,'Données projet'!$E$12+1,1))-AVERAGE(OFFSET($H$3,0,0,'Données projet'!$E$12+1,1))</f>
        <v>270.30888762640245</v>
      </c>
      <c r="CE44" s="59">
        <f t="shared" si="40"/>
        <v>202.23783851977691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1.7225977569697475</v>
      </c>
      <c r="CL44" s="21">
        <f>EXP(-LN(2)/25)*CL43+(1-EXP(-LN(2)/25))/(LN(2)/25)*Calculateur!CG44*Calculateur!CI44*VLOOKUP('Données projet'!$B$12,Paramètres!$A$1:$I$89,3,0)*0.475*44/12</f>
        <v>9.0632234642602505</v>
      </c>
      <c r="CM44" s="21">
        <f>EXP(-LN(2)/2)*CM43+(1-EXP(-LN(2)/2))/(LN(2)/2)*CG44*CJ44*VLOOKUP('Données projet'!$B$12,Paramètres!$A$1:$I$89,3,0)*0.475*44/12</f>
        <v>0.40863277916613339</v>
      </c>
      <c r="CN44" s="22">
        <f t="shared" si="12"/>
        <v>11.194454000396131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16.131410256410259</v>
      </c>
      <c r="CT44" s="12">
        <f>IF('Données projet'!$A$140&gt;35,CT43+CS44-DB43,IF(A44&lt;'Données projet'!$A$140,$CQ$205^A44,IF(A44='Données projet'!$A$140,'Données projet'!$B$140,CT43+CS44-DB43)))</f>
        <v>394.23782051282063</v>
      </c>
      <c r="CU44" s="17">
        <f>CT44*VLOOKUP('Données projet'!$B$13,Paramètres!$A$1:$I$89,3,0)*VLOOKUP('Données projet'!$B$13,Paramètres!$A$1:$I$89,5,0)</f>
        <v>184.50330000000005</v>
      </c>
      <c r="CV44" s="13">
        <f t="shared" si="41"/>
        <v>46.32264201774467</v>
      </c>
      <c r="CW44" s="20">
        <f t="shared" si="13"/>
        <v>402.02184901423874</v>
      </c>
      <c r="CX44" s="59">
        <f t="shared" si="14"/>
        <v>695.35518234757205</v>
      </c>
      <c r="CY44" s="59">
        <f ca="1">AVERAGE(OFFSET($CX$3,0,0,'Données projet'!$E$13+1,1))-AVERAGE(OFFSET($H$3,0,0,'Données projet'!$E$13+1,1))</f>
        <v>158.58786357608489</v>
      </c>
      <c r="CZ44" s="59">
        <f t="shared" si="42"/>
        <v>163.20074068819849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7.7</v>
      </c>
      <c r="DO44" s="12">
        <f>IF('Données projet'!$A$166&gt;35,DO43+DN44-DW43,IF(A44&lt;'Données projet'!$A$166,$DL$205^A44,IF(A44='Données projet'!$A$166,'Données projet'!$B$166,DO43+DN44-DW43)))</f>
        <v>171.69999999999985</v>
      </c>
      <c r="DP44" s="17">
        <f>DO44*VLOOKUP('Données projet'!$B$14,Paramètres!$A$1:$I$89,3,0)*VLOOKUP('Données projet'!$B$14,Paramètres!$A$1:$I$89,5,0)</f>
        <v>115.1763599999999</v>
      </c>
      <c r="DQ44" s="13">
        <f t="shared" si="43"/>
        <v>30.547292267481989</v>
      </c>
      <c r="DR44" s="20">
        <f t="shared" si="16"/>
        <v>253.80202769919762</v>
      </c>
      <c r="DS44" s="59">
        <f t="shared" si="17"/>
        <v>547.13536103253091</v>
      </c>
      <c r="DT44" s="59">
        <f ca="1">AVERAGE(OFFSET($DS$3,0,0,'Données projet'!$E$14+1,1))-AVERAGE(OFFSET($H$3,0,0,'Données projet'!$E$14+1,1))</f>
        <v>156.63226020379989</v>
      </c>
      <c r="DU44" s="59">
        <f t="shared" si="44"/>
        <v>196.0481096619543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6.390927978943636</v>
      </c>
      <c r="EC44" s="21">
        <f>EXP(-LN(2)/2)*EC43+(1-EXP(-LN(2)/2))/(LN(2)/2)*DW44*DZ44*VLOOKUP('Données projet'!$B$14,Paramètres!$A$1:$I$89,3,0)*0.475*44/12</f>
        <v>0.20049727290881356</v>
      </c>
      <c r="ED44" s="22">
        <f t="shared" si="18"/>
        <v>6.5914252518524492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5.3369963369963358</v>
      </c>
      <c r="EJ44" s="12">
        <f>IF('Données projet'!$A$192&gt;35,EJ43+EI44-ER43,IF(A44&lt;'Données projet'!$A$192,$EG$205^A44,IF(A44='Données projet'!$A$192,'Données projet'!$B$192,EJ43+EI44-ER43)))</f>
        <v>146.41208791208788</v>
      </c>
      <c r="EK44" s="17">
        <f>EJ44*VLOOKUP('Données projet'!$B$15,Paramètres!$A$1:$I$89,3,0)*VLOOKUP('Données projet'!$B$15,Paramètres!$A$1:$I$89,5,0)</f>
        <v>157.59797142857141</v>
      </c>
      <c r="EL44" s="13">
        <f t="shared" si="45"/>
        <v>40.300255114287417</v>
      </c>
      <c r="EM44" s="20">
        <f t="shared" si="19"/>
        <v>344.67274456214574</v>
      </c>
      <c r="EN44" s="59">
        <f t="shared" si="20"/>
        <v>638.00607789547905</v>
      </c>
      <c r="EO44" s="59">
        <f ca="1">AVERAGE(OFFSET($EN$3,0,0,'Données projet'!$E$15+1,1))-AVERAGE(OFFSET($H$3,0,0,'Données projet'!$E$15+1,1))</f>
        <v>211.18501783767226</v>
      </c>
      <c r="EP44" s="59">
        <f t="shared" si="46"/>
        <v>147.98306963466246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12.2</v>
      </c>
      <c r="FE44" s="12">
        <f>IF('Données projet'!$A$218&gt;35,FE43+FD44-FM43,IF(A44&lt;'Données projet'!$A$218,$FB$205^A44,IF(A44='Données projet'!$A$218,'Données projet'!$B$218,FE43+FD44-FM43)))</f>
        <v>177.19999999999993</v>
      </c>
      <c r="FF44" s="17">
        <f>FE44*VLOOKUP('Données projet'!$B$16,Paramètres!$A$1:$I$89,3,0)*VLOOKUP('Données projet'!$B$16,Paramètres!$A$1:$I$89,5,0)</f>
        <v>105.96559999999997</v>
      </c>
      <c r="FG44" s="13">
        <f t="shared" si="47"/>
        <v>28.378391242376704</v>
      </c>
      <c r="FH44" s="20">
        <f t="shared" si="22"/>
        <v>233.98245141380599</v>
      </c>
      <c r="FI44" s="59">
        <f t="shared" si="23"/>
        <v>527.31578474713933</v>
      </c>
      <c r="FJ44" s="59">
        <f ca="1">AVERAGE(OFFSET($FI$3,0,0,'Données projet'!$E$16+1,1))-AVERAGE(OFFSET($H$3,0,0,'Données projet'!$E$16+1,1))</f>
        <v>232.26937455765062</v>
      </c>
      <c r="FK44" s="59">
        <f t="shared" si="48"/>
        <v>115.80853281120301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1.7800176822020728</v>
      </c>
      <c r="FR44" s="21">
        <f>EXP(-LN(2)/25)*FR43+(1-EXP(-LN(2)/25))/(LN(2)/25)*Calculateur!FM44*Calculateur!FO44*VLOOKUP('Données projet'!$B$16,Paramètres!$A$1:$I$89,3,0)*0.475*44/12</f>
        <v>3.2501034383349503</v>
      </c>
      <c r="FS44" s="21">
        <f>EXP(-LN(2)/2)*FS43+(1-EXP(-LN(2)/2))/(LN(2)/2)*FM44*FP44*VLOOKUP('Données projet'!$B$16,Paramètres!$A$1:$I$89,3,0)*0.475*44/12</f>
        <v>0.18552115191432691</v>
      </c>
      <c r="FT44" s="22">
        <f t="shared" si="24"/>
        <v>5.2156422724513503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7.7</v>
      </c>
      <c r="FZ44" s="12">
        <f>IF('Données projet'!$A$244&gt;35,FZ43+FY44-GH43,IF(A44&lt;'Données projet'!$A$244,$FW$205^A44,IF(A44='Données projet'!$A$244,'Données projet'!$B$244,FZ43+FY44-GH43)))</f>
        <v>171.69999999999985</v>
      </c>
      <c r="GA44" s="17">
        <f>FZ44*VLOOKUP('Données projet'!$B$17,Paramètres!$A$1:$I$89,3,0)*VLOOKUP('Données projet'!$B$17,Paramètres!$A$1:$I$89,5,0)</f>
        <v>136.60451999999989</v>
      </c>
      <c r="GB44" s="13">
        <f t="shared" si="49"/>
        <v>35.518040685530593</v>
      </c>
      <c r="GC44" s="20">
        <f t="shared" si="25"/>
        <v>299.78012652729893</v>
      </c>
      <c r="GD44" s="59">
        <f t="shared" si="26"/>
        <v>593.11345986063225</v>
      </c>
      <c r="GE44" s="59">
        <f ca="1">AVERAGE(OFFSET($GD$3,0,0,'Données projet'!$E$17+1,1))-AVERAGE(OFFSET($H$3,0,0,'Données projet'!$E$17+1,1))</f>
        <v>199.58763537752952</v>
      </c>
      <c r="GF44" s="59">
        <f t="shared" si="50"/>
        <v>242.62852778451929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7.5799378354912861</v>
      </c>
      <c r="GN44" s="21">
        <f>EXP(-LN(2)/2)*GN43+(1-EXP(-LN(2)/2))/(LN(2)/2)*GH44*GK44*VLOOKUP('Données projet'!$B$17,Paramètres!$A$1:$I$89,3,0)*0.475*44/12</f>
        <v>0.23779909112440686</v>
      </c>
      <c r="GO44" s="21">
        <f t="shared" si="27"/>
        <v>7.8177369266156926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5.3369963369963358</v>
      </c>
      <c r="N45" s="13">
        <f>IF('Données projet'!$A$36&gt;35,N44+M45-V44,IF(A45&lt;'Données projet'!$A$36,$K$205^A45,IF(A45='Données projet'!$A$36,'Données projet'!$B$36,N44+M45-V44)))</f>
        <v>151.74908424908421</v>
      </c>
      <c r="O45" s="13">
        <f>N45*VLOOKUP('Données projet'!$B$9,Paramètres!$A$1:$I$89,3,0)*VLOOKUP('Données projet'!$B$9,Paramètres!$A$1:$I$89,5,0)</f>
        <v>137.30257142857138</v>
      </c>
      <c r="P45" s="13">
        <f t="shared" si="33"/>
        <v>35.678364531877897</v>
      </c>
      <c r="Q45" s="20">
        <f t="shared" si="53"/>
        <v>301.27513013111576</v>
      </c>
      <c r="R45" s="59">
        <f t="shared" si="0"/>
        <v>594.60846346444907</v>
      </c>
      <c r="S45" s="59">
        <f ca="1">AVERAGE(OFFSET($R$3,0,0,'Données projet'!$E$9+1,1))-AVERAGE(OFFSET($H$3,0,0,'Données projet'!$E$9+1,1))</f>
        <v>153.45079678708987</v>
      </c>
      <c r="T45" s="59">
        <f t="shared" si="34"/>
        <v>115.4217868409637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153.87357142857138</v>
      </c>
      <c r="AK45" s="13">
        <f t="shared" si="35"/>
        <v>39.457558153305143</v>
      </c>
      <c r="AL45" s="20">
        <f t="shared" si="4"/>
        <v>336.71838402176826</v>
      </c>
      <c r="AM45" s="59">
        <f t="shared" si="5"/>
        <v>630.05171735510157</v>
      </c>
      <c r="AN45" s="59">
        <f ca="1">AVERAGE(OFFSET($AM$3,0,0,'Données projet'!$E$10+1,1))-AVERAGE(OFFSET($H$3,0,0,'Données projet'!$E$10+1,1))</f>
        <v>190.21499310415584</v>
      </c>
      <c r="AO45" s="59">
        <f t="shared" si="36"/>
        <v>136.15730566500173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16.2</v>
      </c>
      <c r="BD45" s="12">
        <f>IF('Données projet'!$A$88&gt;35,BD44+BC45-BL44,IF(A45&lt;'Données projet'!$A$88,$BA$205^A45,IF(A45='Données projet'!$A$88,'Données projet'!$B$88,BD44+BC45-BL44)))</f>
        <v>250.39999999999992</v>
      </c>
      <c r="BE45" s="13">
        <f>BD45*VLOOKUP('Données projet'!$B$11,Paramètres!$A$1:$I$89,3,0)*VLOOKUP('Données projet'!$B$11,Paramètres!$A$1:$I$89,5,0)</f>
        <v>149.73919999999995</v>
      </c>
      <c r="BF45" s="13">
        <f t="shared" si="37"/>
        <v>38.51931188379853</v>
      </c>
      <c r="BG45" s="20">
        <f t="shared" si="7"/>
        <v>327.88357486428237</v>
      </c>
      <c r="BH45" s="59">
        <f t="shared" si="8"/>
        <v>621.21690819761568</v>
      </c>
      <c r="BI45" s="59">
        <f ca="1">AVERAGE(OFFSET($BH$3,0,0,'Données projet'!$E$11+1,1))-AVERAGE(OFFSET($H$3,0,0,'Données projet'!$E$11+1,1))</f>
        <v>270.30888762640245</v>
      </c>
      <c r="BJ45" s="59">
        <f t="shared" si="38"/>
        <v>202.23783851977691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1.6888186656364563</v>
      </c>
      <c r="BQ45" s="21">
        <f>EXP(-LN(2)/25)*BQ44+(1-EXP(-LN(2)/25))/(LN(2)/25)*Calculateur!BL45*Calculateur!BN45*VLOOKUP('Données projet'!$B$11,Paramètres!$A$1:$I$89,3,0)*0.475*44/12</f>
        <v>8.8153891420158459</v>
      </c>
      <c r="BR45" s="21">
        <f>EXP(-LN(2)/2)*BR44+(1-EXP(-LN(2)/2))/(LN(2)/2)*BL45*BO45*VLOOKUP('Données projet'!$B$11,Paramètres!$A$1:$I$89,3,0)*0.475*44/12</f>
        <v>0.28894700916347787</v>
      </c>
      <c r="BS45" s="22">
        <f t="shared" si="9"/>
        <v>10.793154816815779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16.2</v>
      </c>
      <c r="BY45" s="12">
        <f>IF('Données projet'!$A$114&gt;35,BY44+BX45-CG44,IF(A45&lt;'Données projet'!$A$114,$BV$205^A45,IF(A45='Données projet'!$A$114,'Données projet'!$B$114,BY44+BX45-CG44)))</f>
        <v>250.39999999999992</v>
      </c>
      <c r="BZ45" s="13">
        <f>BY45*VLOOKUP('Données projet'!$B$12,Paramètres!$A$1:$I$89,3,0)*VLOOKUP('Données projet'!$B$12,Paramètres!$A$1:$I$89,5,0)</f>
        <v>149.73919999999995</v>
      </c>
      <c r="CA45" s="13">
        <f t="shared" si="39"/>
        <v>38.51931188379853</v>
      </c>
      <c r="CB45" s="20">
        <f t="shared" si="10"/>
        <v>327.88357486428237</v>
      </c>
      <c r="CC45" s="59">
        <f t="shared" si="11"/>
        <v>621.21690819761568</v>
      </c>
      <c r="CD45" s="59">
        <f ca="1">AVERAGE(OFFSET($CC$3,0,0,'Données projet'!$E$12+1,1))-AVERAGE(OFFSET($H$3,0,0,'Données projet'!$E$12+1,1))</f>
        <v>270.30888762640245</v>
      </c>
      <c r="CE45" s="59">
        <f t="shared" si="40"/>
        <v>202.23783851977691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1.6888186656364563</v>
      </c>
      <c r="CL45" s="21">
        <f>EXP(-LN(2)/25)*CL44+(1-EXP(-LN(2)/25))/(LN(2)/25)*Calculateur!CG45*Calculateur!CI45*VLOOKUP('Données projet'!$B$12,Paramètres!$A$1:$I$89,3,0)*0.475*44/12</f>
        <v>8.8153891420158459</v>
      </c>
      <c r="CM45" s="21">
        <f>EXP(-LN(2)/2)*CM44+(1-EXP(-LN(2)/2))/(LN(2)/2)*CG45*CJ45*VLOOKUP('Données projet'!$B$12,Paramètres!$A$1:$I$89,3,0)*0.475*44/12</f>
        <v>0.28894700916347787</v>
      </c>
      <c r="CN45" s="22">
        <f t="shared" si="12"/>
        <v>10.793154816815779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410.3692307692308</v>
      </c>
      <c r="CR45" s="12">
        <f>VLOOKUP(A45,'Données projet'!$A$139:$I$159,9,0)</f>
        <v>16.131410256410259</v>
      </c>
      <c r="CS45" s="12">
        <f t="array" ref="CS45">INDEX(CR:CR,MIN(IF(ISNUMBER(CR45:CR241),ROW(CR45:CR241),"")))</f>
        <v>16.131410256410259</v>
      </c>
      <c r="CT45" s="12">
        <f>IF('Données projet'!$A$140&gt;35,CT44+CS45-DB44,IF(A45&lt;'Données projet'!$A$140,$CQ$205^A45,IF(A45='Données projet'!$A$140,'Données projet'!$B$140,CT44+CS45-DB44)))</f>
        <v>410.36923076923091</v>
      </c>
      <c r="CU45" s="17">
        <f>CT45*VLOOKUP('Données projet'!$B$13,Paramètres!$A$1:$I$89,3,0)*VLOOKUP('Données projet'!$B$13,Paramètres!$A$1:$I$89,5,0)</f>
        <v>192.05280000000008</v>
      </c>
      <c r="CV45" s="13">
        <f t="shared" si="41"/>
        <v>47.993513546032311</v>
      </c>
      <c r="CW45" s="20">
        <f t="shared" si="13"/>
        <v>418.08066275933976</v>
      </c>
      <c r="CX45" s="59">
        <f t="shared" si="14"/>
        <v>711.41399609267307</v>
      </c>
      <c r="CY45" s="59">
        <f ca="1">AVERAGE(OFFSET($CX$3,0,0,'Données projet'!$E$13+1,1))-AVERAGE(OFFSET($H$3,0,0,'Données projet'!$E$13+1,1))</f>
        <v>158.58786357608489</v>
      </c>
      <c r="CZ45" s="59">
        <f t="shared" si="42"/>
        <v>163.20074068819849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179.84615384615384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7.7</v>
      </c>
      <c r="DO45" s="12">
        <f>IF('Données projet'!$A$166&gt;35,DO44+DN45-DW44,IF(A45&lt;'Données projet'!$A$166,$DL$205^A45,IF(A45='Données projet'!$A$166,'Données projet'!$B$166,DO44+DN45-DW44)))</f>
        <v>179.39999999999984</v>
      </c>
      <c r="DP45" s="17">
        <f>DO45*VLOOKUP('Données projet'!$B$14,Paramètres!$A$1:$I$89,3,0)*VLOOKUP('Données projet'!$B$14,Paramètres!$A$1:$I$89,5,0)</f>
        <v>120.34151999999989</v>
      </c>
      <c r="DQ45" s="13">
        <f t="shared" si="43"/>
        <v>31.754640046026022</v>
      </c>
      <c r="DR45" s="20">
        <f t="shared" si="16"/>
        <v>264.90081208016181</v>
      </c>
      <c r="DS45" s="59">
        <f t="shared" si="17"/>
        <v>558.23414541349507</v>
      </c>
      <c r="DT45" s="59">
        <f ca="1">AVERAGE(OFFSET($DS$3,0,0,'Données projet'!$E$14+1,1))-AVERAGE(OFFSET($H$3,0,0,'Données projet'!$E$14+1,1))</f>
        <v>156.63226020379989</v>
      </c>
      <c r="DU45" s="59">
        <f t="shared" si="44"/>
        <v>196.0481096619543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6.2161677172751268</v>
      </c>
      <c r="EC45" s="21">
        <f>EXP(-LN(2)/2)*EC44+(1-EXP(-LN(2)/2))/(LN(2)/2)*DW45*DZ45*VLOOKUP('Données projet'!$B$14,Paramètres!$A$1:$I$89,3,0)*0.475*44/12</f>
        <v>0.14177298128323193</v>
      </c>
      <c r="ED45" s="22">
        <f t="shared" si="18"/>
        <v>6.3579406985583589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5.3369963369963358</v>
      </c>
      <c r="EJ45" s="12">
        <f>IF('Données projet'!$A$192&gt;35,EJ44+EI45-ER44,IF(A45&lt;'Données projet'!$A$192,$EG$205^A45,IF(A45='Données projet'!$A$192,'Données projet'!$B$192,EJ44+EI45-ER44)))</f>
        <v>151.74908424908421</v>
      </c>
      <c r="EK45" s="17">
        <f>EJ45*VLOOKUP('Données projet'!$B$15,Paramètres!$A$1:$I$89,3,0)*VLOOKUP('Données projet'!$B$15,Paramètres!$A$1:$I$89,5,0)</f>
        <v>163.34271428571424</v>
      </c>
      <c r="EL45" s="13">
        <f t="shared" si="45"/>
        <v>41.595564246560798</v>
      </c>
      <c r="EM45" s="20">
        <f t="shared" si="19"/>
        <v>356.93416844371239</v>
      </c>
      <c r="EN45" s="59">
        <f t="shared" si="20"/>
        <v>650.26750177704571</v>
      </c>
      <c r="EO45" s="59">
        <f ca="1">AVERAGE(OFFSET($EN$3,0,0,'Données projet'!$E$15+1,1))-AVERAGE(OFFSET($H$3,0,0,'Données projet'!$E$15+1,1))</f>
        <v>211.18501783767226</v>
      </c>
      <c r="EP45" s="59">
        <f t="shared" si="46"/>
        <v>147.98306963466246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12.2</v>
      </c>
      <c r="FE45" s="12">
        <f>IF('Données projet'!$A$218&gt;35,FE44+FD45-FM44,IF(A45&lt;'Données projet'!$A$218,$FB$205^A45,IF(A45='Données projet'!$A$218,'Données projet'!$B$218,FE44+FD45-FM44)))</f>
        <v>189.39999999999992</v>
      </c>
      <c r="FF45" s="17">
        <f>FE45*VLOOKUP('Données projet'!$B$16,Paramètres!$A$1:$I$89,3,0)*VLOOKUP('Données projet'!$B$16,Paramètres!$A$1:$I$89,5,0)</f>
        <v>113.26119999999996</v>
      </c>
      <c r="FG45" s="13">
        <f t="shared" si="47"/>
        <v>30.098037340507396</v>
      </c>
      <c r="FH45" s="20">
        <f t="shared" si="22"/>
        <v>249.68400503471693</v>
      </c>
      <c r="FI45" s="59">
        <f t="shared" si="23"/>
        <v>543.01733836805022</v>
      </c>
      <c r="FJ45" s="59">
        <f ca="1">AVERAGE(OFFSET($FI$3,0,0,'Données projet'!$E$16+1,1))-AVERAGE(OFFSET($H$3,0,0,'Données projet'!$E$16+1,1))</f>
        <v>232.26937455765062</v>
      </c>
      <c r="FK45" s="59">
        <f t="shared" si="48"/>
        <v>115.80853281120301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1.745112621157672</v>
      </c>
      <c r="FR45" s="21">
        <f>EXP(-LN(2)/25)*FR44+(1-EXP(-LN(2)/25))/(LN(2)/25)*Calculateur!FM45*Calculateur!FO45*VLOOKUP('Données projet'!$B$16,Paramètres!$A$1:$I$89,3,0)*0.475*44/12</f>
        <v>3.1612291888981696</v>
      </c>
      <c r="FS45" s="21">
        <f>EXP(-LN(2)/2)*FS44+(1-EXP(-LN(2)/2))/(LN(2)/2)*FM45*FP45*VLOOKUP('Données projet'!$B$16,Paramètres!$A$1:$I$89,3,0)*0.475*44/12</f>
        <v>0.1311832645721602</v>
      </c>
      <c r="FT45" s="22">
        <f t="shared" si="24"/>
        <v>5.0375250746280011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7.7</v>
      </c>
      <c r="FZ45" s="12">
        <f>IF('Données projet'!$A$244&gt;35,FZ44+FY45-GH44,IF(A45&lt;'Données projet'!$A$244,$FW$205^A45,IF(A45='Données projet'!$A$244,'Données projet'!$B$244,FZ44+FY45-GH44)))</f>
        <v>179.39999999999984</v>
      </c>
      <c r="GA45" s="17">
        <f>FZ45*VLOOKUP('Données projet'!$B$17,Paramètres!$A$1:$I$89,3,0)*VLOOKUP('Données projet'!$B$17,Paramètres!$A$1:$I$89,5,0)</f>
        <v>142.73063999999988</v>
      </c>
      <c r="GB45" s="13">
        <f t="shared" si="49"/>
        <v>36.921851771122689</v>
      </c>
      <c r="GC45" s="20">
        <f t="shared" si="25"/>
        <v>312.89475650137177</v>
      </c>
      <c r="GD45" s="59">
        <f t="shared" si="26"/>
        <v>606.22808983470509</v>
      </c>
      <c r="GE45" s="59">
        <f ca="1">AVERAGE(OFFSET($GD$3,0,0,'Données projet'!$E$17+1,1))-AVERAGE(OFFSET($H$3,0,0,'Données projet'!$E$17+1,1))</f>
        <v>199.58763537752952</v>
      </c>
      <c r="GF45" s="59">
        <f t="shared" si="50"/>
        <v>242.62852778451929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7.3726640367681702</v>
      </c>
      <c r="GN45" s="21">
        <f>EXP(-LN(2)/2)*GN44+(1-EXP(-LN(2)/2))/(LN(2)/2)*GH45*GK45*VLOOKUP('Données projet'!$B$17,Paramètres!$A$1:$I$89,3,0)*0.475*44/12</f>
        <v>0.16814934989406585</v>
      </c>
      <c r="GO45" s="21">
        <f t="shared" si="27"/>
        <v>7.5408133866622364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5.3369963369963358</v>
      </c>
      <c r="N46" s="13">
        <f>IF('Données projet'!$A$36&gt;35,N45+M46-V45,IF(A46&lt;'Données projet'!$A$36,$K$205^A46,IF(A46='Données projet'!$A$36,'Données projet'!$B$36,N45+M46-V45)))</f>
        <v>157.08608058608053</v>
      </c>
      <c r="O46" s="13">
        <f>N46*VLOOKUP('Données projet'!$B$9,Paramètres!$A$1:$I$89,3,0)*VLOOKUP('Données projet'!$B$9,Paramètres!$A$1:$I$89,5,0)</f>
        <v>142.13148571428567</v>
      </c>
      <c r="P46" s="13">
        <f t="shared" si="33"/>
        <v>36.784868701185438</v>
      </c>
      <c r="Q46" s="20">
        <f t="shared" si="53"/>
        <v>311.61265060694552</v>
      </c>
      <c r="R46" s="59">
        <f t="shared" si="0"/>
        <v>604.94598394027889</v>
      </c>
      <c r="S46" s="59">
        <f ca="1">AVERAGE(OFFSET($R$3,0,0,'Données projet'!$E$9+1,1))-AVERAGE(OFFSET($H$3,0,0,'Données projet'!$E$9+1,1))</f>
        <v>153.45079678708987</v>
      </c>
      <c r="T46" s="59">
        <f t="shared" si="34"/>
        <v>115.4217868409637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159.28528571428566</v>
      </c>
      <c r="AK46" s="13">
        <f t="shared" si="35"/>
        <v>40.681267624862308</v>
      </c>
      <c r="AL46" s="20">
        <f t="shared" si="4"/>
        <v>348.27508039901596</v>
      </c>
      <c r="AM46" s="59">
        <f t="shared" si="5"/>
        <v>641.60841373234928</v>
      </c>
      <c r="AN46" s="59">
        <f ca="1">AVERAGE(OFFSET($AM$3,0,0,'Données projet'!$E$10+1,1))-AVERAGE(OFFSET($H$3,0,0,'Données projet'!$E$10+1,1))</f>
        <v>190.21499310415584</v>
      </c>
      <c r="AO46" s="59">
        <f t="shared" si="36"/>
        <v>136.15730566500173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16.2</v>
      </c>
      <c r="BD46" s="12">
        <f>IF('Données projet'!$A$88&gt;35,BD45+BC46-BL45,IF(A46&lt;'Données projet'!$A$88,$BA$205^A46,IF(A46='Données projet'!$A$88,'Données projet'!$B$88,BD45+BC46-BL45)))</f>
        <v>266.59999999999991</v>
      </c>
      <c r="BE46" s="13">
        <f>BD46*VLOOKUP('Données projet'!$B$11,Paramètres!$A$1:$I$89,3,0)*VLOOKUP('Données projet'!$B$11,Paramètres!$A$1:$I$89,5,0)</f>
        <v>159.42679999999996</v>
      </c>
      <c r="BF46" s="13">
        <f t="shared" si="37"/>
        <v>40.713201554193425</v>
      </c>
      <c r="BG46" s="20">
        <f t="shared" si="7"/>
        <v>348.57716937355349</v>
      </c>
      <c r="BH46" s="59">
        <f t="shared" si="8"/>
        <v>641.91050270688675</v>
      </c>
      <c r="BI46" s="59">
        <f ca="1">AVERAGE(OFFSET($BH$3,0,0,'Données projet'!$E$11+1,1))-AVERAGE(OFFSET($H$3,0,0,'Données projet'!$E$11+1,1))</f>
        <v>270.30888762640245</v>
      </c>
      <c r="BJ46" s="59">
        <f t="shared" si="38"/>
        <v>202.23783851977691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1.6557019616809998</v>
      </c>
      <c r="BQ46" s="21">
        <f>EXP(-LN(2)/25)*BQ45+(1-EXP(-LN(2)/25))/(LN(2)/25)*Calculateur!BL46*Calculateur!BN46*VLOOKUP('Données projet'!$B$11,Paramètres!$A$1:$I$89,3,0)*0.475*44/12</f>
        <v>8.5743318623462557</v>
      </c>
      <c r="BR46" s="21">
        <f>EXP(-LN(2)/2)*BR45+(1-EXP(-LN(2)/2))/(LN(2)/2)*BL46*BO46*VLOOKUP('Données projet'!$B$11,Paramètres!$A$1:$I$89,3,0)*0.475*44/12</f>
        <v>0.20431638958306669</v>
      </c>
      <c r="BS46" s="22">
        <f t="shared" si="9"/>
        <v>10.434350213610323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16.2</v>
      </c>
      <c r="BY46" s="12">
        <f>IF('Données projet'!$A$114&gt;35,BY45+BX46-CG45,IF(A46&lt;'Données projet'!$A$114,$BV$205^A46,IF(A46='Données projet'!$A$114,'Données projet'!$B$114,BY45+BX46-CG45)))</f>
        <v>266.59999999999991</v>
      </c>
      <c r="BZ46" s="13">
        <f>BY46*VLOOKUP('Données projet'!$B$12,Paramètres!$A$1:$I$89,3,0)*VLOOKUP('Données projet'!$B$12,Paramètres!$A$1:$I$89,5,0)</f>
        <v>159.42679999999996</v>
      </c>
      <c r="CA46" s="13">
        <f t="shared" si="39"/>
        <v>40.713201554193425</v>
      </c>
      <c r="CB46" s="20">
        <f t="shared" si="10"/>
        <v>348.57716937355349</v>
      </c>
      <c r="CC46" s="59">
        <f t="shared" si="11"/>
        <v>641.91050270688675</v>
      </c>
      <c r="CD46" s="59">
        <f ca="1">AVERAGE(OFFSET($CC$3,0,0,'Données projet'!$E$12+1,1))-AVERAGE(OFFSET($H$3,0,0,'Données projet'!$E$12+1,1))</f>
        <v>270.30888762640245</v>
      </c>
      <c r="CE46" s="59">
        <f t="shared" si="40"/>
        <v>202.23783851977691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1.6557019616809998</v>
      </c>
      <c r="CL46" s="21">
        <f>EXP(-LN(2)/25)*CL45+(1-EXP(-LN(2)/25))/(LN(2)/25)*Calculateur!CG46*Calculateur!CI46*VLOOKUP('Données projet'!$B$12,Paramètres!$A$1:$I$89,3,0)*0.475*44/12</f>
        <v>8.5743318623462557</v>
      </c>
      <c r="CM46" s="21">
        <f>EXP(-LN(2)/2)*CM45+(1-EXP(-LN(2)/2))/(LN(2)/2)*CG46*CJ46*VLOOKUP('Données projet'!$B$12,Paramètres!$A$1:$I$89,3,0)*0.475*44/12</f>
        <v>0.20431638958306669</v>
      </c>
      <c r="CN46" s="22">
        <f t="shared" si="12"/>
        <v>10.434350213610323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15.618681318681309</v>
      </c>
      <c r="CT46" s="12">
        <f>IF('Données projet'!$A$140&gt;35,CT45+CS46-DB45,IF(A46&lt;'Données projet'!$A$140,$CQ$205^A46,IF(A46='Données projet'!$A$140,'Données projet'!$B$140,CT45+CS46-DB45)))</f>
        <v>246.14175824175837</v>
      </c>
      <c r="CU46" s="17">
        <f>CT46*VLOOKUP('Données projet'!$B$13,Paramètres!$A$1:$I$89,3,0)*VLOOKUP('Données projet'!$B$13,Paramètres!$A$1:$I$89,5,0)</f>
        <v>115.19434285714291</v>
      </c>
      <c r="CV46" s="13">
        <f t="shared" si="41"/>
        <v>30.5515065129288</v>
      </c>
      <c r="CW46" s="20">
        <f t="shared" si="13"/>
        <v>253.84068765287489</v>
      </c>
      <c r="CX46" s="59">
        <f t="shared" si="14"/>
        <v>547.17402098620823</v>
      </c>
      <c r="CY46" s="59">
        <f ca="1">AVERAGE(OFFSET($CX$3,0,0,'Données projet'!$E$13+1,1))-AVERAGE(OFFSET($H$3,0,0,'Données projet'!$E$13+1,1))</f>
        <v>158.58786357608489</v>
      </c>
      <c r="CZ46" s="59">
        <f t="shared" si="42"/>
        <v>163.20074068819849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7.7</v>
      </c>
      <c r="DO46" s="12">
        <f>IF('Données projet'!$A$166&gt;35,DO45+DN46-DW45,IF(A46&lt;'Données projet'!$A$166,$DL$205^A46,IF(A46='Données projet'!$A$166,'Données projet'!$B$166,DO45+DN46-DW45)))</f>
        <v>187.09999999999982</v>
      </c>
      <c r="DP46" s="17">
        <f>DO46*VLOOKUP('Données projet'!$B$14,Paramètres!$A$1:$I$89,3,0)*VLOOKUP('Données projet'!$B$14,Paramètres!$A$1:$I$89,5,0)</f>
        <v>125.50667999999988</v>
      </c>
      <c r="DQ46" s="13">
        <f t="shared" si="43"/>
        <v>32.95596902227328</v>
      </c>
      <c r="DR46" s="20">
        <f t="shared" si="16"/>
        <v>275.98911371379239</v>
      </c>
      <c r="DS46" s="59">
        <f t="shared" si="17"/>
        <v>569.32244704712571</v>
      </c>
      <c r="DT46" s="59">
        <f ca="1">AVERAGE(OFFSET($DS$3,0,0,'Données projet'!$E$14+1,1))-AVERAGE(OFFSET($H$3,0,0,'Données projet'!$E$14+1,1))</f>
        <v>156.63226020379989</v>
      </c>
      <c r="DU46" s="59">
        <f t="shared" si="44"/>
        <v>196.0481096619543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6.0461862841521858</v>
      </c>
      <c r="EC46" s="21">
        <f>EXP(-LN(2)/2)*EC45+(1-EXP(-LN(2)/2))/(LN(2)/2)*DW46*DZ46*VLOOKUP('Données projet'!$B$14,Paramètres!$A$1:$I$89,3,0)*0.475*44/12</f>
        <v>0.10024863645440678</v>
      </c>
      <c r="ED46" s="22">
        <f t="shared" si="18"/>
        <v>6.1464349206065929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5.3369963369963358</v>
      </c>
      <c r="EJ46" s="12">
        <f>IF('Données projet'!$A$192&gt;35,EJ45+EI46-ER45,IF(A46&lt;'Données projet'!$A$192,$EG$205^A46,IF(A46='Données projet'!$A$192,'Données projet'!$B$192,EJ45+EI46-ER45)))</f>
        <v>157.08608058608053</v>
      </c>
      <c r="EK46" s="17">
        <f>EJ46*VLOOKUP('Données projet'!$B$15,Paramètres!$A$1:$I$89,3,0)*VLOOKUP('Données projet'!$B$15,Paramètres!$A$1:$I$89,5,0)</f>
        <v>169.08745714285709</v>
      </c>
      <c r="EL46" s="13">
        <f t="shared" si="45"/>
        <v>42.885580363258008</v>
      </c>
      <c r="EM46" s="20">
        <f t="shared" si="19"/>
        <v>369.1863736564838</v>
      </c>
      <c r="EN46" s="59">
        <f t="shared" si="20"/>
        <v>662.51970698981711</v>
      </c>
      <c r="EO46" s="59">
        <f ca="1">AVERAGE(OFFSET($EN$3,0,0,'Données projet'!$E$15+1,1))-AVERAGE(OFFSET($H$3,0,0,'Données projet'!$E$15+1,1))</f>
        <v>211.18501783767226</v>
      </c>
      <c r="EP46" s="59">
        <f t="shared" si="46"/>
        <v>147.98306963466246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12.2</v>
      </c>
      <c r="FE46" s="12">
        <f>IF('Données projet'!$A$218&gt;35,FE45+FD46-FM45,IF(A46&lt;'Données projet'!$A$218,$FB$205^A46,IF(A46='Données projet'!$A$218,'Données projet'!$B$218,FE45+FD46-FM45)))</f>
        <v>201.59999999999991</v>
      </c>
      <c r="FF46" s="17">
        <f>FE46*VLOOKUP('Données projet'!$B$16,Paramètres!$A$1:$I$89,3,0)*VLOOKUP('Données projet'!$B$16,Paramètres!$A$1:$I$89,5,0)</f>
        <v>120.55679999999995</v>
      </c>
      <c r="FG46" s="13">
        <f t="shared" si="47"/>
        <v>31.804828741198779</v>
      </c>
      <c r="FH46" s="20">
        <f t="shared" si="22"/>
        <v>265.36317005758775</v>
      </c>
      <c r="FI46" s="59">
        <f t="shared" si="23"/>
        <v>558.69650339092107</v>
      </c>
      <c r="FJ46" s="59">
        <f ca="1">AVERAGE(OFFSET($FI$3,0,0,'Données projet'!$E$16+1,1))-AVERAGE(OFFSET($H$3,0,0,'Données projet'!$E$16+1,1))</f>
        <v>232.26937455765062</v>
      </c>
      <c r="FK46" s="59">
        <f t="shared" si="48"/>
        <v>115.80853281120301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1.7108920270703669</v>
      </c>
      <c r="FR46" s="21">
        <f>EXP(-LN(2)/25)*FR45+(1-EXP(-LN(2)/25))/(LN(2)/25)*Calculateur!FM46*Calculateur!FO46*VLOOKUP('Données projet'!$B$16,Paramètres!$A$1:$I$89,3,0)*0.475*44/12</f>
        <v>3.0747852104859312</v>
      </c>
      <c r="FS46" s="21">
        <f>EXP(-LN(2)/2)*FS45+(1-EXP(-LN(2)/2))/(LN(2)/2)*FM46*FP46*VLOOKUP('Données projet'!$B$16,Paramètres!$A$1:$I$89,3,0)*0.475*44/12</f>
        <v>9.2760575957163457E-2</v>
      </c>
      <c r="FT46" s="22">
        <f t="shared" si="24"/>
        <v>4.878437813513461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7.7</v>
      </c>
      <c r="FZ46" s="12">
        <f>IF('Données projet'!$A$244&gt;35,FZ45+FY46-GH45,IF(A46&lt;'Données projet'!$A$244,$FW$205^A46,IF(A46='Données projet'!$A$244,'Données projet'!$B$244,FZ45+FY46-GH45)))</f>
        <v>187.09999999999982</v>
      </c>
      <c r="GA46" s="17">
        <f>FZ46*VLOOKUP('Données projet'!$B$17,Paramètres!$A$1:$I$89,3,0)*VLOOKUP('Données projet'!$B$17,Paramètres!$A$1:$I$89,5,0)</f>
        <v>148.85675999999987</v>
      </c>
      <c r="GB46" s="13">
        <f t="shared" si="49"/>
        <v>38.318664656580218</v>
      </c>
      <c r="GC46" s="20">
        <f t="shared" si="25"/>
        <v>325.9971979435436</v>
      </c>
      <c r="GD46" s="59">
        <f t="shared" si="26"/>
        <v>619.33053127687685</v>
      </c>
      <c r="GE46" s="59">
        <f ca="1">AVERAGE(OFFSET($GD$3,0,0,'Données projet'!$E$17+1,1))-AVERAGE(OFFSET($H$3,0,0,'Données projet'!$E$17+1,1))</f>
        <v>199.58763537752952</v>
      </c>
      <c r="GF46" s="59">
        <f t="shared" si="50"/>
        <v>242.62852778451929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7.1710581509711933</v>
      </c>
      <c r="GN46" s="21">
        <f>EXP(-LN(2)/2)*GN45+(1-EXP(-LN(2)/2))/(LN(2)/2)*GH46*GK46*VLOOKUP('Données projet'!$B$17,Paramètres!$A$1:$I$89,3,0)*0.475*44/12</f>
        <v>0.11889954556220345</v>
      </c>
      <c r="GO46" s="21">
        <f t="shared" si="27"/>
        <v>7.2899576965333965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162.42307692307691</v>
      </c>
      <c r="L47" s="12">
        <f>VLOOKUP(A47,'Données projet'!$A$35:$I$55,9,0)</f>
        <v>5.3369963369963358</v>
      </c>
      <c r="M47" s="12">
        <f t="array" ref="M47">INDEX(L:L,MIN(IF(ISNUMBER(L47:L243),ROW(L47:L243),"")))</f>
        <v>5.3369963369963358</v>
      </c>
      <c r="N47" s="13">
        <f>IF('Données projet'!$A$36&gt;35,N46+M47-V46,IF(A47&lt;'Données projet'!$A$36,$K$205^A47,IF(A47='Données projet'!$A$36,'Données projet'!$B$36,N46+M47-V46)))</f>
        <v>162.42307692307685</v>
      </c>
      <c r="O47" s="13">
        <f>N47*VLOOKUP('Données projet'!$B$9,Paramètres!$A$1:$I$89,3,0)*VLOOKUP('Données projet'!$B$9,Paramètres!$A$1:$I$89,5,0)</f>
        <v>146.96039999999991</v>
      </c>
      <c r="P47" s="13">
        <f t="shared" si="33"/>
        <v>37.887004745652405</v>
      </c>
      <c r="Q47" s="20">
        <f t="shared" si="53"/>
        <v>321.94256326534446</v>
      </c>
      <c r="R47" s="59">
        <f t="shared" si="0"/>
        <v>615.27589659867772</v>
      </c>
      <c r="S47" s="59">
        <f ca="1">AVERAGE(OFFSET($R$3,0,0,'Données projet'!$E$9+1,1))-AVERAGE(OFFSET($H$3,0,0,'Données projet'!$E$9+1,1))</f>
        <v>153.45079678708987</v>
      </c>
      <c r="T47" s="59">
        <f t="shared" si="34"/>
        <v>115.4217868409637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64.416666666666657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164.69699999999995</v>
      </c>
      <c r="AK47" s="13">
        <f t="shared" si="35"/>
        <v>41.900146282502362</v>
      </c>
      <c r="AL47" s="20">
        <f t="shared" si="4"/>
        <v>359.82336310869147</v>
      </c>
      <c r="AM47" s="59">
        <f t="shared" si="5"/>
        <v>653.15669644202478</v>
      </c>
      <c r="AN47" s="59">
        <f ca="1">AVERAGE(OFFSET($AM$3,0,0,'Données projet'!$E$10+1,1))-AVERAGE(OFFSET($H$3,0,0,'Données projet'!$E$10+1,1))</f>
        <v>190.21499310415584</v>
      </c>
      <c r="AO47" s="59">
        <f t="shared" si="36"/>
        <v>136.15730566500173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16.2</v>
      </c>
      <c r="BD47" s="12">
        <f>IF('Données projet'!$A$88&gt;35,BD46+BC47-BL46,IF(A47&lt;'Données projet'!$A$88,$BA$205^A47,IF(A47='Données projet'!$A$88,'Données projet'!$B$88,BD46+BC47-BL46)))</f>
        <v>282.7999999999999</v>
      </c>
      <c r="BE47" s="13">
        <f>BD47*VLOOKUP('Données projet'!$B$11,Paramètres!$A$1:$I$89,3,0)*VLOOKUP('Données projet'!$B$11,Paramètres!$A$1:$I$89,5,0)</f>
        <v>169.11439999999996</v>
      </c>
      <c r="BF47" s="13">
        <f t="shared" si="37"/>
        <v>42.891618392708978</v>
      </c>
      <c r="BG47" s="20">
        <f t="shared" si="7"/>
        <v>369.24381536730135</v>
      </c>
      <c r="BH47" s="59">
        <f t="shared" si="8"/>
        <v>662.57714870063467</v>
      </c>
      <c r="BI47" s="59">
        <f ca="1">AVERAGE(OFFSET($BH$3,0,0,'Données projet'!$E$11+1,1))-AVERAGE(OFFSET($H$3,0,0,'Données projet'!$E$11+1,1))</f>
        <v>270.30888762640245</v>
      </c>
      <c r="BJ47" s="59">
        <f t="shared" si="38"/>
        <v>202.23783851977691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1.6232346560909148</v>
      </c>
      <c r="BQ47" s="21">
        <f>EXP(-LN(2)/25)*BQ46+(1-EXP(-LN(2)/25))/(LN(2)/25)*Calculateur!BL47*Calculateur!BN47*VLOOKUP('Données projet'!$B$11,Paramètres!$A$1:$I$89,3,0)*0.475*44/12</f>
        <v>8.3398663066658809</v>
      </c>
      <c r="BR47" s="21">
        <f>EXP(-LN(2)/2)*BR46+(1-EXP(-LN(2)/2))/(LN(2)/2)*BL47*BO47*VLOOKUP('Données projet'!$B$11,Paramètres!$A$1:$I$89,3,0)*0.475*44/12</f>
        <v>0.14447350458173894</v>
      </c>
      <c r="BS47" s="22">
        <f t="shared" si="9"/>
        <v>10.107574467338535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16.2</v>
      </c>
      <c r="BY47" s="12">
        <f>IF('Données projet'!$A$114&gt;35,BY46+BX47-CG46,IF(A47&lt;'Données projet'!$A$114,$BV$205^A47,IF(A47='Données projet'!$A$114,'Données projet'!$B$114,BY46+BX47-CG46)))</f>
        <v>282.7999999999999</v>
      </c>
      <c r="BZ47" s="13">
        <f>BY47*VLOOKUP('Données projet'!$B$12,Paramètres!$A$1:$I$89,3,0)*VLOOKUP('Données projet'!$B$12,Paramètres!$A$1:$I$89,5,0)</f>
        <v>169.11439999999996</v>
      </c>
      <c r="CA47" s="13">
        <f t="shared" si="39"/>
        <v>42.891618392708978</v>
      </c>
      <c r="CB47" s="20">
        <f t="shared" si="10"/>
        <v>369.24381536730135</v>
      </c>
      <c r="CC47" s="59">
        <f t="shared" si="11"/>
        <v>662.57714870063467</v>
      </c>
      <c r="CD47" s="59">
        <f ca="1">AVERAGE(OFFSET($CC$3,0,0,'Données projet'!$E$12+1,1))-AVERAGE(OFFSET($H$3,0,0,'Données projet'!$E$12+1,1))</f>
        <v>270.30888762640245</v>
      </c>
      <c r="CE47" s="59">
        <f t="shared" si="40"/>
        <v>202.23783851977691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1.6232346560909148</v>
      </c>
      <c r="CL47" s="21">
        <f>EXP(-LN(2)/25)*CL46+(1-EXP(-LN(2)/25))/(LN(2)/25)*Calculateur!CG47*Calculateur!CI47*VLOOKUP('Données projet'!$B$12,Paramètres!$A$1:$I$89,3,0)*0.475*44/12</f>
        <v>8.3398663066658809</v>
      </c>
      <c r="CM47" s="21">
        <f>EXP(-LN(2)/2)*CM46+(1-EXP(-LN(2)/2))/(LN(2)/2)*CG47*CJ47*VLOOKUP('Données projet'!$B$12,Paramètres!$A$1:$I$89,3,0)*0.475*44/12</f>
        <v>0.14447350458173894</v>
      </c>
      <c r="CN47" s="22">
        <f t="shared" si="12"/>
        <v>10.107574467338535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15.618681318681309</v>
      </c>
      <c r="CT47" s="12">
        <f>IF('Données projet'!$A$140&gt;35,CT46+CS47-DB46,IF(A47&lt;'Données projet'!$A$140,$CQ$205^A47,IF(A47='Données projet'!$A$140,'Données projet'!$B$140,CT46+CS47-DB46)))</f>
        <v>261.76043956043969</v>
      </c>
      <c r="CU47" s="17">
        <f>CT47*VLOOKUP('Données projet'!$B$13,Paramètres!$A$1:$I$89,3,0)*VLOOKUP('Données projet'!$B$13,Paramètres!$A$1:$I$89,5,0)</f>
        <v>122.50388571428577</v>
      </c>
      <c r="CV47" s="13">
        <f t="shared" si="41"/>
        <v>32.258285776503719</v>
      </c>
      <c r="CW47" s="20">
        <f t="shared" si="13"/>
        <v>269.54411534645834</v>
      </c>
      <c r="CX47" s="59">
        <f t="shared" si="14"/>
        <v>562.87744867979166</v>
      </c>
      <c r="CY47" s="59">
        <f ca="1">AVERAGE(OFFSET($CX$3,0,0,'Données projet'!$E$13+1,1))-AVERAGE(OFFSET($H$3,0,0,'Données projet'!$E$13+1,1))</f>
        <v>158.58786357608489</v>
      </c>
      <c r="CZ47" s="59">
        <f t="shared" si="42"/>
        <v>163.20074068819849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7.7</v>
      </c>
      <c r="DO47" s="12">
        <f>IF('Données projet'!$A$166&gt;35,DO46+DN47-DW46,IF(A47&lt;'Données projet'!$A$166,$DL$205^A47,IF(A47='Données projet'!$A$166,'Données projet'!$B$166,DO46+DN47-DW46)))</f>
        <v>194.79999999999981</v>
      </c>
      <c r="DP47" s="17">
        <f>DO47*VLOOKUP('Données projet'!$B$14,Paramètres!$A$1:$I$89,3,0)*VLOOKUP('Données projet'!$B$14,Paramètres!$A$1:$I$89,5,0)</f>
        <v>130.67183999999989</v>
      </c>
      <c r="DQ47" s="13">
        <f t="shared" si="43"/>
        <v>34.151555226731247</v>
      </c>
      <c r="DR47" s="20">
        <f t="shared" si="16"/>
        <v>287.0674133532234</v>
      </c>
      <c r="DS47" s="59">
        <f t="shared" si="17"/>
        <v>580.40074668655666</v>
      </c>
      <c r="DT47" s="59">
        <f ca="1">AVERAGE(OFFSET($DS$3,0,0,'Données projet'!$E$14+1,1))-AVERAGE(OFFSET($H$3,0,0,'Données projet'!$E$14+1,1))</f>
        <v>156.63226020379989</v>
      </c>
      <c r="DU47" s="59">
        <f t="shared" si="44"/>
        <v>196.0481096619543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5.8808530022569263</v>
      </c>
      <c r="EC47" s="21">
        <f>EXP(-LN(2)/2)*EC46+(1-EXP(-LN(2)/2))/(LN(2)/2)*DW47*DZ47*VLOOKUP('Données projet'!$B$14,Paramètres!$A$1:$I$89,3,0)*0.475*44/12</f>
        <v>7.0886490641615965E-2</v>
      </c>
      <c r="ED47" s="22">
        <f t="shared" si="18"/>
        <v>5.9517394928985423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162.42307692307691</v>
      </c>
      <c r="EH47" s="12">
        <f>VLOOKUP(A47,'Données projet'!$A$191:$I$211,9,0)</f>
        <v>5.3369963369963358</v>
      </c>
      <c r="EI47" s="12">
        <f t="array" ref="EI47">INDEX(EH:EH,MIN(IF(ISNUMBER(EH47:EH243),ROW(EH47:EH243),"")))</f>
        <v>5.3369963369963358</v>
      </c>
      <c r="EJ47" s="12">
        <f>IF('Données projet'!$A$192&gt;35,EJ46+EI47-ER46,IF(A47&lt;'Données projet'!$A$192,$EG$205^A47,IF(A47='Données projet'!$A$192,'Données projet'!$B$192,EJ46+EI47-ER46)))</f>
        <v>162.42307692307685</v>
      </c>
      <c r="EK47" s="17">
        <f>EJ47*VLOOKUP('Données projet'!$B$15,Paramètres!$A$1:$I$89,3,0)*VLOOKUP('Données projet'!$B$15,Paramètres!$A$1:$I$89,5,0)</f>
        <v>174.83219999999992</v>
      </c>
      <c r="EL47" s="13">
        <f t="shared" si="45"/>
        <v>44.17050390859356</v>
      </c>
      <c r="EM47" s="20">
        <f t="shared" si="19"/>
        <v>381.42970930746696</v>
      </c>
      <c r="EN47" s="59">
        <f t="shared" si="20"/>
        <v>674.76304264080022</v>
      </c>
      <c r="EO47" s="59">
        <f ca="1">AVERAGE(OFFSET($EN$3,0,0,'Données projet'!$E$15+1,1))-AVERAGE(OFFSET($H$3,0,0,'Données projet'!$E$15+1,1))</f>
        <v>211.18501783767226</v>
      </c>
      <c r="EP47" s="59">
        <f t="shared" si="46"/>
        <v>147.98306963466246</v>
      </c>
      <c r="EQ47" s="15">
        <f>IF(ISNA(VLOOKUP(A47,'Données projet'!$A$191:$I$211,3,0)),0,VLOOKUP(A47,'Données projet'!$A$191:$I$211,3,0))</f>
        <v>1</v>
      </c>
      <c r="ER47" s="15">
        <f>IF(ISNA(VLOOKUP(A47,'Données projet'!$A$191:$I$211,4,0)),0,VLOOKUP(A47,'Données projet'!$A$191:$I$211,4,0))</f>
        <v>64.416666666666657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12.2</v>
      </c>
      <c r="FE47" s="12">
        <f>IF('Données projet'!$A$218&gt;35,FE46+FD47-FM46,IF(A47&lt;'Données projet'!$A$218,$FB$205^A47,IF(A47='Données projet'!$A$218,'Données projet'!$B$218,FE46+FD47-FM46)))</f>
        <v>213.7999999999999</v>
      </c>
      <c r="FF47" s="17">
        <f>FE47*VLOOKUP('Données projet'!$B$16,Paramètres!$A$1:$I$89,3,0)*VLOOKUP('Données projet'!$B$16,Paramètres!$A$1:$I$89,5,0)</f>
        <v>127.85239999999995</v>
      </c>
      <c r="FG47" s="13">
        <f t="shared" si="47"/>
        <v>33.499631944426227</v>
      </c>
      <c r="FH47" s="20">
        <f t="shared" si="22"/>
        <v>281.02145563654227</v>
      </c>
      <c r="FI47" s="59">
        <f t="shared" si="23"/>
        <v>574.35478896987559</v>
      </c>
      <c r="FJ47" s="59">
        <f ca="1">AVERAGE(OFFSET($FI$3,0,0,'Données projet'!$E$16+1,1))-AVERAGE(OFFSET($H$3,0,0,'Données projet'!$E$16+1,1))</f>
        <v>232.26937455765062</v>
      </c>
      <c r="FK47" s="59">
        <f t="shared" si="48"/>
        <v>115.80853281120301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1.6773424779606123</v>
      </c>
      <c r="FR47" s="21">
        <f>EXP(-LN(2)/25)*FR46+(1-EXP(-LN(2)/25))/(LN(2)/25)*Calculateur!FM47*Calculateur!FO47*VLOOKUP('Données projet'!$B$16,Paramètres!$A$1:$I$89,3,0)*0.475*44/12</f>
        <v>2.9907050472092669</v>
      </c>
      <c r="FS47" s="21">
        <f>EXP(-LN(2)/2)*FS46+(1-EXP(-LN(2)/2))/(LN(2)/2)*FM47*FP47*VLOOKUP('Données projet'!$B$16,Paramètres!$A$1:$I$89,3,0)*0.475*44/12</f>
        <v>6.5591632286080101E-2</v>
      </c>
      <c r="FT47" s="22">
        <f t="shared" si="24"/>
        <v>4.7336391574559586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7.7</v>
      </c>
      <c r="FZ47" s="12">
        <f>IF('Données projet'!$A$244&gt;35,FZ46+FY47-GH46,IF(A47&lt;'Données projet'!$A$244,$FW$205^A47,IF(A47='Données projet'!$A$244,'Données projet'!$B$244,FZ46+FY47-GH46)))</f>
        <v>194.79999999999981</v>
      </c>
      <c r="GA47" s="17">
        <f>FZ47*VLOOKUP('Données projet'!$B$17,Paramètres!$A$1:$I$89,3,0)*VLOOKUP('Données projet'!$B$17,Paramètres!$A$1:$I$89,5,0)</f>
        <v>154.98287999999985</v>
      </c>
      <c r="GB47" s="13">
        <f t="shared" si="49"/>
        <v>39.708800288935478</v>
      </c>
      <c r="GC47" s="20">
        <f t="shared" si="25"/>
        <v>339.08800983656238</v>
      </c>
      <c r="GD47" s="59">
        <f t="shared" si="26"/>
        <v>632.42134316989564</v>
      </c>
      <c r="GE47" s="59">
        <f ca="1">AVERAGE(OFFSET($GD$3,0,0,'Données projet'!$E$17+1,1))-AVERAGE(OFFSET($H$3,0,0,'Données projet'!$E$17+1,1))</f>
        <v>199.58763537752952</v>
      </c>
      <c r="GF47" s="59">
        <f t="shared" si="50"/>
        <v>242.62852778451929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6.9749651887233277</v>
      </c>
      <c r="GN47" s="21">
        <f>EXP(-LN(2)/2)*GN46+(1-EXP(-LN(2)/2))/(LN(2)/2)*GH47*GK47*VLOOKUP('Données projet'!$B$17,Paramètres!$A$1:$I$89,3,0)*0.475*44/12</f>
        <v>8.407467494703294E-2</v>
      </c>
      <c r="GO47" s="21">
        <f t="shared" si="27"/>
        <v>7.0590398636703604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6.8260073260073284</v>
      </c>
      <c r="N48" s="13">
        <f>IF('Données projet'!$A$36&gt;35,N47+M48-V47,IF(A48&lt;'Données projet'!$A$36,$K$205^A48,IF(A48='Données projet'!$A$36,'Données projet'!$B$36,N47+M48-V47)))</f>
        <v>104.83241758241752</v>
      </c>
      <c r="O48" s="13">
        <f>N48*VLOOKUP('Données projet'!$B$9,Paramètres!$A$1:$I$89,3,0)*VLOOKUP('Données projet'!$B$9,Paramètres!$A$1:$I$89,5,0)</f>
        <v>94.852371428571374</v>
      </c>
      <c r="P48" s="13">
        <f t="shared" si="33"/>
        <v>25.731899613510901</v>
      </c>
      <c r="Q48" s="20">
        <f t="shared" si="53"/>
        <v>210.01760539829328</v>
      </c>
      <c r="R48" s="59">
        <f t="shared" si="0"/>
        <v>503.35093873162657</v>
      </c>
      <c r="S48" s="59">
        <f ca="1">AVERAGE(OFFSET($R$3,0,0,'Données projet'!$E$9+1,1))-AVERAGE(OFFSET($H$3,0,0,'Données projet'!$E$9+1,1))</f>
        <v>153.45079678708987</v>
      </c>
      <c r="T48" s="59">
        <f t="shared" si="34"/>
        <v>115.4217868409637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6.8260073260073284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106.30007142857137</v>
      </c>
      <c r="AK48" s="13">
        <f t="shared" si="35"/>
        <v>28.457524292851215</v>
      </c>
      <c r="AL48" s="20">
        <f t="shared" si="4"/>
        <v>234.70281254814427</v>
      </c>
      <c r="AM48" s="59">
        <f t="shared" si="5"/>
        <v>528.03614588147752</v>
      </c>
      <c r="AN48" s="59">
        <f ca="1">AVERAGE(OFFSET($AM$3,0,0,'Données projet'!$E$10+1,1))-AVERAGE(OFFSET($H$3,0,0,'Données projet'!$E$10+1,1))</f>
        <v>190.21499310415584</v>
      </c>
      <c r="AO48" s="59">
        <f t="shared" si="36"/>
        <v>136.15730566500173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16.2</v>
      </c>
      <c r="BD48" s="12">
        <f>IF('Données projet'!$A$88&gt;35,BD47+BC48-BL47,IF(A48&lt;'Données projet'!$A$88,$BA$205^A48,IF(A48='Données projet'!$A$88,'Données projet'!$B$88,BD47+BC48-BL47)))</f>
        <v>298.99999999999989</v>
      </c>
      <c r="BE48" s="13">
        <f>BD48*VLOOKUP('Données projet'!$B$11,Paramètres!$A$1:$I$89,3,0)*VLOOKUP('Données projet'!$B$11,Paramètres!$A$1:$I$89,5,0)</f>
        <v>178.80199999999996</v>
      </c>
      <c r="BF48" s="13">
        <f t="shared" si="37"/>
        <v>45.055549739375898</v>
      </c>
      <c r="BG48" s="20">
        <f t="shared" si="7"/>
        <v>389.88523246274627</v>
      </c>
      <c r="BH48" s="59">
        <f t="shared" si="8"/>
        <v>683.21856579607959</v>
      </c>
      <c r="BI48" s="59">
        <f ca="1">AVERAGE(OFFSET($BH$3,0,0,'Données projet'!$E$11+1,1))-AVERAGE(OFFSET($H$3,0,0,'Données projet'!$E$11+1,1))</f>
        <v>270.30888762640245</v>
      </c>
      <c r="BJ48" s="59">
        <f t="shared" si="38"/>
        <v>202.23783851977691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1.5914040145603503</v>
      </c>
      <c r="BQ48" s="21">
        <f>EXP(-LN(2)/25)*BQ47+(1-EXP(-LN(2)/25))/(LN(2)/25)*Calculateur!BL48*Calculateur!BN48*VLOOKUP('Données projet'!$B$11,Paramètres!$A$1:$I$89,3,0)*0.475*44/12</f>
        <v>8.1118122239355941</v>
      </c>
      <c r="BR48" s="21">
        <f>EXP(-LN(2)/2)*BR47+(1-EXP(-LN(2)/2))/(LN(2)/2)*BL48*BO48*VLOOKUP('Données projet'!$B$11,Paramètres!$A$1:$I$89,3,0)*0.475*44/12</f>
        <v>0.10215819479153335</v>
      </c>
      <c r="BS48" s="22">
        <f t="shared" si="9"/>
        <v>9.8053744332874775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16.2</v>
      </c>
      <c r="BY48" s="12">
        <f>IF('Données projet'!$A$114&gt;35,BY47+BX48-CG47,IF(A48&lt;'Données projet'!$A$114,$BV$205^A48,IF(A48='Données projet'!$A$114,'Données projet'!$B$114,BY47+BX48-CG47)))</f>
        <v>298.99999999999989</v>
      </c>
      <c r="BZ48" s="13">
        <f>BY48*VLOOKUP('Données projet'!$B$12,Paramètres!$A$1:$I$89,3,0)*VLOOKUP('Données projet'!$B$12,Paramètres!$A$1:$I$89,5,0)</f>
        <v>178.80199999999996</v>
      </c>
      <c r="CA48" s="13">
        <f t="shared" si="39"/>
        <v>45.055549739375898</v>
      </c>
      <c r="CB48" s="20">
        <f t="shared" si="10"/>
        <v>389.88523246274627</v>
      </c>
      <c r="CC48" s="59">
        <f t="shared" si="11"/>
        <v>683.21856579607959</v>
      </c>
      <c r="CD48" s="59">
        <f ca="1">AVERAGE(OFFSET($CC$3,0,0,'Données projet'!$E$12+1,1))-AVERAGE(OFFSET($H$3,0,0,'Données projet'!$E$12+1,1))</f>
        <v>270.30888762640245</v>
      </c>
      <c r="CE48" s="59">
        <f t="shared" si="40"/>
        <v>202.23783851977691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1.5914040145603503</v>
      </c>
      <c r="CL48" s="21">
        <f>EXP(-LN(2)/25)*CL47+(1-EXP(-LN(2)/25))/(LN(2)/25)*Calculateur!CG48*Calculateur!CI48*VLOOKUP('Données projet'!$B$12,Paramètres!$A$1:$I$89,3,0)*0.475*44/12</f>
        <v>8.1118122239355941</v>
      </c>
      <c r="CM48" s="21">
        <f>EXP(-LN(2)/2)*CM47+(1-EXP(-LN(2)/2))/(LN(2)/2)*CG48*CJ48*VLOOKUP('Données projet'!$B$12,Paramètres!$A$1:$I$89,3,0)*0.475*44/12</f>
        <v>0.10215819479153335</v>
      </c>
      <c r="CN48" s="22">
        <f t="shared" si="12"/>
        <v>9.8053744332874775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15.618681318681309</v>
      </c>
      <c r="CT48" s="12">
        <f>IF('Données projet'!$A$140&gt;35,CT47+CS48-DB47,IF(A48&lt;'Données projet'!$A$140,$CQ$205^A48,IF(A48='Données projet'!$A$140,'Données projet'!$B$140,CT47+CS48-DB47)))</f>
        <v>277.37912087912099</v>
      </c>
      <c r="CU48" s="17">
        <f>CT48*VLOOKUP('Données projet'!$B$13,Paramètres!$A$1:$I$89,3,0)*VLOOKUP('Données projet'!$B$13,Paramètres!$A$1:$I$89,5,0)</f>
        <v>129.81342857142863</v>
      </c>
      <c r="CV48" s="13">
        <f t="shared" si="41"/>
        <v>33.953244550224326</v>
      </c>
      <c r="CW48" s="20">
        <f t="shared" si="13"/>
        <v>285.22695568687891</v>
      </c>
      <c r="CX48" s="59">
        <f t="shared" si="14"/>
        <v>578.56028902021217</v>
      </c>
      <c r="CY48" s="59">
        <f ca="1">AVERAGE(OFFSET($CX$3,0,0,'Données projet'!$E$13+1,1))-AVERAGE(OFFSET($H$3,0,0,'Données projet'!$E$13+1,1))</f>
        <v>158.58786357608489</v>
      </c>
      <c r="CZ48" s="59">
        <f t="shared" si="42"/>
        <v>163.20074068819849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7.7</v>
      </c>
      <c r="DO48" s="12">
        <f>IF('Données projet'!$A$166&gt;35,DO47+DN48-DW47,IF(A48&lt;'Données projet'!$A$166,$DL$205^A48,IF(A48='Données projet'!$A$166,'Données projet'!$B$166,DO47+DN48-DW47)))</f>
        <v>202.4999999999998</v>
      </c>
      <c r="DP48" s="17">
        <f>DO48*VLOOKUP('Données projet'!$B$14,Paramètres!$A$1:$I$89,3,0)*VLOOKUP('Données projet'!$B$14,Paramètres!$A$1:$I$89,5,0)</f>
        <v>135.83699999999988</v>
      </c>
      <c r="DQ48" s="13">
        <f t="shared" si="43"/>
        <v>35.341651632833532</v>
      </c>
      <c r="DR48" s="20">
        <f t="shared" si="16"/>
        <v>298.13615159385154</v>
      </c>
      <c r="DS48" s="59">
        <f t="shared" si="17"/>
        <v>591.46948492718479</v>
      </c>
      <c r="DT48" s="59">
        <f ca="1">AVERAGE(OFFSET($DS$3,0,0,'Données projet'!$E$14+1,1))-AVERAGE(OFFSET($H$3,0,0,'Données projet'!$E$14+1,1))</f>
        <v>156.63226020379989</v>
      </c>
      <c r="DU48" s="59">
        <f t="shared" si="44"/>
        <v>196.0481096619543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5.7200407676495919</v>
      </c>
      <c r="EC48" s="21">
        <f>EXP(-LN(2)/2)*EC47+(1-EXP(-LN(2)/2))/(LN(2)/2)*DW48*DZ48*VLOOKUP('Données projet'!$B$14,Paramètres!$A$1:$I$89,3,0)*0.475*44/12</f>
        <v>5.0124318227203389E-2</v>
      </c>
      <c r="ED48" s="22">
        <f t="shared" si="18"/>
        <v>5.770165085876795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6.8260073260073284</v>
      </c>
      <c r="EJ48" s="12">
        <f>IF('Données projet'!$A$192&gt;35,EJ47+EI48-ER47,IF(A48&lt;'Données projet'!$A$192,$EG$205^A48,IF(A48='Données projet'!$A$192,'Données projet'!$B$192,EJ47+EI48-ER47)))</f>
        <v>104.83241758241752</v>
      </c>
      <c r="EK48" s="17">
        <f>EJ48*VLOOKUP('Données projet'!$B$15,Paramètres!$A$1:$I$89,3,0)*VLOOKUP('Données projet'!$B$15,Paramètres!$A$1:$I$89,5,0)</f>
        <v>112.84161428571423</v>
      </c>
      <c r="EL48" s="13">
        <f t="shared" si="45"/>
        <v>29.999494023991062</v>
      </c>
      <c r="EM48" s="20">
        <f t="shared" si="19"/>
        <v>248.78159697273676</v>
      </c>
      <c r="EN48" s="59">
        <f t="shared" si="20"/>
        <v>542.11493030607005</v>
      </c>
      <c r="EO48" s="59">
        <f ca="1">AVERAGE(OFFSET($EN$3,0,0,'Données projet'!$E$15+1,1))-AVERAGE(OFFSET($H$3,0,0,'Données projet'!$E$15+1,1))</f>
        <v>211.18501783767226</v>
      </c>
      <c r="EP48" s="59">
        <f t="shared" si="46"/>
        <v>147.98306963466246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12.2</v>
      </c>
      <c r="FE48" s="12">
        <f>IF('Données projet'!$A$218&gt;35,FE47+FD48-FM47,IF(A48&lt;'Données projet'!$A$218,$FB$205^A48,IF(A48='Données projet'!$A$218,'Données projet'!$B$218,FE47+FD48-FM47)))</f>
        <v>225.99999999999989</v>
      </c>
      <c r="FF48" s="17">
        <f>FE48*VLOOKUP('Données projet'!$B$16,Paramètres!$A$1:$I$89,3,0)*VLOOKUP('Données projet'!$B$16,Paramètres!$A$1:$I$89,5,0)</f>
        <v>135.14799999999994</v>
      </c>
      <c r="FG48" s="13">
        <f t="shared" si="47"/>
        <v>35.183208974998145</v>
      </c>
      <c r="FH48" s="20">
        <f t="shared" si="22"/>
        <v>296.66018896478829</v>
      </c>
      <c r="FI48" s="59">
        <f t="shared" si="23"/>
        <v>589.99352229812166</v>
      </c>
      <c r="FJ48" s="59">
        <f ca="1">AVERAGE(OFFSET($FI$3,0,0,'Données projet'!$E$16+1,1))-AVERAGE(OFFSET($H$3,0,0,'Données projet'!$E$16+1,1))</f>
        <v>232.26937455765062</v>
      </c>
      <c r="FK48" s="59">
        <f t="shared" si="48"/>
        <v>115.80853281120301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1.6444508150456958</v>
      </c>
      <c r="FR48" s="21">
        <f>EXP(-LN(2)/25)*FR47+(1-EXP(-LN(2)/25))/(LN(2)/25)*Calculateur!FM48*Calculateur!FO48*VLOOKUP('Données projet'!$B$16,Paramètres!$A$1:$I$89,3,0)*0.475*44/12</f>
        <v>2.9089240604189865</v>
      </c>
      <c r="FS48" s="21">
        <f>EXP(-LN(2)/2)*FS47+(1-EXP(-LN(2)/2))/(LN(2)/2)*FM48*FP48*VLOOKUP('Données projet'!$B$16,Paramètres!$A$1:$I$89,3,0)*0.475*44/12</f>
        <v>4.6380287978581729E-2</v>
      </c>
      <c r="FT48" s="22">
        <f t="shared" si="24"/>
        <v>4.5997551634432634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7.7</v>
      </c>
      <c r="FZ48" s="12">
        <f>IF('Données projet'!$A$244&gt;35,FZ47+FY48-GH47,IF(A48&lt;'Données projet'!$A$244,$FW$205^A48,IF(A48='Données projet'!$A$244,'Données projet'!$B$244,FZ47+FY48-GH47)))</f>
        <v>202.4999999999998</v>
      </c>
      <c r="GA48" s="17">
        <f>FZ48*VLOOKUP('Données projet'!$B$17,Paramètres!$A$1:$I$89,3,0)*VLOOKUP('Données projet'!$B$17,Paramètres!$A$1:$I$89,5,0)</f>
        <v>161.10899999999987</v>
      </c>
      <c r="GB48" s="13">
        <f t="shared" si="49"/>
        <v>41.092552806229506</v>
      </c>
      <c r="GC48" s="20">
        <f t="shared" si="25"/>
        <v>352.16770447084946</v>
      </c>
      <c r="GD48" s="59">
        <f t="shared" si="26"/>
        <v>645.50103780418272</v>
      </c>
      <c r="GE48" s="59">
        <f ca="1">AVERAGE(OFFSET($GD$3,0,0,'Données projet'!$E$17+1,1))-AVERAGE(OFFSET($H$3,0,0,'Données projet'!$E$17+1,1))</f>
        <v>199.58763537752952</v>
      </c>
      <c r="GF48" s="59">
        <f t="shared" si="50"/>
        <v>242.62852778451929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6.7842343988402103</v>
      </c>
      <c r="GN48" s="21">
        <f>EXP(-LN(2)/2)*GN47+(1-EXP(-LN(2)/2))/(LN(2)/2)*GH48*GK48*VLOOKUP('Données projet'!$B$17,Paramètres!$A$1:$I$89,3,0)*0.475*44/12</f>
        <v>5.9449772781101737E-2</v>
      </c>
      <c r="GO48" s="21">
        <f t="shared" si="27"/>
        <v>6.8436841716213124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6.8260073260073284</v>
      </c>
      <c r="N49" s="13">
        <f>IF('Données projet'!$A$36&gt;35,N48+M49-V48,IF(A49&lt;'Données projet'!$A$36,$K$205^A49,IF(A49='Données projet'!$A$36,'Données projet'!$B$36,N48+M49-V48)))</f>
        <v>111.65842490842485</v>
      </c>
      <c r="O49" s="13">
        <f>N49*VLOOKUP('Données projet'!$B$9,Paramètres!$A$1:$I$89,3,0)*VLOOKUP('Données projet'!$B$9,Paramètres!$A$1:$I$89,5,0)</f>
        <v>101.0285428571428</v>
      </c>
      <c r="P49" s="13">
        <f t="shared" si="33"/>
        <v>27.206887577634099</v>
      </c>
      <c r="Q49" s="20">
        <f t="shared" si="53"/>
        <v>223.3433746739031</v>
      </c>
      <c r="R49" s="59">
        <f t="shared" si="0"/>
        <v>516.67670800723636</v>
      </c>
      <c r="S49" s="59">
        <f ca="1">AVERAGE(OFFSET($R$3,0,0,'Données projet'!$E$9+1,1))-AVERAGE(OFFSET($H$3,0,0,'Données projet'!$E$9+1,1))</f>
        <v>153.45079678708987</v>
      </c>
      <c r="T49" s="59">
        <f t="shared" si="34"/>
        <v>115.4217868409637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6.8260073260073284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113.2216428571428</v>
      </c>
      <c r="AK49" s="13">
        <f t="shared" si="35"/>
        <v>30.088748821593761</v>
      </c>
      <c r="AL49" s="20">
        <f t="shared" si="4"/>
        <v>249.59893217379951</v>
      </c>
      <c r="AM49" s="59">
        <f t="shared" si="5"/>
        <v>542.9322655071328</v>
      </c>
      <c r="AN49" s="59">
        <f ca="1">AVERAGE(OFFSET($AM$3,0,0,'Données projet'!$E$10+1,1))-AVERAGE(OFFSET($H$3,0,0,'Données projet'!$E$10+1,1))</f>
        <v>190.21499310415584</v>
      </c>
      <c r="AO49" s="59">
        <f t="shared" si="36"/>
        <v>136.15730566500173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16.2</v>
      </c>
      <c r="BD49" s="12">
        <f>IF('Données projet'!$A$88&gt;35,BD48+BC49-BL48,IF(A49&lt;'Données projet'!$A$88,$BA$205^A49,IF(A49='Données projet'!$A$88,'Données projet'!$B$88,BD48+BC49-BL48)))</f>
        <v>315.19999999999987</v>
      </c>
      <c r="BE49" s="13">
        <f>BD49*VLOOKUP('Données projet'!$B$11,Paramètres!$A$1:$I$89,3,0)*VLOOKUP('Données projet'!$B$11,Paramètres!$A$1:$I$89,5,0)</f>
        <v>188.48959999999997</v>
      </c>
      <c r="BF49" s="13">
        <f t="shared" si="37"/>
        <v>47.205869902326455</v>
      </c>
      <c r="BG49" s="20">
        <f t="shared" si="7"/>
        <v>410.50294341321847</v>
      </c>
      <c r="BH49" s="59">
        <f t="shared" si="8"/>
        <v>703.83627674655179</v>
      </c>
      <c r="BI49" s="59">
        <f ca="1">AVERAGE(OFFSET($BH$3,0,0,'Données projet'!$E$11+1,1))-AVERAGE(OFFSET($H$3,0,0,'Données projet'!$E$11+1,1))</f>
        <v>270.30888762640245</v>
      </c>
      <c r="BJ49" s="59">
        <f t="shared" si="38"/>
        <v>202.23783851977691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1.5601975524954259</v>
      </c>
      <c r="BQ49" s="21">
        <f>EXP(-LN(2)/25)*BQ48+(1-EXP(-LN(2)/25))/(LN(2)/25)*Calculateur!BL49*Calculateur!BN49*VLOOKUP('Données projet'!$B$11,Paramètres!$A$1:$I$89,3,0)*0.475*44/12</f>
        <v>7.8899942920904103</v>
      </c>
      <c r="BR49" s="21">
        <f>EXP(-LN(2)/2)*BR48+(1-EXP(-LN(2)/2))/(LN(2)/2)*BL49*BO49*VLOOKUP('Données projet'!$B$11,Paramètres!$A$1:$I$89,3,0)*0.475*44/12</f>
        <v>7.2236752290869469E-2</v>
      </c>
      <c r="BS49" s="22">
        <f t="shared" si="9"/>
        <v>9.522428596876706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16.2</v>
      </c>
      <c r="BY49" s="12">
        <f>IF('Données projet'!$A$114&gt;35,BY48+BX49-CG48,IF(A49&lt;'Données projet'!$A$114,$BV$205^A49,IF(A49='Données projet'!$A$114,'Données projet'!$B$114,BY48+BX49-CG48)))</f>
        <v>315.19999999999987</v>
      </c>
      <c r="BZ49" s="13">
        <f>BY49*VLOOKUP('Données projet'!$B$12,Paramètres!$A$1:$I$89,3,0)*VLOOKUP('Données projet'!$B$12,Paramètres!$A$1:$I$89,5,0)</f>
        <v>188.48959999999997</v>
      </c>
      <c r="CA49" s="13">
        <f t="shared" si="39"/>
        <v>47.205869902326455</v>
      </c>
      <c r="CB49" s="20">
        <f t="shared" si="10"/>
        <v>410.50294341321847</v>
      </c>
      <c r="CC49" s="59">
        <f t="shared" si="11"/>
        <v>703.83627674655179</v>
      </c>
      <c r="CD49" s="59">
        <f ca="1">AVERAGE(OFFSET($CC$3,0,0,'Données projet'!$E$12+1,1))-AVERAGE(OFFSET($H$3,0,0,'Données projet'!$E$12+1,1))</f>
        <v>270.30888762640245</v>
      </c>
      <c r="CE49" s="59">
        <f t="shared" si="40"/>
        <v>202.23783851977691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1.5601975524954259</v>
      </c>
      <c r="CL49" s="21">
        <f>EXP(-LN(2)/25)*CL48+(1-EXP(-LN(2)/25))/(LN(2)/25)*Calculateur!CG49*Calculateur!CI49*VLOOKUP('Données projet'!$B$12,Paramètres!$A$1:$I$89,3,0)*0.475*44/12</f>
        <v>7.8899942920904103</v>
      </c>
      <c r="CM49" s="21">
        <f>EXP(-LN(2)/2)*CM48+(1-EXP(-LN(2)/2))/(LN(2)/2)*CG49*CJ49*VLOOKUP('Données projet'!$B$12,Paramètres!$A$1:$I$89,3,0)*0.475*44/12</f>
        <v>7.2236752290869469E-2</v>
      </c>
      <c r="CN49" s="22">
        <f t="shared" si="12"/>
        <v>9.522428596876706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15.618681318681309</v>
      </c>
      <c r="CT49" s="12">
        <f>IF('Données projet'!$A$140&gt;35,CT48+CS49-DB48,IF(A49&lt;'Données projet'!$A$140,$CQ$205^A49,IF(A49='Données projet'!$A$140,'Données projet'!$B$140,CT48+CS49-DB48)))</f>
        <v>292.99780219780229</v>
      </c>
      <c r="CU49" s="17">
        <f>CT49*VLOOKUP('Données projet'!$B$13,Paramètres!$A$1:$I$89,3,0)*VLOOKUP('Données projet'!$B$13,Paramètres!$A$1:$I$89,5,0)</f>
        <v>137.12297142857147</v>
      </c>
      <c r="CV49" s="13">
        <f t="shared" si="41"/>
        <v>35.63712427284996</v>
      </c>
      <c r="CW49" s="20">
        <f t="shared" si="13"/>
        <v>300.89050001330901</v>
      </c>
      <c r="CX49" s="59">
        <f t="shared" si="14"/>
        <v>594.22383334664232</v>
      </c>
      <c r="CY49" s="59">
        <f ca="1">AVERAGE(OFFSET($CX$3,0,0,'Données projet'!$E$13+1,1))-AVERAGE(OFFSET($H$3,0,0,'Données projet'!$E$13+1,1))</f>
        <v>158.58786357608489</v>
      </c>
      <c r="CZ49" s="59">
        <f t="shared" si="42"/>
        <v>163.20074068819849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7.7</v>
      </c>
      <c r="DO49" s="12">
        <f>IF('Données projet'!$A$166&gt;35,DO48+DN49-DW48,IF(A49&lt;'Données projet'!$A$166,$DL$205^A49,IF(A49='Données projet'!$A$166,'Données projet'!$B$166,DO48+DN49-DW48)))</f>
        <v>210.19999999999979</v>
      </c>
      <c r="DP49" s="17">
        <f>DO49*VLOOKUP('Données projet'!$B$14,Paramètres!$A$1:$I$89,3,0)*VLOOKUP('Données projet'!$B$14,Paramètres!$A$1:$I$89,5,0)</f>
        <v>141.00215999999986</v>
      </c>
      <c r="DQ49" s="13">
        <f t="shared" si="43"/>
        <v>36.526490885878047</v>
      </c>
      <c r="DR49" s="20">
        <f t="shared" si="16"/>
        <v>309.19573362623737</v>
      </c>
      <c r="DS49" s="59">
        <f t="shared" si="17"/>
        <v>602.52906695957063</v>
      </c>
      <c r="DT49" s="59">
        <f ca="1">AVERAGE(OFFSET($DS$3,0,0,'Données projet'!$E$14+1,1))-AVERAGE(OFFSET($H$3,0,0,'Données projet'!$E$14+1,1))</f>
        <v>156.63226020379989</v>
      </c>
      <c r="DU49" s="59">
        <f t="shared" si="44"/>
        <v>196.0481096619543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5.563625952054343</v>
      </c>
      <c r="EC49" s="21">
        <f>EXP(-LN(2)/2)*EC48+(1-EXP(-LN(2)/2))/(LN(2)/2)*DW49*DZ49*VLOOKUP('Données projet'!$B$14,Paramètres!$A$1:$I$89,3,0)*0.475*44/12</f>
        <v>3.5443245320807983E-2</v>
      </c>
      <c r="ED49" s="22">
        <f t="shared" si="18"/>
        <v>5.599069197375151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6.8260073260073284</v>
      </c>
      <c r="EJ49" s="12">
        <f>IF('Données projet'!$A$192&gt;35,EJ48+EI49-ER48,IF(A49&lt;'Données projet'!$A$192,$EG$205^A49,IF(A49='Données projet'!$A$192,'Données projet'!$B$192,EJ48+EI49-ER48)))</f>
        <v>111.65842490842485</v>
      </c>
      <c r="EK49" s="17">
        <f>EJ49*VLOOKUP('Données projet'!$B$15,Paramètres!$A$1:$I$89,3,0)*VLOOKUP('Données projet'!$B$15,Paramètres!$A$1:$I$89,5,0)</f>
        <v>120.18912857142851</v>
      </c>
      <c r="EL49" s="13">
        <f t="shared" si="45"/>
        <v>31.719106383738488</v>
      </c>
      <c r="EM49" s="20">
        <f t="shared" si="19"/>
        <v>264.5735092135825</v>
      </c>
      <c r="EN49" s="59">
        <f t="shared" si="20"/>
        <v>557.90684254691587</v>
      </c>
      <c r="EO49" s="59">
        <f ca="1">AVERAGE(OFFSET($EN$3,0,0,'Données projet'!$E$15+1,1))-AVERAGE(OFFSET($H$3,0,0,'Données projet'!$E$15+1,1))</f>
        <v>211.18501783767226</v>
      </c>
      <c r="EP49" s="59">
        <f t="shared" si="46"/>
        <v>147.98306963466246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12.2</v>
      </c>
      <c r="FE49" s="12">
        <f>IF('Données projet'!$A$218&gt;35,FE48+FD49-FM48,IF(A49&lt;'Données projet'!$A$218,$FB$205^A49,IF(A49='Données projet'!$A$218,'Données projet'!$B$218,FE48+FD49-FM48)))</f>
        <v>238.19999999999987</v>
      </c>
      <c r="FF49" s="17">
        <f>FE49*VLOOKUP('Données projet'!$B$16,Paramètres!$A$1:$I$89,3,0)*VLOOKUP('Données projet'!$B$16,Paramètres!$A$1:$I$89,5,0)</f>
        <v>142.44359999999995</v>
      </c>
      <c r="FG49" s="13">
        <f t="shared" si="47"/>
        <v>36.856234939472593</v>
      </c>
      <c r="FH49" s="20">
        <f t="shared" si="22"/>
        <v>312.28054585291466</v>
      </c>
      <c r="FI49" s="59">
        <f t="shared" si="23"/>
        <v>605.61387918624791</v>
      </c>
      <c r="FJ49" s="59">
        <f ca="1">AVERAGE(OFFSET($FI$3,0,0,'Données projet'!$E$16+1,1))-AVERAGE(OFFSET($H$3,0,0,'Données projet'!$E$16+1,1))</f>
        <v>232.26937455765062</v>
      </c>
      <c r="FK49" s="59">
        <f t="shared" si="48"/>
        <v>115.80853281120301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1.6122041375786074</v>
      </c>
      <c r="FR49" s="21">
        <f>EXP(-LN(2)/25)*FR48+(1-EXP(-LN(2)/25))/(LN(2)/25)*Calculateur!FM49*Calculateur!FO49*VLOOKUP('Données projet'!$B$16,Paramètres!$A$1:$I$89,3,0)*0.475*44/12</f>
        <v>2.8293793790131616</v>
      </c>
      <c r="FS49" s="21">
        <f>EXP(-LN(2)/2)*FS48+(1-EXP(-LN(2)/2))/(LN(2)/2)*FM49*FP49*VLOOKUP('Données projet'!$B$16,Paramètres!$A$1:$I$89,3,0)*0.475*44/12</f>
        <v>3.279581614304005E-2</v>
      </c>
      <c r="FT49" s="22">
        <f t="shared" si="24"/>
        <v>4.4743793327348094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7.7</v>
      </c>
      <c r="FZ49" s="12">
        <f>IF('Données projet'!$A$244&gt;35,FZ48+FY49-GH48,IF(A49&lt;'Données projet'!$A$244,$FW$205^A49,IF(A49='Données projet'!$A$244,'Données projet'!$B$244,FZ48+FY49-GH48)))</f>
        <v>210.19999999999979</v>
      </c>
      <c r="GA49" s="17">
        <f>FZ49*VLOOKUP('Données projet'!$B$17,Paramètres!$A$1:$I$89,3,0)*VLOOKUP('Données projet'!$B$17,Paramètres!$A$1:$I$89,5,0)</f>
        <v>167.23511999999985</v>
      </c>
      <c r="GB49" s="13">
        <f t="shared" si="49"/>
        <v>42.470192710511569</v>
      </c>
      <c r="GC49" s="20">
        <f t="shared" si="25"/>
        <v>365.23675297080734</v>
      </c>
      <c r="GD49" s="59">
        <f t="shared" si="26"/>
        <v>658.57008630414066</v>
      </c>
      <c r="GE49" s="59">
        <f ca="1">AVERAGE(OFFSET($GD$3,0,0,'Données projet'!$E$17+1,1))-AVERAGE(OFFSET($H$3,0,0,'Données projet'!$E$17+1,1))</f>
        <v>199.58763537752952</v>
      </c>
      <c r="GF49" s="59">
        <f t="shared" si="50"/>
        <v>242.62852778451929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6.5987191524365434</v>
      </c>
      <c r="GN49" s="21">
        <f>EXP(-LN(2)/2)*GN48+(1-EXP(-LN(2)/2))/(LN(2)/2)*GH49*GK49*VLOOKUP('Données projet'!$B$17,Paramètres!$A$1:$I$89,3,0)*0.475*44/12</f>
        <v>4.2037337473516477E-2</v>
      </c>
      <c r="GO49" s="21">
        <f t="shared" si="27"/>
        <v>6.6407564899100597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6.8260073260073284</v>
      </c>
      <c r="N50" s="13">
        <f>IF('Données projet'!$A$36&gt;35,N49+M50-V49,IF(A50&lt;'Données projet'!$A$36,$K$205^A50,IF(A50='Données projet'!$A$36,'Données projet'!$B$36,N49+M50-V49)))</f>
        <v>118.48443223443218</v>
      </c>
      <c r="O50" s="13">
        <f>N50*VLOOKUP('Données projet'!$B$9,Paramètres!$A$1:$I$89,3,0)*VLOOKUP('Données projet'!$B$9,Paramètres!$A$1:$I$89,5,0)</f>
        <v>107.20471428571423</v>
      </c>
      <c r="P50" s="13">
        <f t="shared" si="33"/>
        <v>28.671410088969473</v>
      </c>
      <c r="Q50" s="20">
        <f t="shared" si="53"/>
        <v>236.65091661924077</v>
      </c>
      <c r="R50" s="59">
        <f t="shared" si="0"/>
        <v>529.98424995257415</v>
      </c>
      <c r="S50" s="59">
        <f ca="1">AVERAGE(OFFSET($R$3,0,0,'Données projet'!$E$9+1,1))-AVERAGE(OFFSET($H$3,0,0,'Données projet'!$E$9+1,1))</f>
        <v>153.45079678708987</v>
      </c>
      <c r="T50" s="59">
        <f t="shared" si="34"/>
        <v>115.4217868409637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6.8260073260073284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120.14321428571424</v>
      </c>
      <c r="AK50" s="13">
        <f t="shared" si="35"/>
        <v>31.708399355356544</v>
      </c>
      <c r="AL50" s="20">
        <f t="shared" si="4"/>
        <v>264.47489375819822</v>
      </c>
      <c r="AM50" s="59">
        <f t="shared" si="5"/>
        <v>557.80822709153153</v>
      </c>
      <c r="AN50" s="59">
        <f ca="1">AVERAGE(OFFSET($AM$3,0,0,'Données projet'!$E$10+1,1))-AVERAGE(OFFSET($H$3,0,0,'Données projet'!$E$10+1,1))</f>
        <v>190.21499310415584</v>
      </c>
      <c r="AO50" s="59">
        <f t="shared" si="36"/>
        <v>136.15730566500173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16.2</v>
      </c>
      <c r="BD50" s="12">
        <f>IF('Données projet'!$A$88&gt;35,BD49+BC50-BL49,IF(A50&lt;'Données projet'!$A$88,$BA$205^A50,IF(A50='Données projet'!$A$88,'Données projet'!$B$88,BD49+BC50-BL49)))</f>
        <v>331.39999999999986</v>
      </c>
      <c r="BE50" s="13">
        <f>BD50*VLOOKUP('Données projet'!$B$11,Paramètres!$A$1:$I$89,3,0)*VLOOKUP('Données projet'!$B$11,Paramètres!$A$1:$I$89,5,0)</f>
        <v>198.17719999999991</v>
      </c>
      <c r="BF50" s="13">
        <f t="shared" si="37"/>
        <v>49.343358241667282</v>
      </c>
      <c r="BG50" s="20">
        <f t="shared" si="7"/>
        <v>431.09830560423705</v>
      </c>
      <c r="BH50" s="59">
        <f t="shared" si="8"/>
        <v>724.43163893757037</v>
      </c>
      <c r="BI50" s="59">
        <f ca="1">AVERAGE(OFFSET($BH$3,0,0,'Données projet'!$E$11+1,1))-AVERAGE(OFFSET($H$3,0,0,'Données projet'!$E$11+1,1))</f>
        <v>270.30888762640245</v>
      </c>
      <c r="BJ50" s="59">
        <f t="shared" si="38"/>
        <v>202.23783851977691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1.5296030301175323</v>
      </c>
      <c r="BQ50" s="21">
        <f>EXP(-LN(2)/25)*BQ49+(1-EXP(-LN(2)/25))/(LN(2)/25)*Calculateur!BL50*Calculateur!BN50*VLOOKUP('Données projet'!$B$11,Paramètres!$A$1:$I$89,3,0)*0.475*44/12</f>
        <v>7.6742419832564313</v>
      </c>
      <c r="BR50" s="21">
        <f>EXP(-LN(2)/2)*BR49+(1-EXP(-LN(2)/2))/(LN(2)/2)*BL50*BO50*VLOOKUP('Données projet'!$B$11,Paramètres!$A$1:$I$89,3,0)*0.475*44/12</f>
        <v>5.1079097395766673E-2</v>
      </c>
      <c r="BS50" s="22">
        <f t="shared" si="9"/>
        <v>9.254924110769732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16.2</v>
      </c>
      <c r="BY50" s="12">
        <f>IF('Données projet'!$A$114&gt;35,BY49+BX50-CG49,IF(A50&lt;'Données projet'!$A$114,$BV$205^A50,IF(A50='Données projet'!$A$114,'Données projet'!$B$114,BY49+BX50-CG49)))</f>
        <v>331.39999999999986</v>
      </c>
      <c r="BZ50" s="13">
        <f>BY50*VLOOKUP('Données projet'!$B$12,Paramètres!$A$1:$I$89,3,0)*VLOOKUP('Données projet'!$B$12,Paramètres!$A$1:$I$89,5,0)</f>
        <v>198.17719999999991</v>
      </c>
      <c r="CA50" s="13">
        <f t="shared" si="39"/>
        <v>49.343358241667282</v>
      </c>
      <c r="CB50" s="20">
        <f t="shared" si="10"/>
        <v>431.09830560423705</v>
      </c>
      <c r="CC50" s="59">
        <f t="shared" si="11"/>
        <v>724.43163893757037</v>
      </c>
      <c r="CD50" s="59">
        <f ca="1">AVERAGE(OFFSET($CC$3,0,0,'Données projet'!$E$12+1,1))-AVERAGE(OFFSET($H$3,0,0,'Données projet'!$E$12+1,1))</f>
        <v>270.30888762640245</v>
      </c>
      <c r="CE50" s="59">
        <f t="shared" si="40"/>
        <v>202.23783851977691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1.5296030301175323</v>
      </c>
      <c r="CL50" s="21">
        <f>EXP(-LN(2)/25)*CL49+(1-EXP(-LN(2)/25))/(LN(2)/25)*Calculateur!CG50*Calculateur!CI50*VLOOKUP('Données projet'!$B$12,Paramètres!$A$1:$I$89,3,0)*0.475*44/12</f>
        <v>7.6742419832564313</v>
      </c>
      <c r="CM50" s="21">
        <f>EXP(-LN(2)/2)*CM49+(1-EXP(-LN(2)/2))/(LN(2)/2)*CG50*CJ50*VLOOKUP('Données projet'!$B$12,Paramètres!$A$1:$I$89,3,0)*0.475*44/12</f>
        <v>5.1079097395766673E-2</v>
      </c>
      <c r="CN50" s="22">
        <f t="shared" si="12"/>
        <v>9.254924110769732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15.618681318681309</v>
      </c>
      <c r="CT50" s="12">
        <f>IF('Données projet'!$A$140&gt;35,CT49+CS50-DB49,IF(A50&lt;'Données projet'!$A$140,$CQ$205^A50,IF(A50='Données projet'!$A$140,'Données projet'!$B$140,CT49+CS50-DB49)))</f>
        <v>308.61648351648358</v>
      </c>
      <c r="CU50" s="17">
        <f>CT50*VLOOKUP('Données projet'!$B$13,Paramètres!$A$1:$I$89,3,0)*VLOOKUP('Données projet'!$B$13,Paramètres!$A$1:$I$89,5,0)</f>
        <v>144.43251428571432</v>
      </c>
      <c r="CV50" s="13">
        <f t="shared" si="41"/>
        <v>37.310582871696397</v>
      </c>
      <c r="CW50" s="20">
        <f t="shared" si="13"/>
        <v>316.5358942158237</v>
      </c>
      <c r="CX50" s="59">
        <f t="shared" si="14"/>
        <v>609.86922754915702</v>
      </c>
      <c r="CY50" s="59">
        <f ca="1">AVERAGE(OFFSET($CX$3,0,0,'Données projet'!$E$13+1,1))-AVERAGE(OFFSET($H$3,0,0,'Données projet'!$E$13+1,1))</f>
        <v>158.58786357608489</v>
      </c>
      <c r="CZ50" s="59">
        <f t="shared" si="42"/>
        <v>163.20074068819849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7.7</v>
      </c>
      <c r="DO50" s="12">
        <f>IF('Données projet'!$A$166&gt;35,DO49+DN50-DW49,IF(A50&lt;'Données projet'!$A$166,$DL$205^A50,IF(A50='Données projet'!$A$166,'Données projet'!$B$166,DO49+DN50-DW49)))</f>
        <v>217.89999999999978</v>
      </c>
      <c r="DP50" s="17">
        <f>DO50*VLOOKUP('Données projet'!$B$14,Paramètres!$A$1:$I$89,3,0)*VLOOKUP('Données projet'!$B$14,Paramètres!$A$1:$I$89,5,0)</f>
        <v>146.16731999999985</v>
      </c>
      <c r="DQ50" s="13">
        <f t="shared" si="43"/>
        <v>37.706287620862582</v>
      </c>
      <c r="DR50" s="20">
        <f t="shared" si="16"/>
        <v>320.24653327300206</v>
      </c>
      <c r="DS50" s="59">
        <f t="shared" si="17"/>
        <v>613.57986660633537</v>
      </c>
      <c r="DT50" s="59">
        <f ca="1">AVERAGE(OFFSET($DS$3,0,0,'Données projet'!$E$14+1,1))-AVERAGE(OFFSET($H$3,0,0,'Données projet'!$E$14+1,1))</f>
        <v>156.63226020379989</v>
      </c>
      <c r="DU50" s="59">
        <f t="shared" si="44"/>
        <v>196.0481096619543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5.4114883078170442</v>
      </c>
      <c r="EC50" s="21">
        <f>EXP(-LN(2)/2)*EC49+(1-EXP(-LN(2)/2))/(LN(2)/2)*DW50*DZ50*VLOOKUP('Données projet'!$B$14,Paramètres!$A$1:$I$89,3,0)*0.475*44/12</f>
        <v>2.5062159113601695E-2</v>
      </c>
      <c r="ED50" s="22">
        <f t="shared" si="18"/>
        <v>5.4365504669306457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6.8260073260073284</v>
      </c>
      <c r="EJ50" s="12">
        <f>IF('Données projet'!$A$192&gt;35,EJ49+EI50-ER49,IF(A50&lt;'Données projet'!$A$192,$EG$205^A50,IF(A50='Données projet'!$A$192,'Données projet'!$B$192,EJ49+EI50-ER49)))</f>
        <v>118.48443223443218</v>
      </c>
      <c r="EK50" s="17">
        <f>EJ50*VLOOKUP('Données projet'!$B$15,Paramètres!$A$1:$I$89,3,0)*VLOOKUP('Données projet'!$B$15,Paramètres!$A$1:$I$89,5,0)</f>
        <v>127.53664285714278</v>
      </c>
      <c r="EL50" s="13">
        <f t="shared" si="45"/>
        <v>33.426517612085448</v>
      </c>
      <c r="EM50" s="20">
        <f t="shared" si="19"/>
        <v>280.34417115057249</v>
      </c>
      <c r="EN50" s="59">
        <f t="shared" si="20"/>
        <v>573.67750448390575</v>
      </c>
      <c r="EO50" s="59">
        <f ca="1">AVERAGE(OFFSET($EN$3,0,0,'Données projet'!$E$15+1,1))-AVERAGE(OFFSET($H$3,0,0,'Données projet'!$E$15+1,1))</f>
        <v>211.18501783767226</v>
      </c>
      <c r="EP50" s="59">
        <f t="shared" si="46"/>
        <v>147.98306963466246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12.2</v>
      </c>
      <c r="FE50" s="12">
        <f>IF('Données projet'!$A$218&gt;35,FE49+FD50-FM49,IF(A50&lt;'Données projet'!$A$218,$FB$205^A50,IF(A50='Données projet'!$A$218,'Données projet'!$B$218,FE49+FD50-FM49)))</f>
        <v>250.39999999999986</v>
      </c>
      <c r="FF50" s="17">
        <f>FE50*VLOOKUP('Données projet'!$B$16,Paramètres!$A$1:$I$89,3,0)*VLOOKUP('Données projet'!$B$16,Paramètres!$A$1:$I$89,5,0)</f>
        <v>149.73919999999993</v>
      </c>
      <c r="FG50" s="13">
        <f t="shared" si="47"/>
        <v>38.51931188379853</v>
      </c>
      <c r="FH50" s="20">
        <f t="shared" si="22"/>
        <v>327.88357486428225</v>
      </c>
      <c r="FI50" s="59">
        <f t="shared" si="23"/>
        <v>621.21690819761557</v>
      </c>
      <c r="FJ50" s="59">
        <f ca="1">AVERAGE(OFFSET($FI$3,0,0,'Données projet'!$E$16+1,1))-AVERAGE(OFFSET($H$3,0,0,'Données projet'!$E$16+1,1))</f>
        <v>232.26937455765062</v>
      </c>
      <c r="FK50" s="59">
        <f t="shared" si="48"/>
        <v>115.80853281120301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1.5805897977881174</v>
      </c>
      <c r="FR50" s="21">
        <f>EXP(-LN(2)/25)*FR49+(1-EXP(-LN(2)/25))/(LN(2)/25)*Calculateur!FM50*Calculateur!FO50*VLOOKUP('Données projet'!$B$16,Paramètres!$A$1:$I$89,3,0)*0.475*44/12</f>
        <v>2.7520098511034519</v>
      </c>
      <c r="FS50" s="21">
        <f>EXP(-LN(2)/2)*FS49+(1-EXP(-LN(2)/2))/(LN(2)/2)*FM50*FP50*VLOOKUP('Données projet'!$B$16,Paramètres!$A$1:$I$89,3,0)*0.475*44/12</f>
        <v>2.3190143989290864E-2</v>
      </c>
      <c r="FT50" s="22">
        <f t="shared" si="24"/>
        <v>4.3557897928808602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7.7</v>
      </c>
      <c r="FZ50" s="12">
        <f>IF('Données projet'!$A$244&gt;35,FZ49+FY50-GH49,IF(A50&lt;'Données projet'!$A$244,$FW$205^A50,IF(A50='Données projet'!$A$244,'Données projet'!$B$244,FZ49+FY50-GH49)))</f>
        <v>217.89999999999978</v>
      </c>
      <c r="GA50" s="17">
        <f>FZ50*VLOOKUP('Données projet'!$B$17,Paramètres!$A$1:$I$89,3,0)*VLOOKUP('Données projet'!$B$17,Paramètres!$A$1:$I$89,5,0)</f>
        <v>173.36123999999984</v>
      </c>
      <c r="GB50" s="13">
        <f t="shared" si="49"/>
        <v>43.841969562839758</v>
      </c>
      <c r="GC50" s="20">
        <f t="shared" si="25"/>
        <v>378.29558998861233</v>
      </c>
      <c r="GD50" s="59">
        <f t="shared" si="26"/>
        <v>671.62892332194565</v>
      </c>
      <c r="GE50" s="59">
        <f ca="1">AVERAGE(OFFSET($GD$3,0,0,'Données projet'!$E$17+1,1))-AVERAGE(OFFSET($H$3,0,0,'Données projet'!$E$17+1,1))</f>
        <v>199.58763537752952</v>
      </c>
      <c r="GF50" s="59">
        <f t="shared" si="50"/>
        <v>242.62852778451929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6.4182768302016076</v>
      </c>
      <c r="GN50" s="21">
        <f>EXP(-LN(2)/2)*GN49+(1-EXP(-LN(2)/2))/(LN(2)/2)*GH50*GK50*VLOOKUP('Données projet'!$B$17,Paramètres!$A$1:$I$89,3,0)*0.475*44/12</f>
        <v>2.9724886390550872E-2</v>
      </c>
      <c r="GO50" s="21">
        <f t="shared" si="27"/>
        <v>6.4480017165921586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6.8260073260073284</v>
      </c>
      <c r="N51" s="13">
        <f>IF('Données projet'!$A$36&gt;35,N50+M51-V50,IF(A51&lt;'Données projet'!$A$36,$K$205^A51,IF(A51='Données projet'!$A$36,'Données projet'!$B$36,N50+M51-V50)))</f>
        <v>125.31043956043951</v>
      </c>
      <c r="O51" s="13">
        <f>N51*VLOOKUP('Données projet'!$B$9,Paramètres!$A$1:$I$89,3,0)*VLOOKUP('Données projet'!$B$9,Paramètres!$A$1:$I$89,5,0)</f>
        <v>113.38088571428565</v>
      </c>
      <c r="P51" s="13">
        <f t="shared" si="33"/>
        <v>30.126138765380961</v>
      </c>
      <c r="Q51" s="20">
        <f t="shared" si="53"/>
        <v>249.94140096875267</v>
      </c>
      <c r="R51" s="59">
        <f t="shared" si="0"/>
        <v>543.27473430208602</v>
      </c>
      <c r="S51" s="59">
        <f ca="1">AVERAGE(OFFSET($R$3,0,0,'Données projet'!$E$9+1,1))-AVERAGE(OFFSET($H$3,0,0,'Données projet'!$E$9+1,1))</f>
        <v>153.45079678708987</v>
      </c>
      <c r="T51" s="59">
        <f t="shared" si="34"/>
        <v>115.4217868409637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6.8260073260073284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127.06478571428566</v>
      </c>
      <c r="AK51" s="13">
        <f t="shared" si="35"/>
        <v>33.317218652426654</v>
      </c>
      <c r="AL51" s="20">
        <f t="shared" si="4"/>
        <v>279.33199093869058</v>
      </c>
      <c r="AM51" s="59">
        <f t="shared" si="5"/>
        <v>572.66532427202389</v>
      </c>
      <c r="AN51" s="59">
        <f ca="1">AVERAGE(OFFSET($AM$3,0,0,'Données projet'!$E$10+1,1))-AVERAGE(OFFSET($H$3,0,0,'Données projet'!$E$10+1,1))</f>
        <v>190.21499310415584</v>
      </c>
      <c r="AO51" s="59">
        <f t="shared" si="36"/>
        <v>136.15730566500173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16.2</v>
      </c>
      <c r="BD51" s="12">
        <f>IF('Données projet'!$A$88&gt;35,BD50+BC51-BL50,IF(A51&lt;'Données projet'!$A$88,$BA$205^A51,IF(A51='Données projet'!$A$88,'Données projet'!$B$88,BD50+BC51-BL50)))</f>
        <v>347.59999999999985</v>
      </c>
      <c r="BE51" s="13">
        <f>BD51*VLOOKUP('Données projet'!$B$11,Paramètres!$A$1:$I$89,3,0)*VLOOKUP('Données projet'!$B$11,Paramètres!$A$1:$I$89,5,0)</f>
        <v>207.86479999999992</v>
      </c>
      <c r="BF51" s="13">
        <f t="shared" si="37"/>
        <v>51.468713616997725</v>
      </c>
      <c r="BG51" s="20">
        <f t="shared" si="7"/>
        <v>451.67253621627088</v>
      </c>
      <c r="BH51" s="59">
        <f t="shared" si="8"/>
        <v>745.0058695496042</v>
      </c>
      <c r="BI51" s="59">
        <f ca="1">AVERAGE(OFFSET($BH$3,0,0,'Données projet'!$E$11+1,1))-AVERAGE(OFFSET($H$3,0,0,'Données projet'!$E$11+1,1))</f>
        <v>270.30888762640245</v>
      </c>
      <c r="BJ51" s="59">
        <f t="shared" si="38"/>
        <v>202.23783851977691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1.4996084476626532</v>
      </c>
      <c r="BQ51" s="21">
        <f>EXP(-LN(2)/25)*BQ50+(1-EXP(-LN(2)/25))/(LN(2)/25)*Calculateur!BL51*Calculateur!BN51*VLOOKUP('Données projet'!$B$11,Paramètres!$A$1:$I$89,3,0)*0.475*44/12</f>
        <v>7.4643894326534381</v>
      </c>
      <c r="BR51" s="21">
        <f>EXP(-LN(2)/2)*BR50+(1-EXP(-LN(2)/2))/(LN(2)/2)*BL51*BO51*VLOOKUP('Données projet'!$B$11,Paramètres!$A$1:$I$89,3,0)*0.475*44/12</f>
        <v>3.6118376145434734E-2</v>
      </c>
      <c r="BS51" s="22">
        <f t="shared" si="9"/>
        <v>9.000116256461526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16.2</v>
      </c>
      <c r="BY51" s="12">
        <f>IF('Données projet'!$A$114&gt;35,BY50+BX51-CG50,IF(A51&lt;'Données projet'!$A$114,$BV$205^A51,IF(A51='Données projet'!$A$114,'Données projet'!$B$114,BY50+BX51-CG50)))</f>
        <v>347.59999999999985</v>
      </c>
      <c r="BZ51" s="13">
        <f>BY51*VLOOKUP('Données projet'!$B$12,Paramètres!$A$1:$I$89,3,0)*VLOOKUP('Données projet'!$B$12,Paramètres!$A$1:$I$89,5,0)</f>
        <v>207.86479999999992</v>
      </c>
      <c r="CA51" s="13">
        <f t="shared" si="39"/>
        <v>51.468713616997725</v>
      </c>
      <c r="CB51" s="20">
        <f t="shared" si="10"/>
        <v>451.67253621627088</v>
      </c>
      <c r="CC51" s="59">
        <f t="shared" si="11"/>
        <v>745.0058695496042</v>
      </c>
      <c r="CD51" s="59">
        <f ca="1">AVERAGE(OFFSET($CC$3,0,0,'Données projet'!$E$12+1,1))-AVERAGE(OFFSET($H$3,0,0,'Données projet'!$E$12+1,1))</f>
        <v>270.30888762640245</v>
      </c>
      <c r="CE51" s="59">
        <f t="shared" si="40"/>
        <v>202.23783851977691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1.4996084476626532</v>
      </c>
      <c r="CL51" s="21">
        <f>EXP(-LN(2)/25)*CL50+(1-EXP(-LN(2)/25))/(LN(2)/25)*Calculateur!CG51*Calculateur!CI51*VLOOKUP('Données projet'!$B$12,Paramètres!$A$1:$I$89,3,0)*0.475*44/12</f>
        <v>7.4643894326534381</v>
      </c>
      <c r="CM51" s="21">
        <f>EXP(-LN(2)/2)*CM50+(1-EXP(-LN(2)/2))/(LN(2)/2)*CG51*CJ51*VLOOKUP('Données projet'!$B$12,Paramètres!$A$1:$I$89,3,0)*0.475*44/12</f>
        <v>3.6118376145434734E-2</v>
      </c>
      <c r="CN51" s="22">
        <f t="shared" si="12"/>
        <v>9.000116256461526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15.618681318681309</v>
      </c>
      <c r="CT51" s="12">
        <f>IF('Données projet'!$A$140&gt;35,CT50+CS51-DB50,IF(A51&lt;'Données projet'!$A$140,$CQ$205^A51,IF(A51='Données projet'!$A$140,'Données projet'!$B$140,CT50+CS51-DB50)))</f>
        <v>324.23516483516488</v>
      </c>
      <c r="CU51" s="17">
        <f>CT51*VLOOKUP('Données projet'!$B$13,Paramètres!$A$1:$I$89,3,0)*VLOOKUP('Données projet'!$B$13,Paramètres!$A$1:$I$89,5,0)</f>
        <v>151.74205714285716</v>
      </c>
      <c r="CV51" s="13">
        <f t="shared" si="41"/>
        <v>38.974207918733512</v>
      </c>
      <c r="CW51" s="20">
        <f t="shared" si="13"/>
        <v>332.16416164893707</v>
      </c>
      <c r="CX51" s="59">
        <f t="shared" si="14"/>
        <v>625.49749498227038</v>
      </c>
      <c r="CY51" s="59">
        <f ca="1">AVERAGE(OFFSET($CX$3,0,0,'Données projet'!$E$13+1,1))-AVERAGE(OFFSET($H$3,0,0,'Données projet'!$E$13+1,1))</f>
        <v>158.58786357608489</v>
      </c>
      <c r="CZ51" s="59">
        <f t="shared" si="42"/>
        <v>163.20074068819849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7.7</v>
      </c>
      <c r="DO51" s="12">
        <f>IF('Données projet'!$A$166&gt;35,DO50+DN51-DW50,IF(A51&lt;'Données projet'!$A$166,$DL$205^A51,IF(A51='Données projet'!$A$166,'Données projet'!$B$166,DO50+DN51-DW50)))</f>
        <v>225.59999999999977</v>
      </c>
      <c r="DP51" s="17">
        <f>DO51*VLOOKUP('Données projet'!$B$14,Paramètres!$A$1:$I$89,3,0)*VLOOKUP('Données projet'!$B$14,Paramètres!$A$1:$I$89,5,0)</f>
        <v>151.33247999999983</v>
      </c>
      <c r="DQ51" s="13">
        <f t="shared" si="43"/>
        <v>38.881240443489759</v>
      </c>
      <c r="DR51" s="20">
        <f t="shared" si="16"/>
        <v>331.28889643907769</v>
      </c>
      <c r="DS51" s="59">
        <f t="shared" si="17"/>
        <v>624.62222977241095</v>
      </c>
      <c r="DT51" s="59">
        <f ca="1">AVERAGE(OFFSET($DS$3,0,0,'Données projet'!$E$14+1,1))-AVERAGE(OFFSET($H$3,0,0,'Données projet'!$E$14+1,1))</f>
        <v>156.63226020379989</v>
      </c>
      <c r="DU51" s="59">
        <f t="shared" si="44"/>
        <v>196.0481096619543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5.2635108754619848</v>
      </c>
      <c r="EC51" s="21">
        <f>EXP(-LN(2)/2)*EC50+(1-EXP(-LN(2)/2))/(LN(2)/2)*DW51*DZ51*VLOOKUP('Données projet'!$B$14,Paramètres!$A$1:$I$89,3,0)*0.475*44/12</f>
        <v>1.7721622660403991E-2</v>
      </c>
      <c r="ED51" s="22">
        <f t="shared" si="18"/>
        <v>5.2812324981223888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6.8260073260073284</v>
      </c>
      <c r="EJ51" s="12">
        <f>IF('Données projet'!$A$192&gt;35,EJ50+EI51-ER50,IF(A51&lt;'Données projet'!$A$192,$EG$205^A51,IF(A51='Données projet'!$A$192,'Données projet'!$B$192,EJ50+EI51-ER50)))</f>
        <v>125.31043956043951</v>
      </c>
      <c r="EK51" s="17">
        <f>EJ51*VLOOKUP('Données projet'!$B$15,Paramètres!$A$1:$I$89,3,0)*VLOOKUP('Données projet'!$B$15,Paramètres!$A$1:$I$89,5,0)</f>
        <v>134.88415714285708</v>
      </c>
      <c r="EL51" s="13">
        <f t="shared" si="45"/>
        <v>35.1225107136449</v>
      </c>
      <c r="EM51" s="20">
        <f t="shared" si="19"/>
        <v>296.09494651674089</v>
      </c>
      <c r="EN51" s="59">
        <f t="shared" si="20"/>
        <v>589.4282798500742</v>
      </c>
      <c r="EO51" s="59">
        <f ca="1">AVERAGE(OFFSET($EN$3,0,0,'Données projet'!$E$15+1,1))-AVERAGE(OFFSET($H$3,0,0,'Données projet'!$E$15+1,1))</f>
        <v>211.18501783767226</v>
      </c>
      <c r="EP51" s="59">
        <f t="shared" si="46"/>
        <v>147.98306963466246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12.2</v>
      </c>
      <c r="FE51" s="12">
        <f>IF('Données projet'!$A$218&gt;35,FE50+FD51-FM50,IF(A51&lt;'Données projet'!$A$218,$FB$205^A51,IF(A51='Données projet'!$A$218,'Données projet'!$B$218,FE50+FD51-FM50)))</f>
        <v>262.59999999999985</v>
      </c>
      <c r="FF51" s="17">
        <f>FE51*VLOOKUP('Données projet'!$B$16,Paramètres!$A$1:$I$89,3,0)*VLOOKUP('Données projet'!$B$16,Paramètres!$A$1:$I$89,5,0)</f>
        <v>157.03479999999993</v>
      </c>
      <c r="FG51" s="13">
        <f t="shared" si="47"/>
        <v>40.172979873645495</v>
      </c>
      <c r="FH51" s="20">
        <f t="shared" si="22"/>
        <v>343.47021661326579</v>
      </c>
      <c r="FI51" s="59">
        <f t="shared" si="23"/>
        <v>636.80354994659911</v>
      </c>
      <c r="FJ51" s="59">
        <f ca="1">AVERAGE(OFFSET($FI$3,0,0,'Données projet'!$E$16+1,1))-AVERAGE(OFFSET($H$3,0,0,'Données projet'!$E$16+1,1))</f>
        <v>232.26937455765062</v>
      </c>
      <c r="FK51" s="59">
        <f t="shared" si="48"/>
        <v>115.80853281120301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1.5495953959180755</v>
      </c>
      <c r="FR51" s="21">
        <f>EXP(-LN(2)/25)*FR50+(1-EXP(-LN(2)/25))/(LN(2)/25)*Calculateur!FM51*Calculateur!FO51*VLOOKUP('Données projet'!$B$16,Paramètres!$A$1:$I$89,3,0)*0.475*44/12</f>
        <v>2.6767559970031196</v>
      </c>
      <c r="FS51" s="21">
        <f>EXP(-LN(2)/2)*FS50+(1-EXP(-LN(2)/2))/(LN(2)/2)*FM51*FP51*VLOOKUP('Données projet'!$B$16,Paramètres!$A$1:$I$89,3,0)*0.475*44/12</f>
        <v>1.6397908071520025E-2</v>
      </c>
      <c r="FT51" s="22">
        <f t="shared" si="24"/>
        <v>4.2427493009927151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7.7</v>
      </c>
      <c r="FZ51" s="12">
        <f>IF('Données projet'!$A$244&gt;35,FZ50+FY51-GH50,IF(A51&lt;'Données projet'!$A$244,$FW$205^A51,IF(A51='Données projet'!$A$244,'Données projet'!$B$244,FZ50+FY51-GH50)))</f>
        <v>225.59999999999977</v>
      </c>
      <c r="GA51" s="17">
        <f>FZ51*VLOOKUP('Données projet'!$B$17,Paramètres!$A$1:$I$89,3,0)*VLOOKUP('Données projet'!$B$17,Paramètres!$A$1:$I$89,5,0)</f>
        <v>179.48735999999982</v>
      </c>
      <c r="GB51" s="13">
        <f t="shared" si="49"/>
        <v>45.208114286641525</v>
      </c>
      <c r="GC51" s="20">
        <f t="shared" si="25"/>
        <v>391.34461771590031</v>
      </c>
      <c r="GD51" s="59">
        <f t="shared" si="26"/>
        <v>684.67795104923357</v>
      </c>
      <c r="GE51" s="59">
        <f ca="1">AVERAGE(OFFSET($GD$3,0,0,'Données projet'!$E$17+1,1))-AVERAGE(OFFSET($H$3,0,0,'Données projet'!$E$17+1,1))</f>
        <v>199.58763537752952</v>
      </c>
      <c r="GF51" s="59">
        <f t="shared" si="50"/>
        <v>242.62852778451929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6.2427687127572353</v>
      </c>
      <c r="GN51" s="21">
        <f>EXP(-LN(2)/2)*GN50+(1-EXP(-LN(2)/2))/(LN(2)/2)*GH51*GK51*VLOOKUP('Données projet'!$B$17,Paramètres!$A$1:$I$89,3,0)*0.475*44/12</f>
        <v>2.1018668736758242E-2</v>
      </c>
      <c r="GO51" s="21">
        <f t="shared" si="27"/>
        <v>6.2637873814939935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6.8260073260073284</v>
      </c>
      <c r="N52" s="13">
        <f>IF('Données projet'!$A$36&gt;35,N51+M52-V51,IF(A52&lt;'Données projet'!$A$36,$K$205^A52,IF(A52='Données projet'!$A$36,'Données projet'!$B$36,N51+M52-V51)))</f>
        <v>132.13644688644683</v>
      </c>
      <c r="O52" s="13">
        <f>N52*VLOOKUP('Données projet'!$B$9,Paramètres!$A$1:$I$89,3,0)*VLOOKUP('Données projet'!$B$9,Paramètres!$A$1:$I$89,5,0)</f>
        <v>119.55705714285709</v>
      </c>
      <c r="P52" s="13">
        <f t="shared" si="33"/>
        <v>31.571667922473026</v>
      </c>
      <c r="Q52" s="20">
        <f t="shared" si="53"/>
        <v>263.21586282211655</v>
      </c>
      <c r="R52" s="59">
        <f t="shared" si="0"/>
        <v>556.54919615544986</v>
      </c>
      <c r="S52" s="59">
        <f ca="1">AVERAGE(OFFSET($R$3,0,0,'Données projet'!$E$9+1,1))-AVERAGE(OFFSET($H$3,0,0,'Données projet'!$E$9+1,1))</f>
        <v>153.45079678708987</v>
      </c>
      <c r="T52" s="59">
        <f t="shared" si="34"/>
        <v>115.4217868409637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6.8260073260073284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133.98635714285712</v>
      </c>
      <c r="AK52" s="13">
        <f t="shared" si="35"/>
        <v>34.915863980670267</v>
      </c>
      <c r="AL52" s="20">
        <f t="shared" si="4"/>
        <v>294.17136845681017</v>
      </c>
      <c r="AM52" s="59">
        <f t="shared" si="5"/>
        <v>587.50470179014349</v>
      </c>
      <c r="AN52" s="59">
        <f ca="1">AVERAGE(OFFSET($AM$3,0,0,'Données projet'!$E$10+1,1))-AVERAGE(OFFSET($H$3,0,0,'Données projet'!$E$10+1,1))</f>
        <v>190.21499310415584</v>
      </c>
      <c r="AO52" s="59">
        <f t="shared" si="36"/>
        <v>136.15730566500173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16.2</v>
      </c>
      <c r="BD52" s="12">
        <f>IF('Données projet'!$A$88&gt;35,BD51+BC52-BL51,IF(A52&lt;'Données projet'!$A$88,$BA$205^A52,IF(A52='Données projet'!$A$88,'Données projet'!$B$88,BD51+BC52-BL51)))</f>
        <v>363.79999999999984</v>
      </c>
      <c r="BE52" s="13">
        <f>BD52*VLOOKUP('Données projet'!$B$11,Paramètres!$A$1:$I$89,3,0)*VLOOKUP('Données projet'!$B$11,Paramètres!$A$1:$I$89,5,0)</f>
        <v>217.55239999999992</v>
      </c>
      <c r="BF52" s="13">
        <f t="shared" si="37"/>
        <v>53.58256606537995</v>
      </c>
      <c r="BG52" s="20">
        <f t="shared" si="7"/>
        <v>472.22673256386997</v>
      </c>
      <c r="BH52" s="59">
        <f t="shared" si="8"/>
        <v>765.56006589720323</v>
      </c>
      <c r="BI52" s="59">
        <f ca="1">AVERAGE(OFFSET($BH$3,0,0,'Données projet'!$E$11+1,1))-AVERAGE(OFFSET($H$3,0,0,'Données projet'!$E$11+1,1))</f>
        <v>270.30888762640245</v>
      </c>
      <c r="BJ52" s="59">
        <f t="shared" si="38"/>
        <v>202.23783851977691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1.4702020406748255</v>
      </c>
      <c r="BQ52" s="21">
        <f>EXP(-LN(2)/25)*BQ51+(1-EXP(-LN(2)/25))/(LN(2)/25)*Calculateur!BL52*Calculateur!BN52*VLOOKUP('Données projet'!$B$11,Paramètres!$A$1:$I$89,3,0)*0.475*44/12</f>
        <v>7.2602753110823501</v>
      </c>
      <c r="BR52" s="21">
        <f>EXP(-LN(2)/2)*BR51+(1-EXP(-LN(2)/2))/(LN(2)/2)*BL52*BO52*VLOOKUP('Données projet'!$B$11,Paramètres!$A$1:$I$89,3,0)*0.475*44/12</f>
        <v>2.5539548697883337E-2</v>
      </c>
      <c r="BS52" s="22">
        <f t="shared" si="9"/>
        <v>8.7560169004550588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16.2</v>
      </c>
      <c r="BY52" s="12">
        <f>IF('Données projet'!$A$114&gt;35,BY51+BX52-CG51,IF(A52&lt;'Données projet'!$A$114,$BV$205^A52,IF(A52='Données projet'!$A$114,'Données projet'!$B$114,BY51+BX52-CG51)))</f>
        <v>363.79999999999984</v>
      </c>
      <c r="BZ52" s="13">
        <f>BY52*VLOOKUP('Données projet'!$B$12,Paramètres!$A$1:$I$89,3,0)*VLOOKUP('Données projet'!$B$12,Paramètres!$A$1:$I$89,5,0)</f>
        <v>217.55239999999992</v>
      </c>
      <c r="CA52" s="13">
        <f t="shared" si="39"/>
        <v>53.58256606537995</v>
      </c>
      <c r="CB52" s="20">
        <f t="shared" si="10"/>
        <v>472.22673256386997</v>
      </c>
      <c r="CC52" s="59">
        <f t="shared" si="11"/>
        <v>765.56006589720323</v>
      </c>
      <c r="CD52" s="59">
        <f ca="1">AVERAGE(OFFSET($CC$3,0,0,'Données projet'!$E$12+1,1))-AVERAGE(OFFSET($H$3,0,0,'Données projet'!$E$12+1,1))</f>
        <v>270.30888762640245</v>
      </c>
      <c r="CE52" s="59">
        <f t="shared" si="40"/>
        <v>202.23783851977691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1.4702020406748255</v>
      </c>
      <c r="CL52" s="21">
        <f>EXP(-LN(2)/25)*CL51+(1-EXP(-LN(2)/25))/(LN(2)/25)*Calculateur!CG52*Calculateur!CI52*VLOOKUP('Données projet'!$B$12,Paramètres!$A$1:$I$89,3,0)*0.475*44/12</f>
        <v>7.2602753110823501</v>
      </c>
      <c r="CM52" s="21">
        <f>EXP(-LN(2)/2)*CM51+(1-EXP(-LN(2)/2))/(LN(2)/2)*CG52*CJ52*VLOOKUP('Données projet'!$B$12,Paramètres!$A$1:$I$89,3,0)*0.475*44/12</f>
        <v>2.5539548697883337E-2</v>
      </c>
      <c r="CN52" s="22">
        <f t="shared" si="12"/>
        <v>8.7560169004550588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>
        <f>VLOOKUP(A52,'Données projet'!$A$139:$I$159,2,0)</f>
        <v>339.85384615384612</v>
      </c>
      <c r="CR52" s="12">
        <f>VLOOKUP(A52,'Données projet'!$A$139:$I$159,9,0)</f>
        <v>15.618681318681309</v>
      </c>
      <c r="CS52" s="12">
        <f t="array" ref="CS52">INDEX(CR:CR,MIN(IF(ISNUMBER(CR52:CR248),ROW(CR52:CR248),"")))</f>
        <v>15.618681318681309</v>
      </c>
      <c r="CT52" s="12">
        <f>IF('Données projet'!$A$140&gt;35,CT51+CS52-DB51,IF(A52&lt;'Données projet'!$A$140,$CQ$205^A52,IF(A52='Données projet'!$A$140,'Données projet'!$B$140,CT51+CS52-DB51)))</f>
        <v>339.85384615384618</v>
      </c>
      <c r="CU52" s="17">
        <f>CT52*VLOOKUP('Données projet'!$B$13,Paramètres!$A$1:$I$89,3,0)*VLOOKUP('Données projet'!$B$13,Paramètres!$A$1:$I$89,5,0)</f>
        <v>159.05160000000001</v>
      </c>
      <c r="CV52" s="13">
        <f t="shared" si="41"/>
        <v>40.628527179850586</v>
      </c>
      <c r="CW52" s="20">
        <f t="shared" si="13"/>
        <v>347.77622150490646</v>
      </c>
      <c r="CX52" s="59">
        <f t="shared" si="14"/>
        <v>641.10955483823977</v>
      </c>
      <c r="CY52" s="59">
        <f ca="1">AVERAGE(OFFSET($CX$3,0,0,'Données projet'!$E$13+1,1))-AVERAGE(OFFSET($H$3,0,0,'Données projet'!$E$13+1,1))</f>
        <v>158.58786357608489</v>
      </c>
      <c r="CZ52" s="59">
        <f t="shared" si="42"/>
        <v>163.20074068819849</v>
      </c>
      <c r="DA52" s="15">
        <f>IF(ISNA(VLOOKUP(A52,'Données projet'!$A$139:$I$159,3,0)),0,VLOOKUP(A52,'Données projet'!$A$139:$I$159,3,0))</f>
        <v>2</v>
      </c>
      <c r="DB52" s="15">
        <f>IF(ISNA(VLOOKUP(A52,'Données projet'!$A$139:$I$159,4,0)),0,VLOOKUP(A52,'Données projet'!$A$139:$I$159,4,0))</f>
        <v>94.476923076923072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7.7</v>
      </c>
      <c r="DO52" s="12">
        <f>IF('Données projet'!$A$166&gt;35,DO51+DN52-DW51,IF(A52&lt;'Données projet'!$A$166,$DL$205^A52,IF(A52='Données projet'!$A$166,'Données projet'!$B$166,DO51+DN52-DW51)))</f>
        <v>233.29999999999976</v>
      </c>
      <c r="DP52" s="17">
        <f>DO52*VLOOKUP('Données projet'!$B$14,Paramètres!$A$1:$I$89,3,0)*VLOOKUP('Données projet'!$B$14,Paramètres!$A$1:$I$89,5,0)</f>
        <v>156.49763999999982</v>
      </c>
      <c r="DQ52" s="13">
        <f t="shared" si="43"/>
        <v>40.051533633118169</v>
      </c>
      <c r="DR52" s="20">
        <f t="shared" si="16"/>
        <v>342.32314407768052</v>
      </c>
      <c r="DS52" s="59">
        <f t="shared" si="17"/>
        <v>635.65647741101384</v>
      </c>
      <c r="DT52" s="59">
        <f ca="1">AVERAGE(OFFSET($DS$3,0,0,'Données projet'!$E$14+1,1))-AVERAGE(OFFSET($H$3,0,0,'Données projet'!$E$14+1,1))</f>
        <v>156.63226020379989</v>
      </c>
      <c r="DU52" s="59">
        <f t="shared" si="44"/>
        <v>196.0481096619543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5.1195798937764696</v>
      </c>
      <c r="EC52" s="21">
        <f>EXP(-LN(2)/2)*EC51+(1-EXP(-LN(2)/2))/(LN(2)/2)*DW52*DZ52*VLOOKUP('Données projet'!$B$14,Paramètres!$A$1:$I$89,3,0)*0.475*44/12</f>
        <v>1.2531079556800847E-2</v>
      </c>
      <c r="ED52" s="22">
        <f t="shared" si="18"/>
        <v>5.1321109733332708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6.8260073260073284</v>
      </c>
      <c r="EJ52" s="12">
        <f>IF('Données projet'!$A$192&gt;35,EJ51+EI52-ER51,IF(A52&lt;'Données projet'!$A$192,$EG$205^A52,IF(A52='Données projet'!$A$192,'Données projet'!$B$192,EJ51+EI52-ER51)))</f>
        <v>132.13644688644683</v>
      </c>
      <c r="EK52" s="17">
        <f>EJ52*VLOOKUP('Données projet'!$B$15,Paramètres!$A$1:$I$89,3,0)*VLOOKUP('Données projet'!$B$15,Paramètres!$A$1:$I$89,5,0)</f>
        <v>142.23167142857136</v>
      </c>
      <c r="EL52" s="13">
        <f t="shared" si="45"/>
        <v>36.80777857031412</v>
      </c>
      <c r="EM52" s="20">
        <f t="shared" si="19"/>
        <v>311.82704208139222</v>
      </c>
      <c r="EN52" s="59">
        <f t="shared" si="20"/>
        <v>605.16037541472554</v>
      </c>
      <c r="EO52" s="59">
        <f ca="1">AVERAGE(OFFSET($EN$3,0,0,'Données projet'!$E$15+1,1))-AVERAGE(OFFSET($H$3,0,0,'Données projet'!$E$15+1,1))</f>
        <v>211.18501783767226</v>
      </c>
      <c r="EP52" s="59">
        <f t="shared" si="46"/>
        <v>147.98306963466246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12.2</v>
      </c>
      <c r="FE52" s="12">
        <f>IF('Données projet'!$A$218&gt;35,FE51+FD52-FM51,IF(A52&lt;'Données projet'!$A$218,$FB$205^A52,IF(A52='Données projet'!$A$218,'Données projet'!$B$218,FE51+FD52-FM51)))</f>
        <v>274.79999999999984</v>
      </c>
      <c r="FF52" s="17">
        <f>FE52*VLOOKUP('Données projet'!$B$16,Paramètres!$A$1:$I$89,3,0)*VLOOKUP('Données projet'!$B$16,Paramètres!$A$1:$I$89,5,0)</f>
        <v>164.33039999999991</v>
      </c>
      <c r="FG52" s="13">
        <f t="shared" si="47"/>
        <v>41.817725957365205</v>
      </c>
      <c r="FH52" s="20">
        <f t="shared" si="22"/>
        <v>359.04131937574425</v>
      </c>
      <c r="FI52" s="59">
        <f t="shared" si="23"/>
        <v>652.37465270907751</v>
      </c>
      <c r="FJ52" s="59">
        <f ca="1">AVERAGE(OFFSET($FI$3,0,0,'Données projet'!$E$16+1,1))-AVERAGE(OFFSET($H$3,0,0,'Données projet'!$E$16+1,1))</f>
        <v>232.26937455765062</v>
      </c>
      <c r="FK52" s="59">
        <f t="shared" si="48"/>
        <v>115.80853281120301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1.5192087753639867</v>
      </c>
      <c r="FR52" s="21">
        <f>EXP(-LN(2)/25)*FR51+(1-EXP(-LN(2)/25))/(LN(2)/25)*Calculateur!FM52*Calculateur!FO52*VLOOKUP('Données projet'!$B$16,Paramètres!$A$1:$I$89,3,0)*0.475*44/12</f>
        <v>2.6035599635005893</v>
      </c>
      <c r="FS52" s="21">
        <f>EXP(-LN(2)/2)*FS51+(1-EXP(-LN(2)/2))/(LN(2)/2)*FM52*FP52*VLOOKUP('Données projet'!$B$16,Paramètres!$A$1:$I$89,3,0)*0.475*44/12</f>
        <v>1.1595071994645432E-2</v>
      </c>
      <c r="FT52" s="22">
        <f t="shared" si="24"/>
        <v>4.1343638108592211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7.7</v>
      </c>
      <c r="FZ52" s="12">
        <f>IF('Données projet'!$A$244&gt;35,FZ51+FY52-GH51,IF(A52&lt;'Données projet'!$A$244,$FW$205^A52,IF(A52='Données projet'!$A$244,'Données projet'!$B$244,FZ51+FY52-GH51)))</f>
        <v>233.29999999999976</v>
      </c>
      <c r="GA52" s="17">
        <f>FZ52*VLOOKUP('Données projet'!$B$17,Paramètres!$A$1:$I$89,3,0)*VLOOKUP('Données projet'!$B$17,Paramètres!$A$1:$I$89,5,0)</f>
        <v>185.61347999999981</v>
      </c>
      <c r="GB52" s="13">
        <f t="shared" si="49"/>
        <v>46.568841147773846</v>
      </c>
      <c r="GC52" s="20">
        <f t="shared" si="25"/>
        <v>404.38420933237239</v>
      </c>
      <c r="GD52" s="59">
        <f t="shared" si="26"/>
        <v>697.71754266570565</v>
      </c>
      <c r="GE52" s="59">
        <f ca="1">AVERAGE(OFFSET($GD$3,0,0,'Données projet'!$E$17+1,1))-AVERAGE(OFFSET($H$3,0,0,'Données projet'!$E$17+1,1))</f>
        <v>199.58763537752952</v>
      </c>
      <c r="GF52" s="59">
        <f t="shared" si="50"/>
        <v>242.62852778451929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6.0720598740139504</v>
      </c>
      <c r="GN52" s="21">
        <f>EXP(-LN(2)/2)*GN51+(1-EXP(-LN(2)/2))/(LN(2)/2)*GH52*GK52*VLOOKUP('Données projet'!$B$17,Paramètres!$A$1:$I$89,3,0)*0.475*44/12</f>
        <v>1.4862443195275438E-2</v>
      </c>
      <c r="GO52" s="21">
        <f t="shared" si="27"/>
        <v>6.0869223172092255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6.8260073260073284</v>
      </c>
      <c r="N53" s="13">
        <f>IF('Données projet'!$A$36&gt;35,N52+M53-V52,IF(A53&lt;'Données projet'!$A$36,$K$205^A53,IF(A53='Données projet'!$A$36,'Données projet'!$B$36,N52+M53-V52)))</f>
        <v>138.96245421245416</v>
      </c>
      <c r="O53" s="13">
        <f>N53*VLOOKUP('Données projet'!$B$9,Paramètres!$A$1:$I$89,3,0)*VLOOKUP('Données projet'!$B$9,Paramètres!$A$1:$I$89,5,0)</f>
        <v>125.73322857142851</v>
      </c>
      <c r="P53" s="13">
        <f t="shared" si="33"/>
        <v>33.008527004415768</v>
      </c>
      <c r="Q53" s="20">
        <f t="shared" si="53"/>
        <v>276.47522429459542</v>
      </c>
      <c r="R53" s="59">
        <f t="shared" si="0"/>
        <v>569.80855762792874</v>
      </c>
      <c r="S53" s="59">
        <f ca="1">AVERAGE(OFFSET($R$3,0,0,'Données projet'!$E$9+1,1))-AVERAGE(OFFSET($H$3,0,0,'Données projet'!$E$9+1,1))</f>
        <v>153.45079678708987</v>
      </c>
      <c r="T53" s="59">
        <f t="shared" si="34"/>
        <v>115.4217868409637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6.8260073260073284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140.90792857142853</v>
      </c>
      <c r="AK53" s="13">
        <f t="shared" si="35"/>
        <v>36.504920865079967</v>
      </c>
      <c r="AL53" s="20">
        <f t="shared" si="4"/>
        <v>308.99404610191897</v>
      </c>
      <c r="AM53" s="59">
        <f t="shared" si="5"/>
        <v>602.32737943525228</v>
      </c>
      <c r="AN53" s="59">
        <f ca="1">AVERAGE(OFFSET($AM$3,0,0,'Données projet'!$E$10+1,1))-AVERAGE(OFFSET($H$3,0,0,'Données projet'!$E$10+1,1))</f>
        <v>190.21499310415584</v>
      </c>
      <c r="AO53" s="59">
        <f t="shared" si="36"/>
        <v>136.15730566500173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380</v>
      </c>
      <c r="BB53" s="12">
        <f>VLOOKUP(A53,'Données projet'!$A$87:$I$107,9,0)</f>
        <v>16.2</v>
      </c>
      <c r="BC53" s="12">
        <f t="array" ref="BC53">INDEX(BB:BB,MIN(IF(ISNUMBER(BB53:BB249),ROW(BB53:BB249),"")))</f>
        <v>16.2</v>
      </c>
      <c r="BD53" s="12">
        <f>IF('Données projet'!$A$88&gt;35,BD52+BC53-BL52,IF(A53&lt;'Données projet'!$A$88,$BA$205^A53,IF(A53='Données projet'!$A$88,'Données projet'!$B$88,BD52+BC53-BL52)))</f>
        <v>379.99999999999983</v>
      </c>
      <c r="BE53" s="13">
        <f>BD53*VLOOKUP('Données projet'!$B$11,Paramètres!$A$1:$I$89,3,0)*VLOOKUP('Données projet'!$B$11,Paramètres!$A$1:$I$89,5,0)</f>
        <v>227.23999999999992</v>
      </c>
      <c r="BF53" s="13">
        <f t="shared" si="37"/>
        <v>55.685486340484204</v>
      </c>
      <c r="BG53" s="20">
        <f t="shared" si="7"/>
        <v>492.76188870967644</v>
      </c>
      <c r="BH53" s="59">
        <f t="shared" si="8"/>
        <v>786.0952220430097</v>
      </c>
      <c r="BI53" s="59">
        <f ca="1">AVERAGE(OFFSET($BH$3,0,0,'Données projet'!$E$11+1,1))-AVERAGE(OFFSET($H$3,0,0,'Données projet'!$E$11+1,1))</f>
        <v>270.30888762640245</v>
      </c>
      <c r="BJ53" s="59">
        <f t="shared" si="38"/>
        <v>202.23783851977691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1.4413722753918918</v>
      </c>
      <c r="BQ53" s="21">
        <f>EXP(-LN(2)/25)*BQ52+(1-EXP(-LN(2)/25))/(LN(2)/25)*Calculateur!BL53*Calculateur!BN53*VLOOKUP('Données projet'!$B$11,Paramètres!$A$1:$I$89,3,0)*0.475*44/12</f>
        <v>7.0617427008995186</v>
      </c>
      <c r="BR53" s="21">
        <f>EXP(-LN(2)/2)*BR52+(1-EXP(-LN(2)/2))/(LN(2)/2)*BL53*BO53*VLOOKUP('Données projet'!$B$11,Paramètres!$A$1:$I$89,3,0)*0.475*44/12</f>
        <v>1.8059188072717367E-2</v>
      </c>
      <c r="BS53" s="22">
        <f t="shared" si="9"/>
        <v>8.5211741643641279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380</v>
      </c>
      <c r="BW53" s="12">
        <f>VLOOKUP(A53,'Données projet'!$A$113:$I$133,9,0)</f>
        <v>16.2</v>
      </c>
      <c r="BX53" s="12">
        <f t="array" ref="BX53">INDEX(BW:BW,MIN(IF(ISNUMBER(BW53:BW249),ROW(BW53:BW249),"")))</f>
        <v>16.2</v>
      </c>
      <c r="BY53" s="12">
        <f>IF('Données projet'!$A$114&gt;35,BY52+BX53-CG52,IF(A53&lt;'Données projet'!$A$114,$BV$205^A53,IF(A53='Données projet'!$A$114,'Données projet'!$B$114,BY52+BX53-CG52)))</f>
        <v>379.99999999999983</v>
      </c>
      <c r="BZ53" s="13">
        <f>BY53*VLOOKUP('Données projet'!$B$12,Paramètres!$A$1:$I$89,3,0)*VLOOKUP('Données projet'!$B$12,Paramètres!$A$1:$I$89,5,0)</f>
        <v>227.23999999999992</v>
      </c>
      <c r="CA53" s="13">
        <f t="shared" si="39"/>
        <v>55.685486340484204</v>
      </c>
      <c r="CB53" s="20">
        <f t="shared" si="10"/>
        <v>492.76188870967644</v>
      </c>
      <c r="CC53" s="59">
        <f t="shared" si="11"/>
        <v>786.0952220430097</v>
      </c>
      <c r="CD53" s="59">
        <f ca="1">AVERAGE(OFFSET($CC$3,0,0,'Données projet'!$E$12+1,1))-AVERAGE(OFFSET($H$3,0,0,'Données projet'!$E$12+1,1))</f>
        <v>270.30888762640245</v>
      </c>
      <c r="CE53" s="59">
        <f t="shared" si="40"/>
        <v>202.23783851977691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1.4413722753918918</v>
      </c>
      <c r="CL53" s="21">
        <f>EXP(-LN(2)/25)*CL52+(1-EXP(-LN(2)/25))/(LN(2)/25)*Calculateur!CG53*Calculateur!CI53*VLOOKUP('Données projet'!$B$12,Paramètres!$A$1:$I$89,3,0)*0.475*44/12</f>
        <v>7.0617427008995186</v>
      </c>
      <c r="CM53" s="21">
        <f>EXP(-LN(2)/2)*CM52+(1-EXP(-LN(2)/2))/(LN(2)/2)*CG53*CJ53*VLOOKUP('Données projet'!$B$12,Paramètres!$A$1:$I$89,3,0)*0.475*44/12</f>
        <v>1.8059188072717367E-2</v>
      </c>
      <c r="CN53" s="22">
        <f t="shared" si="12"/>
        <v>8.5211741643641279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14.668131868131875</v>
      </c>
      <c r="CT53" s="12">
        <f>IF('Données projet'!$A$140&gt;35,CT52+CS53-DB52,IF(A53&lt;'Données projet'!$A$140,$CQ$205^A53,IF(A53='Données projet'!$A$140,'Données projet'!$B$140,CT52+CS53-DB52)))</f>
        <v>260.04505494505497</v>
      </c>
      <c r="CU53" s="17">
        <f>CT53*VLOOKUP('Données projet'!$B$13,Paramètres!$A$1:$I$89,3,0)*VLOOKUP('Données projet'!$B$13,Paramètres!$A$1:$I$89,5,0)</f>
        <v>121.70108571428571</v>
      </c>
      <c r="CV53" s="13">
        <f t="shared" si="41"/>
        <v>32.071423986344442</v>
      </c>
      <c r="CW53" s="20">
        <f t="shared" si="13"/>
        <v>267.82045439526422</v>
      </c>
      <c r="CX53" s="59">
        <f t="shared" si="14"/>
        <v>561.15378772859754</v>
      </c>
      <c r="CY53" s="59">
        <f ca="1">AVERAGE(OFFSET($CX$3,0,0,'Données projet'!$E$13+1,1))-AVERAGE(OFFSET($H$3,0,0,'Données projet'!$E$13+1,1))</f>
        <v>158.58786357608489</v>
      </c>
      <c r="CZ53" s="59">
        <f t="shared" si="42"/>
        <v>163.20074068819849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241</v>
      </c>
      <c r="DM53" s="12">
        <f>VLOOKUP(A53,'Données projet'!$A$165:$I$185,9,0)</f>
        <v>7.7</v>
      </c>
      <c r="DN53" s="12">
        <f t="array" ref="DN53">INDEX(DM:DM,MIN(IF(ISNUMBER(DM53:DM249),ROW(DM53:DM249),"")))</f>
        <v>7.7</v>
      </c>
      <c r="DO53" s="12">
        <f>IF('Données projet'!$A$166&gt;35,DO52+DN53-DW52,IF(A53&lt;'Données projet'!$A$166,$DL$205^A53,IF(A53='Données projet'!$A$166,'Données projet'!$B$166,DO52+DN53-DW52)))</f>
        <v>240.99999999999974</v>
      </c>
      <c r="DP53" s="17">
        <f>DO53*VLOOKUP('Données projet'!$B$14,Paramètres!$A$1:$I$89,3,0)*VLOOKUP('Données projet'!$B$14,Paramètres!$A$1:$I$89,5,0)</f>
        <v>161.66279999999983</v>
      </c>
      <c r="DQ53" s="13">
        <f t="shared" si="43"/>
        <v>41.217338614576043</v>
      </c>
      <c r="DR53" s="20">
        <f t="shared" si="16"/>
        <v>353.34957475371965</v>
      </c>
      <c r="DS53" s="59">
        <f t="shared" si="17"/>
        <v>646.68290808705297</v>
      </c>
      <c r="DT53" s="59">
        <f ca="1">AVERAGE(OFFSET($DS$3,0,0,'Données projet'!$E$14+1,1))-AVERAGE(OFFSET($H$3,0,0,'Données projet'!$E$14+1,1))</f>
        <v>156.63226020379989</v>
      </c>
      <c r="DU53" s="59">
        <f t="shared" si="44"/>
        <v>196.0481096619543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39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4.9795847123541463</v>
      </c>
      <c r="EC53" s="21">
        <f>EXP(-LN(2)/2)*EC52+(1-EXP(-LN(2)/2))/(LN(2)/2)*DW53*DZ53*VLOOKUP('Données projet'!$B$14,Paramètres!$A$1:$I$89,3,0)*0.475*44/12</f>
        <v>8.8608113302019956E-3</v>
      </c>
      <c r="ED53" s="22">
        <f t="shared" si="18"/>
        <v>4.9884455236843479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6.8260073260073284</v>
      </c>
      <c r="EJ53" s="12">
        <f>IF('Données projet'!$A$192&gt;35,EJ52+EI53-ER52,IF(A53&lt;'Données projet'!$A$192,$EG$205^A53,IF(A53='Données projet'!$A$192,'Données projet'!$B$192,EJ52+EI53-ER52)))</f>
        <v>138.96245421245416</v>
      </c>
      <c r="EK53" s="17">
        <f>EJ53*VLOOKUP('Données projet'!$B$15,Paramètres!$A$1:$I$89,3,0)*VLOOKUP('Données projet'!$B$15,Paramètres!$A$1:$I$89,5,0)</f>
        <v>149.57918571428564</v>
      </c>
      <c r="EL53" s="13">
        <f t="shared" si="45"/>
        <v>38.482938433732244</v>
      </c>
      <c r="EM53" s="20">
        <f t="shared" si="19"/>
        <v>327.54153289113111</v>
      </c>
      <c r="EN53" s="59">
        <f t="shared" si="20"/>
        <v>620.87486622446443</v>
      </c>
      <c r="EO53" s="59">
        <f ca="1">AVERAGE(OFFSET($EN$3,0,0,'Données projet'!$E$15+1,1))-AVERAGE(OFFSET($H$3,0,0,'Données projet'!$E$15+1,1))</f>
        <v>211.18501783767226</v>
      </c>
      <c r="EP53" s="59">
        <f t="shared" si="46"/>
        <v>147.98306963466246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287</v>
      </c>
      <c r="FC53" s="12">
        <f>VLOOKUP(A53,'Données projet'!$A$217:$I$237,9,0)</f>
        <v>12.2</v>
      </c>
      <c r="FD53" s="12">
        <f t="array" ref="FD53">INDEX(FC:FC,MIN(IF(ISNUMBER(FC53:FC249),ROW(FC53:FC249),"")))</f>
        <v>12.2</v>
      </c>
      <c r="FE53" s="12">
        <f>IF('Données projet'!$A$218&gt;35,FE52+FD53-FM52,IF(A53&lt;'Données projet'!$A$218,$FB$205^A53,IF(A53='Données projet'!$A$218,'Données projet'!$B$218,FE52+FD53-FM52)))</f>
        <v>286.99999999999983</v>
      </c>
      <c r="FF53" s="17">
        <f>FE53*VLOOKUP('Données projet'!$B$16,Paramètres!$A$1:$I$89,3,0)*VLOOKUP('Données projet'!$B$16,Paramètres!$A$1:$I$89,5,0)</f>
        <v>171.62599999999992</v>
      </c>
      <c r="FG53" s="13">
        <f t="shared" si="47"/>
        <v>43.4539914923296</v>
      </c>
      <c r="FH53" s="20">
        <f t="shared" si="22"/>
        <v>374.59765184914062</v>
      </c>
      <c r="FI53" s="59">
        <f t="shared" si="23"/>
        <v>667.93098518247393</v>
      </c>
      <c r="FJ53" s="59">
        <f ca="1">AVERAGE(OFFSET($FI$3,0,0,'Données projet'!$E$16+1,1))-AVERAGE(OFFSET($H$3,0,0,'Données projet'!$E$16+1,1))</f>
        <v>232.26937455765062</v>
      </c>
      <c r="FK53" s="59">
        <f t="shared" si="48"/>
        <v>115.80853281120301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57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1.4894180179049552</v>
      </c>
      <c r="FR53" s="21">
        <f>EXP(-LN(2)/25)*FR52+(1-EXP(-LN(2)/25))/(LN(2)/25)*Calculateur!FM53*Calculateur!FO53*VLOOKUP('Données projet'!$B$16,Paramètres!$A$1:$I$89,3,0)*0.475*44/12</f>
        <v>2.5323654793833978</v>
      </c>
      <c r="FS53" s="21">
        <f>EXP(-LN(2)/2)*FS52+(1-EXP(-LN(2)/2))/(LN(2)/2)*FM53*FP53*VLOOKUP('Données projet'!$B$16,Paramètres!$A$1:$I$89,3,0)*0.475*44/12</f>
        <v>8.1989540357600126E-3</v>
      </c>
      <c r="FT53" s="22">
        <f t="shared" si="24"/>
        <v>4.0299824513241127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241</v>
      </c>
      <c r="FX53" s="12">
        <f>VLOOKUP(A53,'Données projet'!$A$243:$I$263,9,0)</f>
        <v>7.7</v>
      </c>
      <c r="FY53" s="12">
        <f t="array" ref="FY53">INDEX(FX:FX,MIN(IF(ISNUMBER(FX53:FX249),ROW(FX53:FX249),"")))</f>
        <v>7.7</v>
      </c>
      <c r="FZ53" s="12">
        <f>IF('Données projet'!$A$244&gt;35,FZ52+FY53-GH52,IF(A53&lt;'Données projet'!$A$244,$FW$205^A53,IF(A53='Données projet'!$A$244,'Données projet'!$B$244,FZ52+FY53-GH52)))</f>
        <v>240.99999999999974</v>
      </c>
      <c r="GA53" s="17">
        <f>FZ53*VLOOKUP('Données projet'!$B$17,Paramètres!$A$1:$I$89,3,0)*VLOOKUP('Données projet'!$B$17,Paramètres!$A$1:$I$89,5,0)</f>
        <v>191.7395999999998</v>
      </c>
      <c r="GB53" s="13">
        <f t="shared" si="49"/>
        <v>47.924349465834901</v>
      </c>
      <c r="GC53" s="20">
        <f t="shared" si="25"/>
        <v>417.41471198632871</v>
      </c>
      <c r="GD53" s="59">
        <f t="shared" si="26"/>
        <v>710.74804531966197</v>
      </c>
      <c r="GE53" s="59">
        <f ca="1">AVERAGE(OFFSET($GD$3,0,0,'Données projet'!$E$17+1,1))-AVERAGE(OFFSET($H$3,0,0,'Données projet'!$E$17+1,1))</f>
        <v>199.58763537752952</v>
      </c>
      <c r="GF53" s="59">
        <f t="shared" si="50"/>
        <v>242.62852778451929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39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5.9060190774432879</v>
      </c>
      <c r="GN53" s="21">
        <f>EXP(-LN(2)/2)*GN52+(1-EXP(-LN(2)/2))/(LN(2)/2)*GH53*GK53*VLOOKUP('Données projet'!$B$17,Paramètres!$A$1:$I$89,3,0)*0.475*44/12</f>
        <v>1.0509334368379121E-2</v>
      </c>
      <c r="GO53" s="21">
        <f t="shared" si="27"/>
        <v>5.916528411811667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145.78846153846155</v>
      </c>
      <c r="L54" s="12">
        <f>VLOOKUP(A54,'Données projet'!$A$35:$I$55,9,0)</f>
        <v>6.8260073260073284</v>
      </c>
      <c r="M54" s="12">
        <f t="array" ref="M54">INDEX(L:L,MIN(IF(ISNUMBER(L54:L250),ROW(L54:L250),"")))</f>
        <v>6.8260073260073284</v>
      </c>
      <c r="N54" s="13">
        <f>IF('Données projet'!$A$36&gt;35,N53+M54-V53,IF(A54&lt;'Données projet'!$A$36,$K$205^A54,IF(A54='Données projet'!$A$36,'Données projet'!$B$36,N53+M54-V53)))</f>
        <v>145.78846153846149</v>
      </c>
      <c r="O54" s="13">
        <f>N54*VLOOKUP('Données projet'!$B$9,Paramètres!$A$1:$I$89,3,0)*VLOOKUP('Données projet'!$B$9,Paramètres!$A$1:$I$89,5,0)</f>
        <v>131.90939999999995</v>
      </c>
      <c r="P54" s="13">
        <f t="shared" si="33"/>
        <v>34.437190502969557</v>
      </c>
      <c r="Q54" s="20">
        <f t="shared" si="53"/>
        <v>289.72031179267179</v>
      </c>
      <c r="R54" s="59">
        <f t="shared" si="0"/>
        <v>583.05364512600511</v>
      </c>
      <c r="S54" s="59">
        <f ca="1">AVERAGE(OFFSET($R$3,0,0,'Données projet'!$E$9+1,1))-AVERAGE(OFFSET($H$3,0,0,'Données projet'!$E$9+1,1))</f>
        <v>153.45079678708987</v>
      </c>
      <c r="T54" s="59">
        <f t="shared" si="34"/>
        <v>115.4217868409637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37.685897435897431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145.78846153846155</v>
      </c>
      <c r="AG54" s="12">
        <f>VLOOKUP(A54,'Données projet'!$A$61:$I$81,9,0)</f>
        <v>6.8260073260073284</v>
      </c>
      <c r="AH54" s="12">
        <f t="array" ref="AH54">INDEX(AG:AG,MIN(IF(ISNUMBER(AG54:AG250),ROW(AG54:AG250),"")))</f>
        <v>6.8260073260073284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147.82949999999997</v>
      </c>
      <c r="AK54" s="13">
        <f t="shared" si="35"/>
        <v>38.084914057462001</v>
      </c>
      <c r="AL54" s="20">
        <f t="shared" si="4"/>
        <v>323.80093781674623</v>
      </c>
      <c r="AM54" s="59">
        <f t="shared" si="5"/>
        <v>617.13427115007948</v>
      </c>
      <c r="AN54" s="59">
        <f ca="1">AVERAGE(OFFSET($AM$3,0,0,'Données projet'!$E$10+1,1))-AVERAGE(OFFSET($H$3,0,0,'Données projet'!$E$10+1,1))</f>
        <v>190.21499310415584</v>
      </c>
      <c r="AO54" s="59">
        <f t="shared" si="36"/>
        <v>136.15730566500173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15.6</v>
      </c>
      <c r="BD54" s="12">
        <f>IF('Données projet'!$A$88&gt;35,BD53+BC54-BL53,IF(A54&lt;'Données projet'!$A$88,$BA$205^A54,IF(A54='Données projet'!$A$88,'Données projet'!$B$88,BD53+BC54-BL53)))</f>
        <v>306.59999999999985</v>
      </c>
      <c r="BE54" s="13">
        <f>BD54*VLOOKUP('Données projet'!$B$11,Paramètres!$A$1:$I$89,3,0)*VLOOKUP('Données projet'!$B$11,Paramètres!$A$1:$I$89,5,0)</f>
        <v>183.34679999999994</v>
      </c>
      <c r="BF54" s="13">
        <f t="shared" si="37"/>
        <v>46.06598726946973</v>
      </c>
      <c r="BG54" s="20">
        <f t="shared" si="7"/>
        <v>399.56060449432636</v>
      </c>
      <c r="BH54" s="59">
        <f t="shared" si="8"/>
        <v>692.89393782765967</v>
      </c>
      <c r="BI54" s="59">
        <f ca="1">AVERAGE(OFFSET($BH$3,0,0,'Données projet'!$E$11+1,1))-AVERAGE(OFFSET($H$3,0,0,'Données projet'!$E$11+1,1))</f>
        <v>270.30888762640245</v>
      </c>
      <c r="BJ54" s="59">
        <f t="shared" si="38"/>
        <v>202.23783851977691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1.413107844221736</v>
      </c>
      <c r="BQ54" s="21">
        <f>EXP(-LN(2)/25)*BQ53+(1-EXP(-LN(2)/25))/(LN(2)/25)*Calculateur!BL54*Calculateur!BN54*VLOOKUP('Données projet'!$B$11,Paramètres!$A$1:$I$89,3,0)*0.475*44/12</f>
        <v>6.8686389753825123</v>
      </c>
      <c r="BR54" s="21">
        <f>EXP(-LN(2)/2)*BR53+(1-EXP(-LN(2)/2))/(LN(2)/2)*BL54*BO54*VLOOKUP('Données projet'!$B$11,Paramètres!$A$1:$I$89,3,0)*0.475*44/12</f>
        <v>1.2769774348941668E-2</v>
      </c>
      <c r="BS54" s="22">
        <f t="shared" si="9"/>
        <v>8.2945165939531886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15.6</v>
      </c>
      <c r="BY54" s="12">
        <f>IF('Données projet'!$A$114&gt;35,BY53+BX54-CG53,IF(A54&lt;'Données projet'!$A$114,$BV$205^A54,IF(A54='Données projet'!$A$114,'Données projet'!$B$114,BY53+BX54-CG53)))</f>
        <v>306.59999999999985</v>
      </c>
      <c r="BZ54" s="13">
        <f>BY54*VLOOKUP('Données projet'!$B$12,Paramètres!$A$1:$I$89,3,0)*VLOOKUP('Données projet'!$B$12,Paramètres!$A$1:$I$89,5,0)</f>
        <v>183.34679999999994</v>
      </c>
      <c r="CA54" s="13">
        <f t="shared" si="39"/>
        <v>46.06598726946973</v>
      </c>
      <c r="CB54" s="20">
        <f t="shared" si="10"/>
        <v>399.56060449432636</v>
      </c>
      <c r="CC54" s="59">
        <f t="shared" si="11"/>
        <v>692.89393782765967</v>
      </c>
      <c r="CD54" s="59">
        <f ca="1">AVERAGE(OFFSET($CC$3,0,0,'Données projet'!$E$12+1,1))-AVERAGE(OFFSET($H$3,0,0,'Données projet'!$E$12+1,1))</f>
        <v>270.30888762640245</v>
      </c>
      <c r="CE54" s="59">
        <f t="shared" si="40"/>
        <v>202.23783851977691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1.413107844221736</v>
      </c>
      <c r="CL54" s="21">
        <f>EXP(-LN(2)/25)*CL53+(1-EXP(-LN(2)/25))/(LN(2)/25)*Calculateur!CG54*Calculateur!CI54*VLOOKUP('Données projet'!$B$12,Paramètres!$A$1:$I$89,3,0)*0.475*44/12</f>
        <v>6.8686389753825123</v>
      </c>
      <c r="CM54" s="21">
        <f>EXP(-LN(2)/2)*CM53+(1-EXP(-LN(2)/2))/(LN(2)/2)*CG54*CJ54*VLOOKUP('Données projet'!$B$12,Paramètres!$A$1:$I$89,3,0)*0.475*44/12</f>
        <v>1.2769774348941668E-2</v>
      </c>
      <c r="CN54" s="22">
        <f t="shared" si="12"/>
        <v>8.2945165939531886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14.668131868131875</v>
      </c>
      <c r="CT54" s="12">
        <f>IF('Données projet'!$A$140&gt;35,CT53+CS54-DB53,IF(A54&lt;'Données projet'!$A$140,$CQ$205^A54,IF(A54='Données projet'!$A$140,'Données projet'!$B$140,CT53+CS54-DB53)))</f>
        <v>274.71318681318684</v>
      </c>
      <c r="CU54" s="17">
        <f>CT54*VLOOKUP('Données projet'!$B$13,Paramètres!$A$1:$I$89,3,0)*VLOOKUP('Données projet'!$B$13,Paramètres!$A$1:$I$89,5,0)</f>
        <v>128.56577142857145</v>
      </c>
      <c r="CV54" s="13">
        <f t="shared" si="41"/>
        <v>33.664737545838108</v>
      </c>
      <c r="CW54" s="20">
        <f t="shared" si="13"/>
        <v>282.55146979709662</v>
      </c>
      <c r="CX54" s="59">
        <f t="shared" si="14"/>
        <v>575.88480313042987</v>
      </c>
      <c r="CY54" s="59">
        <f ca="1">AVERAGE(OFFSET($CX$3,0,0,'Données projet'!$E$13+1,1))-AVERAGE(OFFSET($H$3,0,0,'Données projet'!$E$13+1,1))</f>
        <v>158.58786357608489</v>
      </c>
      <c r="CZ54" s="59">
        <f t="shared" si="42"/>
        <v>163.20074068819849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5.6</v>
      </c>
      <c r="DO54" s="12">
        <f>IF('Données projet'!$A$166&gt;35,DO53+DN54-DW53,IF(A54&lt;'Données projet'!$A$166,$DL$205^A54,IF(A54='Données projet'!$A$166,'Données projet'!$B$166,DO53+DN54-DW53)))</f>
        <v>207.59999999999974</v>
      </c>
      <c r="DP54" s="17">
        <f>DO54*VLOOKUP('Données projet'!$B$14,Paramètres!$A$1:$I$89,3,0)*VLOOKUP('Données projet'!$B$14,Paramètres!$A$1:$I$89,5,0)</f>
        <v>139.25807999999984</v>
      </c>
      <c r="DQ54" s="13">
        <f t="shared" si="43"/>
        <v>36.126989516446081</v>
      </c>
      <c r="DR54" s="20">
        <f t="shared" si="16"/>
        <v>305.46232940780999</v>
      </c>
      <c r="DS54" s="59">
        <f t="shared" si="17"/>
        <v>598.79566274114336</v>
      </c>
      <c r="DT54" s="59">
        <f ca="1">AVERAGE(OFFSET($DS$3,0,0,'Données projet'!$E$14+1,1))-AVERAGE(OFFSET($H$3,0,0,'Données projet'!$E$14+1,1))</f>
        <v>156.63226020379989</v>
      </c>
      <c r="DU54" s="59">
        <f t="shared" si="44"/>
        <v>196.0481096619543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4.8434177065298432</v>
      </c>
      <c r="EC54" s="21">
        <f>EXP(-LN(2)/2)*EC53+(1-EXP(-LN(2)/2))/(LN(2)/2)*DW54*DZ54*VLOOKUP('Données projet'!$B$14,Paramètres!$A$1:$I$89,3,0)*0.475*44/12</f>
        <v>6.2655397784004236E-3</v>
      </c>
      <c r="ED54" s="22">
        <f t="shared" si="18"/>
        <v>4.8496832463082438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145.78846153846155</v>
      </c>
      <c r="EH54" s="12">
        <f>VLOOKUP(A54,'Données projet'!$A$191:$I$211,9,0)</f>
        <v>6.8260073260073284</v>
      </c>
      <c r="EI54" s="12">
        <f t="array" ref="EI54">INDEX(EH:EH,MIN(IF(ISNUMBER(EH54:EH250),ROW(EH54:EH250),"")))</f>
        <v>6.8260073260073284</v>
      </c>
      <c r="EJ54" s="12">
        <f>IF('Données projet'!$A$192&gt;35,EJ53+EI54-ER53,IF(A54&lt;'Données projet'!$A$192,$EG$205^A54,IF(A54='Données projet'!$A$192,'Données projet'!$B$192,EJ53+EI54-ER53)))</f>
        <v>145.78846153846149</v>
      </c>
      <c r="EK54" s="17">
        <f>EJ54*VLOOKUP('Données projet'!$B$15,Paramètres!$A$1:$I$89,3,0)*VLOOKUP('Données projet'!$B$15,Paramètres!$A$1:$I$89,5,0)</f>
        <v>156.92669999999993</v>
      </c>
      <c r="EL54" s="13">
        <f t="shared" si="45"/>
        <v>40.148543489359604</v>
      </c>
      <c r="EM54" s="20">
        <f t="shared" si="19"/>
        <v>343.23938241063451</v>
      </c>
      <c r="EN54" s="59">
        <f t="shared" si="20"/>
        <v>636.57271574396782</v>
      </c>
      <c r="EO54" s="59">
        <f ca="1">AVERAGE(OFFSET($EN$3,0,0,'Données projet'!$E$15+1,1))-AVERAGE(OFFSET($H$3,0,0,'Données projet'!$E$15+1,1))</f>
        <v>211.18501783767226</v>
      </c>
      <c r="EP54" s="59">
        <f t="shared" si="46"/>
        <v>147.98306963466246</v>
      </c>
      <c r="EQ54" s="15">
        <f>IF(ISNA(VLOOKUP(A54,'Données projet'!$A$191:$I$211,3,0)),0,VLOOKUP(A54,'Données projet'!$A$191:$I$211,3,0))</f>
        <v>2</v>
      </c>
      <c r="ER54" s="15">
        <f>IF(ISNA(VLOOKUP(A54,'Données projet'!$A$191:$I$211,4,0)),0,VLOOKUP(A54,'Données projet'!$A$191:$I$211,4,0))</f>
        <v>37.685897435897431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12.9</v>
      </c>
      <c r="FE54" s="12">
        <f>IF('Données projet'!$A$218&gt;35,FE53+FD54-FM53,IF(A54&lt;'Données projet'!$A$218,$FB$205^A54,IF(A54='Données projet'!$A$218,'Données projet'!$B$218,FE53+FD54-FM53)))</f>
        <v>242.89999999999981</v>
      </c>
      <c r="FF54" s="17">
        <f>FE54*VLOOKUP('Données projet'!$B$16,Paramètres!$A$1:$I$89,3,0)*VLOOKUP('Données projet'!$B$16,Paramètres!$A$1:$I$89,5,0)</f>
        <v>145.25419999999988</v>
      </c>
      <c r="FG54" s="13">
        <f t="shared" si="47"/>
        <v>37.498075841963448</v>
      </c>
      <c r="FH54" s="20">
        <f t="shared" si="22"/>
        <v>318.29354709141944</v>
      </c>
      <c r="FI54" s="59">
        <f t="shared" si="23"/>
        <v>611.6268804247527</v>
      </c>
      <c r="FJ54" s="59">
        <f ca="1">AVERAGE(OFFSET($FI$3,0,0,'Données projet'!$E$16+1,1))-AVERAGE(OFFSET($H$3,0,0,'Données projet'!$E$16+1,1))</f>
        <v>232.26937455765062</v>
      </c>
      <c r="FK54" s="59">
        <f t="shared" si="48"/>
        <v>115.80853281120301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1.4602114390291274</v>
      </c>
      <c r="FR54" s="21">
        <f>EXP(-LN(2)/25)*FR53+(1-EXP(-LN(2)/25))/(LN(2)/25)*Calculateur!FM54*Calculateur!FO54*VLOOKUP('Données projet'!$B$16,Paramètres!$A$1:$I$89,3,0)*0.475*44/12</f>
        <v>2.4631178121783459</v>
      </c>
      <c r="FS54" s="21">
        <f>EXP(-LN(2)/2)*FS53+(1-EXP(-LN(2)/2))/(LN(2)/2)*FM54*FP54*VLOOKUP('Données projet'!$B$16,Paramètres!$A$1:$I$89,3,0)*0.475*44/12</f>
        <v>5.7975359973227161E-3</v>
      </c>
      <c r="FT54" s="22">
        <f t="shared" si="24"/>
        <v>3.9291267872047961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5.6</v>
      </c>
      <c r="FZ54" s="12">
        <f>IF('Données projet'!$A$244&gt;35,FZ53+FY54-GH53,IF(A54&lt;'Données projet'!$A$244,$FW$205^A54,IF(A54='Données projet'!$A$244,'Données projet'!$B$244,FZ53+FY54-GH53)))</f>
        <v>207.59999999999974</v>
      </c>
      <c r="GA54" s="17">
        <f>FZ54*VLOOKUP('Données projet'!$B$17,Paramètres!$A$1:$I$89,3,0)*VLOOKUP('Données projet'!$B$17,Paramètres!$A$1:$I$89,5,0)</f>
        <v>165.16655999999981</v>
      </c>
      <c r="GB54" s="13">
        <f t="shared" si="49"/>
        <v>42.005683261714502</v>
      </c>
      <c r="GC54" s="20">
        <f t="shared" si="25"/>
        <v>360.82499034748571</v>
      </c>
      <c r="GD54" s="59">
        <f t="shared" si="26"/>
        <v>654.15832368081897</v>
      </c>
      <c r="GE54" s="59">
        <f ca="1">AVERAGE(OFFSET($GD$3,0,0,'Données projet'!$E$17+1,1))-AVERAGE(OFFSET($H$3,0,0,'Données projet'!$E$17+1,1))</f>
        <v>199.58763537752952</v>
      </c>
      <c r="GF54" s="59">
        <f t="shared" si="50"/>
        <v>242.62852778451929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5.7445186751865567</v>
      </c>
      <c r="GN54" s="21">
        <f>EXP(-LN(2)/2)*GN53+(1-EXP(-LN(2)/2))/(LN(2)/2)*GH54*GK54*VLOOKUP('Données projet'!$B$17,Paramètres!$A$1:$I$89,3,0)*0.475*44/12</f>
        <v>7.4312215976377188E-3</v>
      </c>
      <c r="GO54" s="21">
        <f t="shared" si="27"/>
        <v>5.7519498967841942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6.3942307692307665</v>
      </c>
      <c r="N55" s="13">
        <f>IF('Données projet'!$A$36&gt;35,N54+M55-V54,IF(A55&lt;'Données projet'!$A$36,$K$205^A55,IF(A55='Données projet'!$A$36,'Données projet'!$B$36,N54+M55-V54)))</f>
        <v>114.49679487179483</v>
      </c>
      <c r="O55" s="13">
        <f>N55*VLOOKUP('Données projet'!$B$9,Paramètres!$A$1:$I$89,3,0)*VLOOKUP('Données projet'!$B$9,Paramètres!$A$1:$I$89,5,0)</f>
        <v>103.59669999999997</v>
      </c>
      <c r="P55" s="13">
        <f t="shared" si="33"/>
        <v>27.817091630299288</v>
      </c>
      <c r="Q55" s="20">
        <f t="shared" si="53"/>
        <v>228.87902042277122</v>
      </c>
      <c r="R55" s="59">
        <f t="shared" si="0"/>
        <v>522.21235375610456</v>
      </c>
      <c r="S55" s="59">
        <f ca="1">AVERAGE(OFFSET($R$3,0,0,'Données projet'!$E$9+1,1))-AVERAGE(OFFSET($H$3,0,0,'Données projet'!$E$9+1,1))</f>
        <v>153.45079678708987</v>
      </c>
      <c r="T55" s="59">
        <f t="shared" si="34"/>
        <v>115.4217868409637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6.3942307692307665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116.09974999999996</v>
      </c>
      <c r="AK55" s="13">
        <f t="shared" si="35"/>
        <v>30.763588103307637</v>
      </c>
      <c r="AL55" s="20">
        <f t="shared" si="4"/>
        <v>255.78698052992738</v>
      </c>
      <c r="AM55" s="59">
        <f t="shared" si="5"/>
        <v>549.12031386326066</v>
      </c>
      <c r="AN55" s="59">
        <f ca="1">AVERAGE(OFFSET($AM$3,0,0,'Données projet'!$E$10+1,1))-AVERAGE(OFFSET($H$3,0,0,'Données projet'!$E$10+1,1))</f>
        <v>190.21499310415584</v>
      </c>
      <c r="AO55" s="59">
        <f t="shared" si="36"/>
        <v>136.15730566500173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15.6</v>
      </c>
      <c r="BD55" s="12">
        <f>IF('Données projet'!$A$88&gt;35,BD54+BC55-BL54,IF(A55&lt;'Données projet'!$A$88,$BA$205^A55,IF(A55='Données projet'!$A$88,'Données projet'!$B$88,BD54+BC55-BL54)))</f>
        <v>322.19999999999987</v>
      </c>
      <c r="BE55" s="13">
        <f>BD55*VLOOKUP('Données projet'!$B$11,Paramètres!$A$1:$I$89,3,0)*VLOOKUP('Données projet'!$B$11,Paramètres!$A$1:$I$89,5,0)</f>
        <v>192.67559999999995</v>
      </c>
      <c r="BF55" s="13">
        <f t="shared" si="37"/>
        <v>48.131007733172943</v>
      </c>
      <c r="BG55" s="20">
        <f t="shared" si="7"/>
        <v>419.40484180194272</v>
      </c>
      <c r="BH55" s="59">
        <f t="shared" si="8"/>
        <v>712.73817513527604</v>
      </c>
      <c r="BI55" s="59">
        <f ca="1">AVERAGE(OFFSET($BH$3,0,0,'Données projet'!$E$11+1,1))-AVERAGE(OFFSET($H$3,0,0,'Données projet'!$E$11+1,1))</f>
        <v>270.30888762640245</v>
      </c>
      <c r="BJ55" s="59">
        <f t="shared" si="38"/>
        <v>202.23783851977691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1.3853976613072261</v>
      </c>
      <c r="BQ55" s="21">
        <f>EXP(-LN(2)/25)*BQ54+(1-EXP(-LN(2)/25))/(LN(2)/25)*Calculateur!BL55*Calculateur!BN55*VLOOKUP('Données projet'!$B$11,Paramètres!$A$1:$I$89,3,0)*0.475*44/12</f>
        <v>6.6808156813946526</v>
      </c>
      <c r="BR55" s="21">
        <f>EXP(-LN(2)/2)*BR54+(1-EXP(-LN(2)/2))/(LN(2)/2)*BL55*BO55*VLOOKUP('Données projet'!$B$11,Paramètres!$A$1:$I$89,3,0)*0.475*44/12</f>
        <v>9.0295940363586836E-3</v>
      </c>
      <c r="BS55" s="22">
        <f t="shared" si="9"/>
        <v>8.0752429367382366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15.6</v>
      </c>
      <c r="BY55" s="12">
        <f>IF('Données projet'!$A$114&gt;35,BY54+BX55-CG54,IF(A55&lt;'Données projet'!$A$114,$BV$205^A55,IF(A55='Données projet'!$A$114,'Données projet'!$B$114,BY54+BX55-CG54)))</f>
        <v>322.19999999999987</v>
      </c>
      <c r="BZ55" s="13">
        <f>BY55*VLOOKUP('Données projet'!$B$12,Paramètres!$A$1:$I$89,3,0)*VLOOKUP('Données projet'!$B$12,Paramètres!$A$1:$I$89,5,0)</f>
        <v>192.67559999999995</v>
      </c>
      <c r="CA55" s="13">
        <f t="shared" si="39"/>
        <v>48.131007733172943</v>
      </c>
      <c r="CB55" s="20">
        <f t="shared" si="10"/>
        <v>419.40484180194272</v>
      </c>
      <c r="CC55" s="59">
        <f t="shared" si="11"/>
        <v>712.73817513527604</v>
      </c>
      <c r="CD55" s="59">
        <f ca="1">AVERAGE(OFFSET($CC$3,0,0,'Données projet'!$E$12+1,1))-AVERAGE(OFFSET($H$3,0,0,'Données projet'!$E$12+1,1))</f>
        <v>270.30888762640245</v>
      </c>
      <c r="CE55" s="59">
        <f t="shared" si="40"/>
        <v>202.23783851977691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1.3853976613072261</v>
      </c>
      <c r="CL55" s="21">
        <f>EXP(-LN(2)/25)*CL54+(1-EXP(-LN(2)/25))/(LN(2)/25)*Calculateur!CG55*Calculateur!CI55*VLOOKUP('Données projet'!$B$12,Paramètres!$A$1:$I$89,3,0)*0.475*44/12</f>
        <v>6.6808156813946526</v>
      </c>
      <c r="CM55" s="21">
        <f>EXP(-LN(2)/2)*CM54+(1-EXP(-LN(2)/2))/(LN(2)/2)*CG55*CJ55*VLOOKUP('Données projet'!$B$12,Paramètres!$A$1:$I$89,3,0)*0.475*44/12</f>
        <v>9.0295940363586836E-3</v>
      </c>
      <c r="CN55" s="22">
        <f t="shared" si="12"/>
        <v>8.0752429367382366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14.668131868131875</v>
      </c>
      <c r="CT55" s="12">
        <f>IF('Données projet'!$A$140&gt;35,CT54+CS55-DB54,IF(A55&lt;'Données projet'!$A$140,$CQ$205^A55,IF(A55='Données projet'!$A$140,'Données projet'!$B$140,CT54+CS55-DB54)))</f>
        <v>289.3813186813187</v>
      </c>
      <c r="CU55" s="17">
        <f>CT55*VLOOKUP('Données projet'!$B$13,Paramètres!$A$1:$I$89,3,0)*VLOOKUP('Données projet'!$B$13,Paramètres!$A$1:$I$89,5,0)</f>
        <v>135.43045714285716</v>
      </c>
      <c r="CV55" s="13">
        <f t="shared" si="41"/>
        <v>35.248174253598229</v>
      </c>
      <c r="CW55" s="20">
        <f t="shared" si="13"/>
        <v>297.26528301549314</v>
      </c>
      <c r="CX55" s="59">
        <f t="shared" si="14"/>
        <v>590.59861634882645</v>
      </c>
      <c r="CY55" s="59">
        <f ca="1">AVERAGE(OFFSET($CX$3,0,0,'Données projet'!$E$13+1,1))-AVERAGE(OFFSET($H$3,0,0,'Données projet'!$E$13+1,1))</f>
        <v>158.58786357608489</v>
      </c>
      <c r="CZ55" s="59">
        <f t="shared" si="42"/>
        <v>163.20074068819849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5.6</v>
      </c>
      <c r="DO55" s="12">
        <f>IF('Données projet'!$A$166&gt;35,DO54+DN55-DW54,IF(A55&lt;'Données projet'!$A$166,$DL$205^A55,IF(A55='Données projet'!$A$166,'Données projet'!$B$166,DO54+DN55-DW54)))</f>
        <v>213.19999999999973</v>
      </c>
      <c r="DP55" s="17">
        <f>DO55*VLOOKUP('Données projet'!$B$14,Paramètres!$A$1:$I$89,3,0)*VLOOKUP('Données projet'!$B$14,Paramètres!$A$1:$I$89,5,0)</f>
        <v>143.01455999999982</v>
      </c>
      <c r="DQ55" s="13">
        <f t="shared" si="43"/>
        <v>36.986740267426512</v>
      </c>
      <c r="DR55" s="20">
        <f t="shared" si="16"/>
        <v>313.50226463243422</v>
      </c>
      <c r="DS55" s="59">
        <f t="shared" si="17"/>
        <v>606.83559796576753</v>
      </c>
      <c r="DT55" s="59">
        <f ca="1">AVERAGE(OFFSET($DS$3,0,0,'Données projet'!$E$14+1,1))-AVERAGE(OFFSET($H$3,0,0,'Données projet'!$E$14+1,1))</f>
        <v>156.63226020379989</v>
      </c>
      <c r="DU55" s="59">
        <f t="shared" si="44"/>
        <v>196.0481096619543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4.7109741946405173</v>
      </c>
      <c r="EC55" s="21">
        <f>EXP(-LN(2)/2)*EC54+(1-EXP(-LN(2)/2))/(LN(2)/2)*DW55*DZ55*VLOOKUP('Données projet'!$B$14,Paramètres!$A$1:$I$89,3,0)*0.475*44/12</f>
        <v>4.4304056651009978E-3</v>
      </c>
      <c r="ED55" s="22">
        <f t="shared" si="18"/>
        <v>4.715404600305618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6.3942307692307665</v>
      </c>
      <c r="EJ55" s="12">
        <f>IF('Données projet'!$A$192&gt;35,EJ54+EI55-ER54,IF(A55&lt;'Données projet'!$A$192,$EG$205^A55,IF(A55='Données projet'!$A$192,'Données projet'!$B$192,EJ54+EI55-ER54)))</f>
        <v>114.49679487179483</v>
      </c>
      <c r="EK55" s="17">
        <f>EJ55*VLOOKUP('Données projet'!$B$15,Paramètres!$A$1:$I$89,3,0)*VLOOKUP('Données projet'!$B$15,Paramètres!$A$1:$I$89,5,0)</f>
        <v>123.24434999999995</v>
      </c>
      <c r="EL55" s="13">
        <f t="shared" si="45"/>
        <v>32.430511802937779</v>
      </c>
      <c r="EM55" s="20">
        <f t="shared" si="19"/>
        <v>271.13371764011657</v>
      </c>
      <c r="EN55" s="59">
        <f t="shared" si="20"/>
        <v>564.46705097344989</v>
      </c>
      <c r="EO55" s="59">
        <f ca="1">AVERAGE(OFFSET($EN$3,0,0,'Données projet'!$E$15+1,1))-AVERAGE(OFFSET($H$3,0,0,'Données projet'!$E$15+1,1))</f>
        <v>211.18501783767226</v>
      </c>
      <c r="EP55" s="59">
        <f t="shared" si="46"/>
        <v>147.98306963466246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12.9</v>
      </c>
      <c r="FE55" s="12">
        <f>IF('Données projet'!$A$218&gt;35,FE54+FD55-FM54,IF(A55&lt;'Données projet'!$A$218,$FB$205^A55,IF(A55='Données projet'!$A$218,'Données projet'!$B$218,FE54+FD55-FM54)))</f>
        <v>255.79999999999981</v>
      </c>
      <c r="FF55" s="17">
        <f>FE55*VLOOKUP('Données projet'!$B$16,Paramètres!$A$1:$I$89,3,0)*VLOOKUP('Données projet'!$B$16,Paramètres!$A$1:$I$89,5,0)</f>
        <v>152.96839999999989</v>
      </c>
      <c r="FG55" s="13">
        <f t="shared" si="47"/>
        <v>39.252393895255025</v>
      </c>
      <c r="FH55" s="20">
        <f t="shared" si="22"/>
        <v>334.78454936756901</v>
      </c>
      <c r="FI55" s="59">
        <f t="shared" si="23"/>
        <v>628.11788270090233</v>
      </c>
      <c r="FJ55" s="59">
        <f ca="1">AVERAGE(OFFSET($FI$3,0,0,'Données projet'!$E$16+1,1))-AVERAGE(OFFSET($H$3,0,0,'Données projet'!$E$16+1,1))</f>
        <v>232.26937455765062</v>
      </c>
      <c r="FK55" s="59">
        <f t="shared" si="48"/>
        <v>115.80853281120301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1.4315775833508007</v>
      </c>
      <c r="FR55" s="21">
        <f>EXP(-LN(2)/25)*FR54+(1-EXP(-LN(2)/25))/(LN(2)/25)*Calculateur!FM55*Calculateur!FO55*VLOOKUP('Données projet'!$B$16,Paramètres!$A$1:$I$89,3,0)*0.475*44/12</f>
        <v>2.395763726074593</v>
      </c>
      <c r="FS55" s="21">
        <f>EXP(-LN(2)/2)*FS54+(1-EXP(-LN(2)/2))/(LN(2)/2)*FM55*FP55*VLOOKUP('Données projet'!$B$16,Paramètres!$A$1:$I$89,3,0)*0.475*44/12</f>
        <v>4.0994770178800063E-3</v>
      </c>
      <c r="FT55" s="22">
        <f t="shared" si="24"/>
        <v>3.8314407864432733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5.6</v>
      </c>
      <c r="FZ55" s="12">
        <f>IF('Données projet'!$A$244&gt;35,FZ54+FY55-GH54,IF(A55&lt;'Données projet'!$A$244,$FW$205^A55,IF(A55='Données projet'!$A$244,'Données projet'!$B$244,FZ54+FY55-GH54)))</f>
        <v>213.19999999999973</v>
      </c>
      <c r="GA55" s="17">
        <f>FZ55*VLOOKUP('Données projet'!$B$17,Paramètres!$A$1:$I$89,3,0)*VLOOKUP('Données projet'!$B$17,Paramètres!$A$1:$I$89,5,0)</f>
        <v>169.62191999999982</v>
      </c>
      <c r="GB55" s="13">
        <f t="shared" si="49"/>
        <v>43.005335272941906</v>
      </c>
      <c r="GC55" s="20">
        <f t="shared" si="25"/>
        <v>370.32580293370683</v>
      </c>
      <c r="GD55" s="59">
        <f t="shared" si="26"/>
        <v>663.65913626704014</v>
      </c>
      <c r="GE55" s="59">
        <f ca="1">AVERAGE(OFFSET($GD$3,0,0,'Données projet'!$E$17+1,1))-AVERAGE(OFFSET($H$3,0,0,'Données projet'!$E$17+1,1))</f>
        <v>199.58763537752952</v>
      </c>
      <c r="GF55" s="59">
        <f t="shared" si="50"/>
        <v>242.62852778451929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5.5874345099224723</v>
      </c>
      <c r="GN55" s="21">
        <f>EXP(-LN(2)/2)*GN54+(1-EXP(-LN(2)/2))/(LN(2)/2)*GH55*GK55*VLOOKUP('Données projet'!$B$17,Paramètres!$A$1:$I$89,3,0)*0.475*44/12</f>
        <v>5.2546671841895605E-3</v>
      </c>
      <c r="GO55" s="21">
        <f t="shared" si="27"/>
        <v>5.5926891771066618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6.3942307692307665</v>
      </c>
      <c r="N56" s="13">
        <f>IF('Données projet'!$A$36&gt;35,N55+M56-V55,IF(A56&lt;'Données projet'!$A$36,$K$205^A56,IF(A56='Données projet'!$A$36,'Données projet'!$B$36,N55+M56-V55)))</f>
        <v>120.89102564102561</v>
      </c>
      <c r="O56" s="13">
        <f>N56*VLOOKUP('Données projet'!$B$9,Paramètres!$A$1:$I$89,3,0)*VLOOKUP('Données projet'!$B$9,Paramètres!$A$1:$I$89,5,0)</f>
        <v>109.38219999999997</v>
      </c>
      <c r="P56" s="13">
        <f t="shared" si="33"/>
        <v>29.185378395108014</v>
      </c>
      <c r="Q56" s="20">
        <f t="shared" si="53"/>
        <v>241.33853237147972</v>
      </c>
      <c r="R56" s="59">
        <f t="shared" si="0"/>
        <v>534.67186570481306</v>
      </c>
      <c r="S56" s="59">
        <f ca="1">AVERAGE(OFFSET($R$3,0,0,'Données projet'!$E$9+1,1))-AVERAGE(OFFSET($H$3,0,0,'Données projet'!$E$9+1,1))</f>
        <v>153.45079678708987</v>
      </c>
      <c r="T56" s="59">
        <f t="shared" si="34"/>
        <v>115.4217868409637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6.3942307692307665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122.58349999999999</v>
      </c>
      <c r="AK56" s="13">
        <f t="shared" si="35"/>
        <v>32.276809219275542</v>
      </c>
      <c r="AL56" s="20">
        <f t="shared" si="4"/>
        <v>269.71503855690486</v>
      </c>
      <c r="AM56" s="59">
        <f t="shared" si="5"/>
        <v>563.04837189023817</v>
      </c>
      <c r="AN56" s="59">
        <f ca="1">AVERAGE(OFFSET($AM$3,0,0,'Données projet'!$E$10+1,1))-AVERAGE(OFFSET($H$3,0,0,'Données projet'!$E$10+1,1))</f>
        <v>190.21499310415584</v>
      </c>
      <c r="AO56" s="59">
        <f t="shared" si="36"/>
        <v>136.15730566500173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15.6</v>
      </c>
      <c r="BD56" s="12">
        <f>IF('Données projet'!$A$88&gt;35,BD55+BC56-BL55,IF(A56&lt;'Données projet'!$A$88,$BA$205^A56,IF(A56='Données projet'!$A$88,'Données projet'!$B$88,BD55+BC56-BL55)))</f>
        <v>337.7999999999999</v>
      </c>
      <c r="BE56" s="13">
        <f>BD56*VLOOKUP('Données projet'!$B$11,Paramètres!$A$1:$I$89,3,0)*VLOOKUP('Données projet'!$B$11,Paramètres!$A$1:$I$89,5,0)</f>
        <v>202.00439999999995</v>
      </c>
      <c r="BF56" s="13">
        <f t="shared" si="37"/>
        <v>50.184418192658491</v>
      </c>
      <c r="BG56" s="20">
        <f t="shared" si="7"/>
        <v>439.22885835221342</v>
      </c>
      <c r="BH56" s="59">
        <f t="shared" si="8"/>
        <v>732.56219168554674</v>
      </c>
      <c r="BI56" s="59">
        <f ca="1">AVERAGE(OFFSET($BH$3,0,0,'Données projet'!$E$11+1,1))-AVERAGE(OFFSET($H$3,0,0,'Données projet'!$E$11+1,1))</f>
        <v>270.30888762640245</v>
      </c>
      <c r="BJ56" s="59">
        <f t="shared" si="38"/>
        <v>202.23783851977691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1.3582308581781271</v>
      </c>
      <c r="BQ56" s="21">
        <f>EXP(-LN(2)/25)*BQ55+(1-EXP(-LN(2)/25))/(LN(2)/25)*Calculateur!BL56*Calculateur!BN56*VLOOKUP('Données projet'!$B$11,Paramètres!$A$1:$I$89,3,0)*0.475*44/12</f>
        <v>6.4981284252580886</v>
      </c>
      <c r="BR56" s="21">
        <f>EXP(-LN(2)/2)*BR55+(1-EXP(-LN(2)/2))/(LN(2)/2)*BL56*BO56*VLOOKUP('Données projet'!$B$11,Paramètres!$A$1:$I$89,3,0)*0.475*44/12</f>
        <v>6.3848871744708342E-3</v>
      </c>
      <c r="BS56" s="22">
        <f t="shared" si="9"/>
        <v>7.8627441706106866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15.6</v>
      </c>
      <c r="BY56" s="12">
        <f>IF('Données projet'!$A$114&gt;35,BY55+BX56-CG55,IF(A56&lt;'Données projet'!$A$114,$BV$205^A56,IF(A56='Données projet'!$A$114,'Données projet'!$B$114,BY55+BX56-CG55)))</f>
        <v>337.7999999999999</v>
      </c>
      <c r="BZ56" s="13">
        <f>BY56*VLOOKUP('Données projet'!$B$12,Paramètres!$A$1:$I$89,3,0)*VLOOKUP('Données projet'!$B$12,Paramètres!$A$1:$I$89,5,0)</f>
        <v>202.00439999999995</v>
      </c>
      <c r="CA56" s="13">
        <f t="shared" si="39"/>
        <v>50.184418192658491</v>
      </c>
      <c r="CB56" s="20">
        <f t="shared" si="10"/>
        <v>439.22885835221342</v>
      </c>
      <c r="CC56" s="59">
        <f t="shared" si="11"/>
        <v>732.56219168554674</v>
      </c>
      <c r="CD56" s="59">
        <f ca="1">AVERAGE(OFFSET($CC$3,0,0,'Données projet'!$E$12+1,1))-AVERAGE(OFFSET($H$3,0,0,'Données projet'!$E$12+1,1))</f>
        <v>270.30888762640245</v>
      </c>
      <c r="CE56" s="59">
        <f t="shared" si="40"/>
        <v>202.23783851977691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1.3582308581781271</v>
      </c>
      <c r="CL56" s="21">
        <f>EXP(-LN(2)/25)*CL55+(1-EXP(-LN(2)/25))/(LN(2)/25)*Calculateur!CG56*Calculateur!CI56*VLOOKUP('Données projet'!$B$12,Paramètres!$A$1:$I$89,3,0)*0.475*44/12</f>
        <v>6.4981284252580886</v>
      </c>
      <c r="CM56" s="21">
        <f>EXP(-LN(2)/2)*CM55+(1-EXP(-LN(2)/2))/(LN(2)/2)*CG56*CJ56*VLOOKUP('Données projet'!$B$12,Paramètres!$A$1:$I$89,3,0)*0.475*44/12</f>
        <v>6.3848871744708342E-3</v>
      </c>
      <c r="CN56" s="22">
        <f t="shared" si="12"/>
        <v>7.8627441706106866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14.668131868131875</v>
      </c>
      <c r="CT56" s="12">
        <f>IF('Données projet'!$A$140&gt;35,CT55+CS56-DB55,IF(A56&lt;'Données projet'!$A$140,$CQ$205^A56,IF(A56='Données projet'!$A$140,'Données projet'!$B$140,CT55+CS56-DB55)))</f>
        <v>304.04945054945057</v>
      </c>
      <c r="CU56" s="17">
        <f>CT56*VLOOKUP('Données projet'!$B$13,Paramètres!$A$1:$I$89,3,0)*VLOOKUP('Données projet'!$B$13,Paramètres!$A$1:$I$89,5,0)</f>
        <v>142.29514285714285</v>
      </c>
      <c r="CV56" s="13">
        <f t="shared" si="41"/>
        <v>36.822291864436032</v>
      </c>
      <c r="CW56" s="20">
        <f t="shared" si="13"/>
        <v>311.96286547341651</v>
      </c>
      <c r="CX56" s="59">
        <f t="shared" si="14"/>
        <v>605.29619880674977</v>
      </c>
      <c r="CY56" s="59">
        <f ca="1">AVERAGE(OFFSET($CX$3,0,0,'Données projet'!$E$13+1,1))-AVERAGE(OFFSET($H$3,0,0,'Données projet'!$E$13+1,1))</f>
        <v>158.58786357608489</v>
      </c>
      <c r="CZ56" s="59">
        <f t="shared" si="42"/>
        <v>163.20074068819849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5.6</v>
      </c>
      <c r="DO56" s="12">
        <f>IF('Données projet'!$A$166&gt;35,DO55+DN56-DW55,IF(A56&lt;'Données projet'!$A$166,$DL$205^A56,IF(A56='Données projet'!$A$166,'Données projet'!$B$166,DO55+DN56-DW55)))</f>
        <v>218.79999999999973</v>
      </c>
      <c r="DP56" s="17">
        <f>DO56*VLOOKUP('Données projet'!$B$14,Paramètres!$A$1:$I$89,3,0)*VLOOKUP('Données projet'!$B$14,Paramètres!$A$1:$I$89,5,0)</f>
        <v>146.7710399999998</v>
      </c>
      <c r="DQ56" s="13">
        <f t="shared" si="43"/>
        <v>37.84386610242121</v>
      </c>
      <c r="DR56" s="20">
        <f t="shared" si="16"/>
        <v>321.53762812838323</v>
      </c>
      <c r="DS56" s="59">
        <f t="shared" si="17"/>
        <v>614.87096146171655</v>
      </c>
      <c r="DT56" s="59">
        <f ca="1">AVERAGE(OFFSET($DS$3,0,0,'Données projet'!$E$14+1,1))-AVERAGE(OFFSET($H$3,0,0,'Données projet'!$E$14+1,1))</f>
        <v>156.63226020379989</v>
      </c>
      <c r="DU56" s="59">
        <f t="shared" si="44"/>
        <v>196.0481096619543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4.5821523575487069</v>
      </c>
      <c r="EC56" s="21">
        <f>EXP(-LN(2)/2)*EC55+(1-EXP(-LN(2)/2))/(LN(2)/2)*DW56*DZ56*VLOOKUP('Données projet'!$B$14,Paramètres!$A$1:$I$89,3,0)*0.475*44/12</f>
        <v>3.1327698892002118E-3</v>
      </c>
      <c r="ED56" s="22">
        <f t="shared" si="18"/>
        <v>4.5852851274379072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6.3942307692307665</v>
      </c>
      <c r="EJ56" s="12">
        <f>IF('Données projet'!$A$192&gt;35,EJ55+EI56-ER55,IF(A56&lt;'Données projet'!$A$192,$EG$205^A56,IF(A56='Données projet'!$A$192,'Données projet'!$B$192,EJ55+EI56-ER55)))</f>
        <v>120.89102564102561</v>
      </c>
      <c r="EK56" s="17">
        <f>EJ56*VLOOKUP('Données projet'!$B$15,Paramètres!$A$1:$I$89,3,0)*VLOOKUP('Données projet'!$B$15,Paramètres!$A$1:$I$89,5,0)</f>
        <v>130.12709999999996</v>
      </c>
      <c r="EL56" s="13">
        <f t="shared" si="45"/>
        <v>34.025726740059355</v>
      </c>
      <c r="EM56" s="20">
        <f t="shared" si="19"/>
        <v>285.89950657226996</v>
      </c>
      <c r="EN56" s="59">
        <f t="shared" si="20"/>
        <v>579.23283990560321</v>
      </c>
      <c r="EO56" s="59">
        <f ca="1">AVERAGE(OFFSET($EN$3,0,0,'Données projet'!$E$15+1,1))-AVERAGE(OFFSET($H$3,0,0,'Données projet'!$E$15+1,1))</f>
        <v>211.18501783767226</v>
      </c>
      <c r="EP56" s="59">
        <f t="shared" si="46"/>
        <v>147.98306963466246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12.9</v>
      </c>
      <c r="FE56" s="12">
        <f>IF('Données projet'!$A$218&gt;35,FE55+FD56-FM55,IF(A56&lt;'Données projet'!$A$218,$FB$205^A56,IF(A56='Données projet'!$A$218,'Données projet'!$B$218,FE55+FD56-FM55)))</f>
        <v>268.69999999999982</v>
      </c>
      <c r="FF56" s="17">
        <f>FE56*VLOOKUP('Données projet'!$B$16,Paramètres!$A$1:$I$89,3,0)*VLOOKUP('Données projet'!$B$16,Paramètres!$A$1:$I$89,5,0)</f>
        <v>160.68259999999989</v>
      </c>
      <c r="FG56" s="13">
        <f t="shared" si="47"/>
        <v>40.99643957442148</v>
      </c>
      <c r="FH56" s="20">
        <f t="shared" si="22"/>
        <v>351.25766059211719</v>
      </c>
      <c r="FI56" s="59">
        <f t="shared" si="23"/>
        <v>644.59099392545045</v>
      </c>
      <c r="FJ56" s="59">
        <f ca="1">AVERAGE(OFFSET($FI$3,0,0,'Données projet'!$E$16+1,1))-AVERAGE(OFFSET($H$3,0,0,'Données projet'!$E$16+1,1))</f>
        <v>232.26937455765062</v>
      </c>
      <c r="FK56" s="59">
        <f t="shared" si="48"/>
        <v>115.80853281120301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1.4035052201173983</v>
      </c>
      <c r="FR56" s="21">
        <f>EXP(-LN(2)/25)*FR55+(1-EXP(-LN(2)/25))/(LN(2)/25)*Calculateur!FM56*Calculateur!FO56*VLOOKUP('Données projet'!$B$16,Paramètres!$A$1:$I$89,3,0)*0.475*44/12</f>
        <v>2.3302514409973445</v>
      </c>
      <c r="FS56" s="21">
        <f>EXP(-LN(2)/2)*FS55+(1-EXP(-LN(2)/2))/(LN(2)/2)*FM56*FP56*VLOOKUP('Données projet'!$B$16,Paramètres!$A$1:$I$89,3,0)*0.475*44/12</f>
        <v>2.898767998661358E-3</v>
      </c>
      <c r="FT56" s="22">
        <f t="shared" si="24"/>
        <v>3.7366554291134042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5.6</v>
      </c>
      <c r="FZ56" s="12">
        <f>IF('Données projet'!$A$244&gt;35,FZ55+FY56-GH55,IF(A56&lt;'Données projet'!$A$244,$FW$205^A56,IF(A56='Données projet'!$A$244,'Données projet'!$B$244,FZ55+FY56-GH55)))</f>
        <v>218.79999999999973</v>
      </c>
      <c r="GA56" s="17">
        <f>FZ56*VLOOKUP('Données projet'!$B$17,Paramètres!$A$1:$I$89,3,0)*VLOOKUP('Données projet'!$B$17,Paramètres!$A$1:$I$89,5,0)</f>
        <v>174.0772799999998</v>
      </c>
      <c r="GB56" s="13">
        <f t="shared" si="49"/>
        <v>44.001935233861104</v>
      </c>
      <c r="GC56" s="20">
        <f t="shared" si="25"/>
        <v>379.82129986564109</v>
      </c>
      <c r="GD56" s="59">
        <f t="shared" si="26"/>
        <v>673.15463319897435</v>
      </c>
      <c r="GE56" s="59">
        <f ca="1">AVERAGE(OFFSET($GD$3,0,0,'Données projet'!$E$17+1,1))-AVERAGE(OFFSET($H$3,0,0,'Données projet'!$E$17+1,1))</f>
        <v>199.58763537752952</v>
      </c>
      <c r="GF56" s="59">
        <f t="shared" si="50"/>
        <v>242.62852778451929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5.4346458194182317</v>
      </c>
      <c r="GN56" s="21">
        <f>EXP(-LN(2)/2)*GN55+(1-EXP(-LN(2)/2))/(LN(2)/2)*GH56*GK56*VLOOKUP('Données projet'!$B$17,Paramètres!$A$1:$I$89,3,0)*0.475*44/12</f>
        <v>3.7156107988188594E-3</v>
      </c>
      <c r="GO56" s="21">
        <f t="shared" si="27"/>
        <v>5.4383614302170509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6.3942307692307665</v>
      </c>
      <c r="N57" s="13">
        <f>IF('Données projet'!$A$36&gt;35,N56+M57-V56,IF(A57&lt;'Données projet'!$A$36,$K$205^A57,IF(A57='Données projet'!$A$36,'Données projet'!$B$36,N56+M57-V56)))</f>
        <v>127.28525641025638</v>
      </c>
      <c r="O57" s="13">
        <f>N57*VLOOKUP('Données projet'!$B$9,Paramètres!$A$1:$I$89,3,0)*VLOOKUP('Données projet'!$B$9,Paramètres!$A$1:$I$89,5,0)</f>
        <v>115.16769999999995</v>
      </c>
      <c r="P57" s="13">
        <f t="shared" si="33"/>
        <v>30.545262787038261</v>
      </c>
      <c r="Q57" s="20">
        <f t="shared" si="53"/>
        <v>253.78341018742489</v>
      </c>
      <c r="R57" s="59">
        <f t="shared" si="0"/>
        <v>547.11674352075818</v>
      </c>
      <c r="S57" s="59">
        <f ca="1">AVERAGE(OFFSET($R$3,0,0,'Données projet'!$E$9+1,1))-AVERAGE(OFFSET($H$3,0,0,'Données projet'!$E$9+1,1))</f>
        <v>153.45079678708987</v>
      </c>
      <c r="T57" s="59">
        <f t="shared" si="34"/>
        <v>115.4217868409637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6.3942307692307665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129.06724999999997</v>
      </c>
      <c r="AK57" s="13">
        <f t="shared" si="35"/>
        <v>33.780737949764791</v>
      </c>
      <c r="AL57" s="20">
        <f t="shared" si="4"/>
        <v>283.62691234584025</v>
      </c>
      <c r="AM57" s="59">
        <f t="shared" si="5"/>
        <v>576.96024567917357</v>
      </c>
      <c r="AN57" s="59">
        <f ca="1">AVERAGE(OFFSET($AM$3,0,0,'Données projet'!$E$10+1,1))-AVERAGE(OFFSET($H$3,0,0,'Données projet'!$E$10+1,1))</f>
        <v>190.21499310415584</v>
      </c>
      <c r="AO57" s="59">
        <f t="shared" si="36"/>
        <v>136.15730566500173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15.6</v>
      </c>
      <c r="BD57" s="12">
        <f>IF('Données projet'!$A$88&gt;35,BD56+BC57-BL56,IF(A57&lt;'Données projet'!$A$88,$BA$205^A57,IF(A57='Données projet'!$A$88,'Données projet'!$B$88,BD56+BC57-BL56)))</f>
        <v>353.39999999999992</v>
      </c>
      <c r="BE57" s="13">
        <f>BD57*VLOOKUP('Données projet'!$B$11,Paramètres!$A$1:$I$89,3,0)*VLOOKUP('Données projet'!$B$11,Paramètres!$A$1:$I$89,5,0)</f>
        <v>211.33319999999995</v>
      </c>
      <c r="BF57" s="13">
        <f t="shared" si="37"/>
        <v>52.226816049120416</v>
      </c>
      <c r="BG57" s="20">
        <f t="shared" si="7"/>
        <v>459.03369461888457</v>
      </c>
      <c r="BH57" s="59">
        <f t="shared" si="8"/>
        <v>752.36702795221788</v>
      </c>
      <c r="BI57" s="59">
        <f ca="1">AVERAGE(OFFSET($BH$3,0,0,'Données projet'!$E$11+1,1))-AVERAGE(OFFSET($H$3,0,0,'Données projet'!$E$11+1,1))</f>
        <v>270.30888762640245</v>
      </c>
      <c r="BJ57" s="59">
        <f t="shared" si="38"/>
        <v>202.23783851977691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1.3315967794882759</v>
      </c>
      <c r="BQ57" s="21">
        <f>EXP(-LN(2)/25)*BQ56+(1-EXP(-LN(2)/25))/(LN(2)/25)*Calculateur!BL57*Calculateur!BN57*VLOOKUP('Données projet'!$B$11,Paramètres!$A$1:$I$89,3,0)*0.475*44/12</f>
        <v>6.3204367617476844</v>
      </c>
      <c r="BR57" s="21">
        <f>EXP(-LN(2)/2)*BR56+(1-EXP(-LN(2)/2))/(LN(2)/2)*BL57*BO57*VLOOKUP('Données projet'!$B$11,Paramètres!$A$1:$I$89,3,0)*0.475*44/12</f>
        <v>4.5147970181793418E-3</v>
      </c>
      <c r="BS57" s="22">
        <f t="shared" si="9"/>
        <v>7.6565483382541393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15.6</v>
      </c>
      <c r="BY57" s="12">
        <f>IF('Données projet'!$A$114&gt;35,BY56+BX57-CG56,IF(A57&lt;'Données projet'!$A$114,$BV$205^A57,IF(A57='Données projet'!$A$114,'Données projet'!$B$114,BY56+BX57-CG56)))</f>
        <v>353.39999999999992</v>
      </c>
      <c r="BZ57" s="13">
        <f>BY57*VLOOKUP('Données projet'!$B$12,Paramètres!$A$1:$I$89,3,0)*VLOOKUP('Données projet'!$B$12,Paramètres!$A$1:$I$89,5,0)</f>
        <v>211.33319999999995</v>
      </c>
      <c r="CA57" s="13">
        <f t="shared" si="39"/>
        <v>52.226816049120416</v>
      </c>
      <c r="CB57" s="20">
        <f t="shared" si="10"/>
        <v>459.03369461888457</v>
      </c>
      <c r="CC57" s="59">
        <f t="shared" si="11"/>
        <v>752.36702795221788</v>
      </c>
      <c r="CD57" s="59">
        <f ca="1">AVERAGE(OFFSET($CC$3,0,0,'Données projet'!$E$12+1,1))-AVERAGE(OFFSET($H$3,0,0,'Données projet'!$E$12+1,1))</f>
        <v>270.30888762640245</v>
      </c>
      <c r="CE57" s="59">
        <f t="shared" si="40"/>
        <v>202.23783851977691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1.3315967794882759</v>
      </c>
      <c r="CL57" s="21">
        <f>EXP(-LN(2)/25)*CL56+(1-EXP(-LN(2)/25))/(LN(2)/25)*Calculateur!CG57*Calculateur!CI57*VLOOKUP('Données projet'!$B$12,Paramètres!$A$1:$I$89,3,0)*0.475*44/12</f>
        <v>6.3204367617476844</v>
      </c>
      <c r="CM57" s="21">
        <f>EXP(-LN(2)/2)*CM56+(1-EXP(-LN(2)/2))/(LN(2)/2)*CG57*CJ57*VLOOKUP('Données projet'!$B$12,Paramètres!$A$1:$I$89,3,0)*0.475*44/12</f>
        <v>4.5147970181793418E-3</v>
      </c>
      <c r="CN57" s="22">
        <f t="shared" si="12"/>
        <v>7.6565483382541393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14.668131868131875</v>
      </c>
      <c r="CT57" s="12">
        <f>IF('Données projet'!$A$140&gt;35,CT56+CS57-DB56,IF(A57&lt;'Données projet'!$A$140,$CQ$205^A57,IF(A57='Données projet'!$A$140,'Données projet'!$B$140,CT56+CS57-DB56)))</f>
        <v>318.71758241758243</v>
      </c>
      <c r="CU57" s="17">
        <f>CT57*VLOOKUP('Données projet'!$B$13,Paramètres!$A$1:$I$89,3,0)*VLOOKUP('Données projet'!$B$13,Paramètres!$A$1:$I$89,5,0)</f>
        <v>149.15982857142859</v>
      </c>
      <c r="CV57" s="13">
        <f t="shared" si="41"/>
        <v>38.387591277502224</v>
      </c>
      <c r="CW57" s="20">
        <f t="shared" si="13"/>
        <v>326.64508957022116</v>
      </c>
      <c r="CX57" s="59">
        <f t="shared" si="14"/>
        <v>619.97842290355447</v>
      </c>
      <c r="CY57" s="59">
        <f ca="1">AVERAGE(OFFSET($CX$3,0,0,'Données projet'!$E$13+1,1))-AVERAGE(OFFSET($H$3,0,0,'Données projet'!$E$13+1,1))</f>
        <v>158.58786357608489</v>
      </c>
      <c r="CZ57" s="59">
        <f t="shared" si="42"/>
        <v>163.20074068819849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5.6</v>
      </c>
      <c r="DO57" s="12">
        <f>IF('Données projet'!$A$166&gt;35,DO56+DN57-DW56,IF(A57&lt;'Données projet'!$A$166,$DL$205^A57,IF(A57='Données projet'!$A$166,'Données projet'!$B$166,DO56+DN57-DW56)))</f>
        <v>224.39999999999972</v>
      </c>
      <c r="DP57" s="17">
        <f>DO57*VLOOKUP('Données projet'!$B$14,Paramètres!$A$1:$I$89,3,0)*VLOOKUP('Données projet'!$B$14,Paramètres!$A$1:$I$89,5,0)</f>
        <v>150.52751999999981</v>
      </c>
      <c r="DQ57" s="13">
        <f t="shared" si="43"/>
        <v>38.698441928903449</v>
      </c>
      <c r="DR57" s="20">
        <f t="shared" si="16"/>
        <v>329.56855035950645</v>
      </c>
      <c r="DS57" s="59">
        <f t="shared" si="17"/>
        <v>622.90188369283976</v>
      </c>
      <c r="DT57" s="59">
        <f ca="1">AVERAGE(OFFSET($DS$3,0,0,'Données projet'!$E$14+1,1))-AVERAGE(OFFSET($H$3,0,0,'Données projet'!$E$14+1,1))</f>
        <v>156.63226020379989</v>
      </c>
      <c r="DU57" s="59">
        <f t="shared" si="44"/>
        <v>196.0481096619543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4.4568531603666175</v>
      </c>
      <c r="EC57" s="21">
        <f>EXP(-LN(2)/2)*EC56+(1-EXP(-LN(2)/2))/(LN(2)/2)*DW57*DZ57*VLOOKUP('Données projet'!$B$14,Paramètres!$A$1:$I$89,3,0)*0.475*44/12</f>
        <v>2.2152028325504989E-3</v>
      </c>
      <c r="ED57" s="22">
        <f t="shared" si="18"/>
        <v>4.4590683631991679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6.3942307692307665</v>
      </c>
      <c r="EJ57" s="12">
        <f>IF('Données projet'!$A$192&gt;35,EJ56+EI57-ER56,IF(A57&lt;'Données projet'!$A$192,$EG$205^A57,IF(A57='Données projet'!$A$192,'Données projet'!$B$192,EJ56+EI57-ER56)))</f>
        <v>127.28525641025638</v>
      </c>
      <c r="EK57" s="17">
        <f>EJ57*VLOOKUP('Données projet'!$B$15,Paramètres!$A$1:$I$89,3,0)*VLOOKUP('Données projet'!$B$15,Paramètres!$A$1:$I$89,5,0)</f>
        <v>137.00984999999997</v>
      </c>
      <c r="EL57" s="13">
        <f t="shared" si="45"/>
        <v>35.611145784194349</v>
      </c>
      <c r="EM57" s="20">
        <f t="shared" si="19"/>
        <v>300.6482343241384</v>
      </c>
      <c r="EN57" s="59">
        <f t="shared" si="20"/>
        <v>593.98156765747171</v>
      </c>
      <c r="EO57" s="59">
        <f ca="1">AVERAGE(OFFSET($EN$3,0,0,'Données projet'!$E$15+1,1))-AVERAGE(OFFSET($H$3,0,0,'Données projet'!$E$15+1,1))</f>
        <v>211.18501783767226</v>
      </c>
      <c r="EP57" s="59">
        <f t="shared" si="46"/>
        <v>147.98306963466246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12.9</v>
      </c>
      <c r="FE57" s="12">
        <f>IF('Données projet'!$A$218&gt;35,FE56+FD57-FM56,IF(A57&lt;'Données projet'!$A$218,$FB$205^A57,IF(A57='Données projet'!$A$218,'Données projet'!$B$218,FE56+FD57-FM56)))</f>
        <v>281.5999999999998</v>
      </c>
      <c r="FF57" s="17">
        <f>FE57*VLOOKUP('Données projet'!$B$16,Paramètres!$A$1:$I$89,3,0)*VLOOKUP('Données projet'!$B$16,Paramètres!$A$1:$I$89,5,0)</f>
        <v>168.3967999999999</v>
      </c>
      <c r="FG57" s="13">
        <f t="shared" si="47"/>
        <v>42.730762346041942</v>
      </c>
      <c r="FH57" s="20">
        <f t="shared" si="22"/>
        <v>367.71383775268947</v>
      </c>
      <c r="FI57" s="59">
        <f t="shared" si="23"/>
        <v>661.04717108602279</v>
      </c>
      <c r="FJ57" s="59">
        <f ca="1">AVERAGE(OFFSET($FI$3,0,0,'Données projet'!$E$16+1,1))-AVERAGE(OFFSET($H$3,0,0,'Données projet'!$E$16+1,1))</f>
        <v>232.26937455765062</v>
      </c>
      <c r="FK57" s="59">
        <f t="shared" si="48"/>
        <v>115.80853281120301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1.3759833388045521</v>
      </c>
      <c r="FR57" s="21">
        <f>EXP(-LN(2)/25)*FR56+(1-EXP(-LN(2)/25))/(LN(2)/25)*Calculateur!FM57*Calculateur!FO57*VLOOKUP('Données projet'!$B$16,Paramètres!$A$1:$I$89,3,0)*0.475*44/12</f>
        <v>2.2665305928006747</v>
      </c>
      <c r="FS57" s="21">
        <f>EXP(-LN(2)/2)*FS56+(1-EXP(-LN(2)/2))/(LN(2)/2)*FM57*FP57*VLOOKUP('Données projet'!$B$16,Paramètres!$A$1:$I$89,3,0)*0.475*44/12</f>
        <v>2.0497385089400032E-3</v>
      </c>
      <c r="FT57" s="22">
        <f t="shared" si="24"/>
        <v>3.644563670114167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5.6</v>
      </c>
      <c r="FZ57" s="12">
        <f>IF('Données projet'!$A$244&gt;35,FZ56+FY57-GH56,IF(A57&lt;'Données projet'!$A$244,$FW$205^A57,IF(A57='Données projet'!$A$244,'Données projet'!$B$244,FZ56+FY57-GH56)))</f>
        <v>224.39999999999972</v>
      </c>
      <c r="GA57" s="17">
        <f>FZ57*VLOOKUP('Données projet'!$B$17,Paramètres!$A$1:$I$89,3,0)*VLOOKUP('Données projet'!$B$17,Paramètres!$A$1:$I$89,5,0)</f>
        <v>178.53263999999979</v>
      </c>
      <c r="GB57" s="13">
        <f t="shared" si="49"/>
        <v>44.99557024111764</v>
      </c>
      <c r="GC57" s="20">
        <f t="shared" si="25"/>
        <v>389.31163283661289</v>
      </c>
      <c r="GD57" s="59">
        <f t="shared" si="26"/>
        <v>682.6449661699462</v>
      </c>
      <c r="GE57" s="59">
        <f ca="1">AVERAGE(OFFSET($GD$3,0,0,'Données projet'!$E$17+1,1))-AVERAGE(OFFSET($H$3,0,0,'Données projet'!$E$17+1,1))</f>
        <v>199.58763537752952</v>
      </c>
      <c r="GF57" s="59">
        <f t="shared" si="50"/>
        <v>242.62852778451929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5.2860351436906372</v>
      </c>
      <c r="GN57" s="21">
        <f>EXP(-LN(2)/2)*GN56+(1-EXP(-LN(2)/2))/(LN(2)/2)*GH57*GK57*VLOOKUP('Données projet'!$B$17,Paramètres!$A$1:$I$89,3,0)*0.475*44/12</f>
        <v>2.6273335920947802E-3</v>
      </c>
      <c r="GO57" s="21">
        <f t="shared" si="27"/>
        <v>5.288662477282732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6.3942307692307665</v>
      </c>
      <c r="N58" s="13">
        <f>IF('Données projet'!$A$36&gt;35,N57+M58-V57,IF(A58&lt;'Données projet'!$A$36,$K$205^A58,IF(A58='Données projet'!$A$36,'Données projet'!$B$36,N57+M58-V57)))</f>
        <v>133.67948717948715</v>
      </c>
      <c r="O58" s="13">
        <f>N58*VLOOKUP('Données projet'!$B$9,Paramètres!$A$1:$I$89,3,0)*VLOOKUP('Données projet'!$B$9,Paramètres!$A$1:$I$89,5,0)</f>
        <v>120.95319999999997</v>
      </c>
      <c r="P58" s="13">
        <f t="shared" si="33"/>
        <v>31.897215065171491</v>
      </c>
      <c r="Q58" s="20">
        <f t="shared" si="53"/>
        <v>266.21447290517364</v>
      </c>
      <c r="R58" s="59">
        <f t="shared" si="0"/>
        <v>559.54780623850695</v>
      </c>
      <c r="S58" s="59">
        <f ca="1">AVERAGE(OFFSET($R$3,0,0,'Données projet'!$E$9+1,1))-AVERAGE(OFFSET($H$3,0,0,'Données projet'!$E$9+1,1))</f>
        <v>153.45079678708987</v>
      </c>
      <c r="T58" s="59">
        <f t="shared" si="34"/>
        <v>115.4217868409637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6.3942307692307665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135.55099999999999</v>
      </c>
      <c r="AK58" s="13">
        <f t="shared" si="35"/>
        <v>35.275894365560525</v>
      </c>
      <c r="AL58" s="20">
        <f t="shared" si="4"/>
        <v>297.52350768668458</v>
      </c>
      <c r="AM58" s="59">
        <f t="shared" si="5"/>
        <v>590.8568410200179</v>
      </c>
      <c r="AN58" s="59">
        <f ca="1">AVERAGE(OFFSET($AM$3,0,0,'Données projet'!$E$10+1,1))-AVERAGE(OFFSET($H$3,0,0,'Données projet'!$E$10+1,1))</f>
        <v>190.21499310415584</v>
      </c>
      <c r="AO58" s="59">
        <f t="shared" si="36"/>
        <v>136.15730566500173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15.6</v>
      </c>
      <c r="BD58" s="12">
        <f>IF('Données projet'!$A$88&gt;35,BD57+BC58-BL57,IF(A58&lt;'Données projet'!$A$88,$BA$205^A58,IF(A58='Données projet'!$A$88,'Données projet'!$B$88,BD57+BC58-BL57)))</f>
        <v>368.99999999999994</v>
      </c>
      <c r="BE58" s="13">
        <f>BD58*VLOOKUP('Données projet'!$B$11,Paramètres!$A$1:$I$89,3,0)*VLOOKUP('Données projet'!$B$11,Paramètres!$A$1:$I$89,5,0)</f>
        <v>220.66199999999998</v>
      </c>
      <c r="BF58" s="13">
        <f t="shared" si="37"/>
        <v>54.258742979954953</v>
      </c>
      <c r="BG58" s="20">
        <f t="shared" si="7"/>
        <v>478.82029402342147</v>
      </c>
      <c r="BH58" s="59">
        <f t="shared" si="8"/>
        <v>772.15362735675478</v>
      </c>
      <c r="BI58" s="59">
        <f ca="1">AVERAGE(OFFSET($BH$3,0,0,'Données projet'!$E$11+1,1))-AVERAGE(OFFSET($H$3,0,0,'Données projet'!$E$11+1,1))</f>
        <v>270.30888762640245</v>
      </c>
      <c r="BJ58" s="59">
        <f t="shared" si="38"/>
        <v>202.23783851977691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1.305484978836349</v>
      </c>
      <c r="BQ58" s="21">
        <f>EXP(-LN(2)/25)*BQ57+(1-EXP(-LN(2)/25))/(LN(2)/25)*Calculateur!BL58*Calculateur!BN58*VLOOKUP('Données projet'!$B$11,Paramètres!$A$1:$I$89,3,0)*0.475*44/12</f>
        <v>6.1476040861203707</v>
      </c>
      <c r="BR58" s="21">
        <f>EXP(-LN(2)/2)*BR57+(1-EXP(-LN(2)/2))/(LN(2)/2)*BL58*BO58*VLOOKUP('Données projet'!$B$11,Paramètres!$A$1:$I$89,3,0)*0.475*44/12</f>
        <v>3.1924435872354171E-3</v>
      </c>
      <c r="BS58" s="22">
        <f t="shared" si="9"/>
        <v>7.4562815085439551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15.6</v>
      </c>
      <c r="BY58" s="12">
        <f>IF('Données projet'!$A$114&gt;35,BY57+BX58-CG57,IF(A58&lt;'Données projet'!$A$114,$BV$205^A58,IF(A58='Données projet'!$A$114,'Données projet'!$B$114,BY57+BX58-CG57)))</f>
        <v>368.99999999999994</v>
      </c>
      <c r="BZ58" s="13">
        <f>BY58*VLOOKUP('Données projet'!$B$12,Paramètres!$A$1:$I$89,3,0)*VLOOKUP('Données projet'!$B$12,Paramètres!$A$1:$I$89,5,0)</f>
        <v>220.66199999999998</v>
      </c>
      <c r="CA58" s="13">
        <f t="shared" si="39"/>
        <v>54.258742979954953</v>
      </c>
      <c r="CB58" s="20">
        <f t="shared" si="10"/>
        <v>478.82029402342147</v>
      </c>
      <c r="CC58" s="59">
        <f t="shared" si="11"/>
        <v>772.15362735675478</v>
      </c>
      <c r="CD58" s="59">
        <f ca="1">AVERAGE(OFFSET($CC$3,0,0,'Données projet'!$E$12+1,1))-AVERAGE(OFFSET($H$3,0,0,'Données projet'!$E$12+1,1))</f>
        <v>270.30888762640245</v>
      </c>
      <c r="CE58" s="59">
        <f t="shared" si="40"/>
        <v>202.23783851977691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1.305484978836349</v>
      </c>
      <c r="CL58" s="21">
        <f>EXP(-LN(2)/25)*CL57+(1-EXP(-LN(2)/25))/(LN(2)/25)*Calculateur!CG58*Calculateur!CI58*VLOOKUP('Données projet'!$B$12,Paramètres!$A$1:$I$89,3,0)*0.475*44/12</f>
        <v>6.1476040861203707</v>
      </c>
      <c r="CM58" s="21">
        <f>EXP(-LN(2)/2)*CM57+(1-EXP(-LN(2)/2))/(LN(2)/2)*CG58*CJ58*VLOOKUP('Données projet'!$B$12,Paramètres!$A$1:$I$89,3,0)*0.475*44/12</f>
        <v>3.1924435872354171E-3</v>
      </c>
      <c r="CN58" s="22">
        <f t="shared" si="12"/>
        <v>7.4562815085439551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14.668131868131875</v>
      </c>
      <c r="CT58" s="12">
        <f>IF('Données projet'!$A$140&gt;35,CT57+CS58-DB57,IF(A58&lt;'Données projet'!$A$140,$CQ$205^A58,IF(A58='Données projet'!$A$140,'Données projet'!$B$140,CT57+CS58-DB57)))</f>
        <v>333.3857142857143</v>
      </c>
      <c r="CU58" s="17">
        <f>CT58*VLOOKUP('Données projet'!$B$13,Paramètres!$A$1:$I$89,3,0)*VLOOKUP('Données projet'!$B$13,Paramètres!$A$1:$I$89,5,0)</f>
        <v>156.0245142857143</v>
      </c>
      <c r="CV58" s="13">
        <f t="shared" si="41"/>
        <v>39.944524680961258</v>
      </c>
      <c r="CW58" s="20">
        <f t="shared" si="13"/>
        <v>341.31274286695992</v>
      </c>
      <c r="CX58" s="59">
        <f t="shared" si="14"/>
        <v>634.64607620029324</v>
      </c>
      <c r="CY58" s="59">
        <f ca="1">AVERAGE(OFFSET($CX$3,0,0,'Données projet'!$E$13+1,1))-AVERAGE(OFFSET($H$3,0,0,'Données projet'!$E$13+1,1))</f>
        <v>158.58786357608489</v>
      </c>
      <c r="CZ58" s="59">
        <f t="shared" si="42"/>
        <v>163.20074068819849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5.6</v>
      </c>
      <c r="DO58" s="12">
        <f>IF('Données projet'!$A$166&gt;35,DO57+DN58-DW57,IF(A58&lt;'Données projet'!$A$166,$DL$205^A58,IF(A58='Données projet'!$A$166,'Données projet'!$B$166,DO57+DN58-DW57)))</f>
        <v>229.99999999999972</v>
      </c>
      <c r="DP58" s="17">
        <f>DO58*VLOOKUP('Données projet'!$B$14,Paramètres!$A$1:$I$89,3,0)*VLOOKUP('Données projet'!$B$14,Paramètres!$A$1:$I$89,5,0)</f>
        <v>154.28399999999982</v>
      </c>
      <c r="DQ58" s="13">
        <f t="shared" si="43"/>
        <v>39.550538702560964</v>
      </c>
      <c r="DR58" s="20">
        <f t="shared" si="16"/>
        <v>337.59515490695998</v>
      </c>
      <c r="DS58" s="59">
        <f t="shared" si="17"/>
        <v>630.92848824029329</v>
      </c>
      <c r="DT58" s="59">
        <f ca="1">AVERAGE(OFFSET($DS$3,0,0,'Données projet'!$E$14+1,1))-AVERAGE(OFFSET($H$3,0,0,'Données projet'!$E$14+1,1))</f>
        <v>156.63226020379989</v>
      </c>
      <c r="DU58" s="59">
        <f t="shared" si="44"/>
        <v>196.0481096619543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4.3349802763206711</v>
      </c>
      <c r="EC58" s="21">
        <f>EXP(-LN(2)/2)*EC57+(1-EXP(-LN(2)/2))/(LN(2)/2)*DW58*DZ58*VLOOKUP('Données projet'!$B$14,Paramètres!$A$1:$I$89,3,0)*0.475*44/12</f>
        <v>1.5663849446001059E-3</v>
      </c>
      <c r="ED58" s="22">
        <f t="shared" si="18"/>
        <v>4.3365466612652712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6.3942307692307665</v>
      </c>
      <c r="EJ58" s="12">
        <f>IF('Données projet'!$A$192&gt;35,EJ57+EI58-ER57,IF(A58&lt;'Données projet'!$A$192,$EG$205^A58,IF(A58='Données projet'!$A$192,'Données projet'!$B$192,EJ57+EI58-ER57)))</f>
        <v>133.67948717948715</v>
      </c>
      <c r="EK58" s="17">
        <f>EJ58*VLOOKUP('Données projet'!$B$15,Paramètres!$A$1:$I$89,3,0)*VLOOKUP('Données projet'!$B$15,Paramètres!$A$1:$I$89,5,0)</f>
        <v>143.89259999999996</v>
      </c>
      <c r="EL58" s="13">
        <f t="shared" si="45"/>
        <v>37.187317186141065</v>
      </c>
      <c r="EM58" s="20">
        <f t="shared" si="19"/>
        <v>315.38085576586224</v>
      </c>
      <c r="EN58" s="59">
        <f t="shared" si="20"/>
        <v>608.71418909919555</v>
      </c>
      <c r="EO58" s="59">
        <f ca="1">AVERAGE(OFFSET($EN$3,0,0,'Données projet'!$E$15+1,1))-AVERAGE(OFFSET($H$3,0,0,'Données projet'!$E$15+1,1))</f>
        <v>211.18501783767226</v>
      </c>
      <c r="EP58" s="59">
        <f t="shared" si="46"/>
        <v>147.98306963466246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12.9</v>
      </c>
      <c r="FE58" s="12">
        <f>IF('Données projet'!$A$218&gt;35,FE57+FD58-FM57,IF(A58&lt;'Données projet'!$A$218,$FB$205^A58,IF(A58='Données projet'!$A$218,'Données projet'!$B$218,FE57+FD58-FM57)))</f>
        <v>294.49999999999977</v>
      </c>
      <c r="FF58" s="17">
        <f>FE58*VLOOKUP('Données projet'!$B$16,Paramètres!$A$1:$I$89,3,0)*VLOOKUP('Données projet'!$B$16,Paramètres!$A$1:$I$89,5,0)</f>
        <v>176.1109999999999</v>
      </c>
      <c r="FG58" s="13">
        <f t="shared" si="47"/>
        <v>44.455858489500493</v>
      </c>
      <c r="FH58" s="20">
        <f t="shared" si="22"/>
        <v>384.15394520254648</v>
      </c>
      <c r="FI58" s="59">
        <f t="shared" si="23"/>
        <v>677.4872785358798</v>
      </c>
      <c r="FJ58" s="59">
        <f ca="1">AVERAGE(OFFSET($FI$3,0,0,'Données projet'!$E$16+1,1))-AVERAGE(OFFSET($H$3,0,0,'Données projet'!$E$16+1,1))</f>
        <v>232.26937455765062</v>
      </c>
      <c r="FK58" s="59">
        <f t="shared" si="48"/>
        <v>115.80853281120301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1.3490011447975607</v>
      </c>
      <c r="FR58" s="21">
        <f>EXP(-LN(2)/25)*FR57+(1-EXP(-LN(2)/25))/(LN(2)/25)*Calculateur!FM58*Calculateur!FO58*VLOOKUP('Données projet'!$B$16,Paramètres!$A$1:$I$89,3,0)*0.475*44/12</f>
        <v>2.2045521945488766</v>
      </c>
      <c r="FS58" s="21">
        <f>EXP(-LN(2)/2)*FS57+(1-EXP(-LN(2)/2))/(LN(2)/2)*FM58*FP58*VLOOKUP('Données projet'!$B$16,Paramètres!$A$1:$I$89,3,0)*0.475*44/12</f>
        <v>1.449383999330679E-3</v>
      </c>
      <c r="FT58" s="22">
        <f t="shared" si="24"/>
        <v>3.5550027233457677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5.6</v>
      </c>
      <c r="FZ58" s="12">
        <f>IF('Données projet'!$A$244&gt;35,FZ57+FY58-GH57,IF(A58&lt;'Données projet'!$A$244,$FW$205^A58,IF(A58='Données projet'!$A$244,'Données projet'!$B$244,FZ57+FY58-GH57)))</f>
        <v>229.99999999999972</v>
      </c>
      <c r="GA58" s="17">
        <f>FZ58*VLOOKUP('Données projet'!$B$17,Paramètres!$A$1:$I$89,3,0)*VLOOKUP('Données projet'!$B$17,Paramètres!$A$1:$I$89,5,0)</f>
        <v>182.98799999999977</v>
      </c>
      <c r="GB58" s="13">
        <f t="shared" si="49"/>
        <v>45.986322796524796</v>
      </c>
      <c r="GC58" s="20">
        <f t="shared" si="25"/>
        <v>398.79694553728024</v>
      </c>
      <c r="GD58" s="59">
        <f t="shared" si="26"/>
        <v>692.13027887061355</v>
      </c>
      <c r="GE58" s="59">
        <f ca="1">AVERAGE(OFFSET($GD$3,0,0,'Données projet'!$E$17+1,1))-AVERAGE(OFFSET($H$3,0,0,'Données projet'!$E$17+1,1))</f>
        <v>199.58763537752952</v>
      </c>
      <c r="GF58" s="59">
        <f t="shared" si="50"/>
        <v>242.62852778451929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5.1414882347059097</v>
      </c>
      <c r="GN58" s="21">
        <f>EXP(-LN(2)/2)*GN57+(1-EXP(-LN(2)/2))/(LN(2)/2)*GH58*GK58*VLOOKUP('Données projet'!$B$17,Paramètres!$A$1:$I$89,3,0)*0.475*44/12</f>
        <v>1.8578053994094297E-3</v>
      </c>
      <c r="GO58" s="21">
        <f t="shared" si="27"/>
        <v>5.1433460401053193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6.3942307692307665</v>
      </c>
      <c r="N59" s="13">
        <f>IF('Données projet'!$A$36&gt;35,N58+M59-V58,IF(A59&lt;'Données projet'!$A$36,$K$205^A59,IF(A59='Données projet'!$A$36,'Données projet'!$B$36,N58+M59-V58)))</f>
        <v>140.07371794871793</v>
      </c>
      <c r="O59" s="13">
        <f>N59*VLOOKUP('Données projet'!$B$9,Paramètres!$A$1:$I$89,3,0)*VLOOKUP('Données projet'!$B$9,Paramètres!$A$1:$I$89,5,0)</f>
        <v>126.73869999999998</v>
      </c>
      <c r="P59" s="13">
        <f t="shared" si="33"/>
        <v>33.241657959244336</v>
      </c>
      <c r="Q59" s="20">
        <f t="shared" si="53"/>
        <v>278.63245677901716</v>
      </c>
      <c r="R59" s="59">
        <f t="shared" si="0"/>
        <v>571.96579011235053</v>
      </c>
      <c r="S59" s="59">
        <f ca="1">AVERAGE(OFFSET($R$3,0,0,'Données projet'!$E$9+1,1))-AVERAGE(OFFSET($H$3,0,0,'Données projet'!$E$9+1,1))</f>
        <v>153.45079678708987</v>
      </c>
      <c r="T59" s="59">
        <f t="shared" si="34"/>
        <v>115.4217868409637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6.3942307692307665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142.03474999999997</v>
      </c>
      <c r="AK59" s="13">
        <f t="shared" si="35"/>
        <v>36.762745973606584</v>
      </c>
      <c r="AL59" s="20">
        <f t="shared" si="4"/>
        <v>311.40563882069802</v>
      </c>
      <c r="AM59" s="59">
        <f t="shared" si="5"/>
        <v>604.73897215403133</v>
      </c>
      <c r="AN59" s="59">
        <f ca="1">AVERAGE(OFFSET($AM$3,0,0,'Données projet'!$E$10+1,1))-AVERAGE(OFFSET($H$3,0,0,'Données projet'!$E$10+1,1))</f>
        <v>190.21499310415584</v>
      </c>
      <c r="AO59" s="59">
        <f t="shared" si="36"/>
        <v>136.15730566500173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15.6</v>
      </c>
      <c r="BD59" s="12">
        <f>IF('Données projet'!$A$88&gt;35,BD58+BC59-BL58,IF(A59&lt;'Données projet'!$A$88,$BA$205^A59,IF(A59='Données projet'!$A$88,'Données projet'!$B$88,BD58+BC59-BL58)))</f>
        <v>384.59999999999997</v>
      </c>
      <c r="BE59" s="13">
        <f>BD59*VLOOKUP('Données projet'!$B$11,Paramètres!$A$1:$I$89,3,0)*VLOOKUP('Données projet'!$B$11,Paramètres!$A$1:$I$89,5,0)</f>
        <v>229.99080000000001</v>
      </c>
      <c r="BF59" s="13">
        <f t="shared" si="37"/>
        <v>56.280692271413919</v>
      </c>
      <c r="BG59" s="20">
        <f t="shared" si="7"/>
        <v>498.58951570604586</v>
      </c>
      <c r="BH59" s="59">
        <f t="shared" si="8"/>
        <v>791.92284903937912</v>
      </c>
      <c r="BI59" s="59">
        <f ca="1">AVERAGE(OFFSET($BH$3,0,0,'Données projet'!$E$11+1,1))-AVERAGE(OFFSET($H$3,0,0,'Données projet'!$E$11+1,1))</f>
        <v>270.30888762640245</v>
      </c>
      <c r="BJ59" s="59">
        <f t="shared" si="38"/>
        <v>202.23783851977691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1.2798852146685804</v>
      </c>
      <c r="BQ59" s="21">
        <f>EXP(-LN(2)/25)*BQ58+(1-EXP(-LN(2)/25))/(LN(2)/25)*Calculateur!BL59*Calculateur!BN59*VLOOKUP('Données projet'!$B$11,Paramètres!$A$1:$I$89,3,0)*0.475*44/12</f>
        <v>5.9794975290969612</v>
      </c>
      <c r="BR59" s="21">
        <f>EXP(-LN(2)/2)*BR58+(1-EXP(-LN(2)/2))/(LN(2)/2)*BL59*BO59*VLOOKUP('Données projet'!$B$11,Paramètres!$A$1:$I$89,3,0)*0.475*44/12</f>
        <v>2.2573985090896709E-3</v>
      </c>
      <c r="BS59" s="22">
        <f t="shared" si="9"/>
        <v>7.2616401422746319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15.6</v>
      </c>
      <c r="BY59" s="12">
        <f>IF('Données projet'!$A$114&gt;35,BY58+BX59-CG58,IF(A59&lt;'Données projet'!$A$114,$BV$205^A59,IF(A59='Données projet'!$A$114,'Données projet'!$B$114,BY58+BX59-CG58)))</f>
        <v>384.59999999999997</v>
      </c>
      <c r="BZ59" s="13">
        <f>BY59*VLOOKUP('Données projet'!$B$12,Paramètres!$A$1:$I$89,3,0)*VLOOKUP('Données projet'!$B$12,Paramètres!$A$1:$I$89,5,0)</f>
        <v>229.99080000000001</v>
      </c>
      <c r="CA59" s="13">
        <f t="shared" si="39"/>
        <v>56.280692271413919</v>
      </c>
      <c r="CB59" s="20">
        <f t="shared" si="10"/>
        <v>498.58951570604586</v>
      </c>
      <c r="CC59" s="59">
        <f t="shared" si="11"/>
        <v>791.92284903937912</v>
      </c>
      <c r="CD59" s="59">
        <f ca="1">AVERAGE(OFFSET($CC$3,0,0,'Données projet'!$E$12+1,1))-AVERAGE(OFFSET($H$3,0,0,'Données projet'!$E$12+1,1))</f>
        <v>270.30888762640245</v>
      </c>
      <c r="CE59" s="59">
        <f t="shared" si="40"/>
        <v>202.23783851977691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1.2798852146685804</v>
      </c>
      <c r="CL59" s="21">
        <f>EXP(-LN(2)/25)*CL58+(1-EXP(-LN(2)/25))/(LN(2)/25)*Calculateur!CG59*Calculateur!CI59*VLOOKUP('Données projet'!$B$12,Paramètres!$A$1:$I$89,3,0)*0.475*44/12</f>
        <v>5.9794975290969612</v>
      </c>
      <c r="CM59" s="21">
        <f>EXP(-LN(2)/2)*CM58+(1-EXP(-LN(2)/2))/(LN(2)/2)*CG59*CJ59*VLOOKUP('Données projet'!$B$12,Paramètres!$A$1:$I$89,3,0)*0.475*44/12</f>
        <v>2.2573985090896709E-3</v>
      </c>
      <c r="CN59" s="22">
        <f t="shared" si="12"/>
        <v>7.2616401422746319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348.05384615384617</v>
      </c>
      <c r="CR59" s="12">
        <f>VLOOKUP(A59,'Données projet'!$A$139:$I$159,9,0)</f>
        <v>14.668131868131875</v>
      </c>
      <c r="CS59" s="12">
        <f t="array" ref="CS59">INDEX(CR:CR,MIN(IF(ISNUMBER(CR59:CR255),ROW(CR59:CR255),"")))</f>
        <v>14.668131868131875</v>
      </c>
      <c r="CT59" s="12">
        <f>IF('Données projet'!$A$140&gt;35,CT58+CS59-DB58,IF(A59&lt;'Données projet'!$A$140,$CQ$205^A59,IF(A59='Données projet'!$A$140,'Données projet'!$B$140,CT58+CS59-DB58)))</f>
        <v>348.05384615384617</v>
      </c>
      <c r="CU59" s="17">
        <f>CT59*VLOOKUP('Données projet'!$B$13,Paramètres!$A$1:$I$89,3,0)*VLOOKUP('Données projet'!$B$13,Paramètres!$A$1:$I$89,5,0)</f>
        <v>162.88919999999999</v>
      </c>
      <c r="CV59" s="13">
        <f t="shared" si="41"/>
        <v>41.493502222820894</v>
      </c>
      <c r="CW59" s="20">
        <f t="shared" si="13"/>
        <v>355.96653970474637</v>
      </c>
      <c r="CX59" s="59">
        <f t="shared" si="14"/>
        <v>649.29987303807968</v>
      </c>
      <c r="CY59" s="59">
        <f ca="1">AVERAGE(OFFSET($CX$3,0,0,'Données projet'!$E$13+1,1))-AVERAGE(OFFSET($H$3,0,0,'Données projet'!$E$13+1,1))</f>
        <v>158.58786357608489</v>
      </c>
      <c r="CZ59" s="59">
        <f t="shared" si="42"/>
        <v>163.20074068819849</v>
      </c>
      <c r="DA59" s="15">
        <f>IF(ISNA(VLOOKUP(A59,'Données projet'!$A$139:$I$159,3,0)),0,VLOOKUP(A59,'Données projet'!$A$139:$I$159,3,0))</f>
        <v>3</v>
      </c>
      <c r="DB59" s="15">
        <f>IF(ISNA(VLOOKUP(A59,'Données projet'!$A$139:$I$159,4,0)),0,VLOOKUP(A59,'Données projet'!$A$139:$I$159,4,0))</f>
        <v>72.769230769230759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5.6</v>
      </c>
      <c r="DO59" s="12">
        <f>IF('Données projet'!$A$166&gt;35,DO58+DN59-DW58,IF(A59&lt;'Données projet'!$A$166,$DL$205^A59,IF(A59='Données projet'!$A$166,'Données projet'!$B$166,DO58+DN59-DW58)))</f>
        <v>235.59999999999971</v>
      </c>
      <c r="DP59" s="17">
        <f>DO59*VLOOKUP('Données projet'!$B$14,Paramètres!$A$1:$I$89,3,0)*VLOOKUP('Données projet'!$B$14,Paramètres!$A$1:$I$89,5,0)</f>
        <v>158.0404799999998</v>
      </c>
      <c r="DQ59" s="13">
        <f t="shared" si="43"/>
        <v>40.400223726842633</v>
      </c>
      <c r="DR59" s="20">
        <f t="shared" si="16"/>
        <v>345.61755899091719</v>
      </c>
      <c r="DS59" s="59">
        <f t="shared" si="17"/>
        <v>638.9508923242505</v>
      </c>
      <c r="DT59" s="59">
        <f ca="1">AVERAGE(OFFSET($DS$3,0,0,'Données projet'!$E$14+1,1))-AVERAGE(OFFSET($H$3,0,0,'Données projet'!$E$14+1,1))</f>
        <v>156.63226020379989</v>
      </c>
      <c r="DU59" s="59">
        <f t="shared" si="44"/>
        <v>196.0481096619543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4.2164400126979773</v>
      </c>
      <c r="EC59" s="21">
        <f>EXP(-LN(2)/2)*EC58+(1-EXP(-LN(2)/2))/(LN(2)/2)*DW59*DZ59*VLOOKUP('Données projet'!$B$14,Paramètres!$A$1:$I$89,3,0)*0.475*44/12</f>
        <v>1.1076014162752495E-3</v>
      </c>
      <c r="ED59" s="22">
        <f t="shared" si="18"/>
        <v>4.2175476141142525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6.3942307692307665</v>
      </c>
      <c r="EJ59" s="12">
        <f>IF('Données projet'!$A$192&gt;35,EJ58+EI59-ER58,IF(A59&lt;'Données projet'!$A$192,$EG$205^A59,IF(A59='Données projet'!$A$192,'Données projet'!$B$192,EJ58+EI59-ER58)))</f>
        <v>140.07371794871793</v>
      </c>
      <c r="EK59" s="17">
        <f>EJ59*VLOOKUP('Données projet'!$B$15,Paramètres!$A$1:$I$89,3,0)*VLOOKUP('Données projet'!$B$15,Paramètres!$A$1:$I$89,5,0)</f>
        <v>150.77534999999997</v>
      </c>
      <c r="EL59" s="13">
        <f t="shared" si="45"/>
        <v>38.754733784687033</v>
      </c>
      <c r="EM59" s="20">
        <f t="shared" si="19"/>
        <v>330.09822925832987</v>
      </c>
      <c r="EN59" s="59">
        <f t="shared" si="20"/>
        <v>623.43156259166312</v>
      </c>
      <c r="EO59" s="59">
        <f ca="1">AVERAGE(OFFSET($EN$3,0,0,'Données projet'!$E$15+1,1))-AVERAGE(OFFSET($H$3,0,0,'Données projet'!$E$15+1,1))</f>
        <v>211.18501783767226</v>
      </c>
      <c r="EP59" s="59">
        <f t="shared" si="46"/>
        <v>147.98306963466246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12.9</v>
      </c>
      <c r="FE59" s="12">
        <f>IF('Données projet'!$A$218&gt;35,FE58+FD59-FM58,IF(A59&lt;'Données projet'!$A$218,$FB$205^A59,IF(A59='Données projet'!$A$218,'Données projet'!$B$218,FE58+FD59-FM58)))</f>
        <v>307.39999999999975</v>
      </c>
      <c r="FF59" s="17">
        <f>FE59*VLOOKUP('Données projet'!$B$16,Paramètres!$A$1:$I$89,3,0)*VLOOKUP('Données projet'!$B$16,Paramètres!$A$1:$I$89,5,0)</f>
        <v>183.82519999999985</v>
      </c>
      <c r="FG59" s="13">
        <f t="shared" si="47"/>
        <v>46.172178348625408</v>
      </c>
      <c r="FH59" s="20">
        <f t="shared" si="22"/>
        <v>400.57876729052231</v>
      </c>
      <c r="FI59" s="59">
        <f t="shared" si="23"/>
        <v>693.91210062385562</v>
      </c>
      <c r="FJ59" s="59">
        <f ca="1">AVERAGE(OFFSET($FI$3,0,0,'Données projet'!$E$16+1,1))-AVERAGE(OFFSET($H$3,0,0,'Données projet'!$E$16+1,1))</f>
        <v>232.26937455765062</v>
      </c>
      <c r="FK59" s="59">
        <f t="shared" si="48"/>
        <v>115.80853281120301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1.3225480551575333</v>
      </c>
      <c r="FR59" s="21">
        <f>EXP(-LN(2)/25)*FR58+(1-EXP(-LN(2)/25))/(LN(2)/25)*Calculateur!FM59*Calculateur!FO59*VLOOKUP('Données projet'!$B$16,Paramètres!$A$1:$I$89,3,0)*0.475*44/12</f>
        <v>2.1442685988565762</v>
      </c>
      <c r="FS59" s="21">
        <f>EXP(-LN(2)/2)*FS58+(1-EXP(-LN(2)/2))/(LN(2)/2)*FM59*FP59*VLOOKUP('Données projet'!$B$16,Paramètres!$A$1:$I$89,3,0)*0.475*44/12</f>
        <v>1.0248692544700016E-3</v>
      </c>
      <c r="FT59" s="22">
        <f t="shared" si="24"/>
        <v>3.4678415232685791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5.6</v>
      </c>
      <c r="FZ59" s="12">
        <f>IF('Données projet'!$A$244&gt;35,FZ58+FY59-GH58,IF(A59&lt;'Données projet'!$A$244,$FW$205^A59,IF(A59='Données projet'!$A$244,'Données projet'!$B$244,FZ58+FY59-GH58)))</f>
        <v>235.59999999999971</v>
      </c>
      <c r="GA59" s="17">
        <f>FZ59*VLOOKUP('Données projet'!$B$17,Paramètres!$A$1:$I$89,3,0)*VLOOKUP('Données projet'!$B$17,Paramètres!$A$1:$I$89,5,0)</f>
        <v>187.44335999999979</v>
      </c>
      <c r="GB59" s="13">
        <f t="shared" si="49"/>
        <v>46.974271155353591</v>
      </c>
      <c r="GC59" s="20">
        <f t="shared" si="25"/>
        <v>408.27737426224047</v>
      </c>
      <c r="GD59" s="59">
        <f t="shared" si="26"/>
        <v>701.61070759557379</v>
      </c>
      <c r="GE59" s="59">
        <f ca="1">AVERAGE(OFFSET($GD$3,0,0,'Données projet'!$E$17+1,1))-AVERAGE(OFFSET($H$3,0,0,'Données projet'!$E$17+1,1))</f>
        <v>199.58763537752952</v>
      </c>
      <c r="GF59" s="59">
        <f t="shared" si="50"/>
        <v>242.62852778451929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5.0008939685487617</v>
      </c>
      <c r="GN59" s="21">
        <f>EXP(-LN(2)/2)*GN58+(1-EXP(-LN(2)/2))/(LN(2)/2)*GH59*GK59*VLOOKUP('Données projet'!$B$17,Paramètres!$A$1:$I$89,3,0)*0.475*44/12</f>
        <v>1.3136667960473901E-3</v>
      </c>
      <c r="GO59" s="21">
        <f t="shared" si="27"/>
        <v>5.0022076353448091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6.3942307692307665</v>
      </c>
      <c r="N60" s="13">
        <f>IF('Données projet'!$A$36&gt;35,N59+M60-V59,IF(A60&lt;'Données projet'!$A$36,$K$205^A60,IF(A60='Données projet'!$A$36,'Données projet'!$B$36,N59+M60-V59)))</f>
        <v>146.4679487179487</v>
      </c>
      <c r="O60" s="13">
        <f>N60*VLOOKUP('Données projet'!$B$9,Paramètres!$A$1:$I$89,3,0)*VLOOKUP('Données projet'!$B$9,Paramètres!$A$1:$I$89,5,0)</f>
        <v>132.52419999999998</v>
      </c>
      <c r="P60" s="13">
        <f t="shared" si="33"/>
        <v>34.578973423062216</v>
      </c>
      <c r="Q60" s="20">
        <f t="shared" si="53"/>
        <v>291.03802704516664</v>
      </c>
      <c r="R60" s="59">
        <f t="shared" si="0"/>
        <v>584.37136037849996</v>
      </c>
      <c r="S60" s="59">
        <f ca="1">AVERAGE(OFFSET($R$3,0,0,'Données projet'!$E$9+1,1))-AVERAGE(OFFSET($H$3,0,0,'Données projet'!$E$9+1,1))</f>
        <v>153.45079678708987</v>
      </c>
      <c r="T60" s="59">
        <f t="shared" si="34"/>
        <v>115.4217868409637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6.3942307692307665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148.51850000000002</v>
      </c>
      <c r="AK60" s="13">
        <f t="shared" si="35"/>
        <v>38.241715185767696</v>
      </c>
      <c r="AL60" s="20">
        <f t="shared" si="4"/>
        <v>325.27404144854546</v>
      </c>
      <c r="AM60" s="59">
        <f t="shared" si="5"/>
        <v>618.60737478187878</v>
      </c>
      <c r="AN60" s="59">
        <f ca="1">AVERAGE(OFFSET($AM$3,0,0,'Données projet'!$E$10+1,1))-AVERAGE(OFFSET($H$3,0,0,'Données projet'!$E$10+1,1))</f>
        <v>190.21499310415584</v>
      </c>
      <c r="AO60" s="59">
        <f t="shared" si="36"/>
        <v>136.15730566500173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15.6</v>
      </c>
      <c r="BD60" s="12">
        <f>IF('Données projet'!$A$88&gt;35,BD59+BC60-BL59,IF(A60&lt;'Données projet'!$A$88,$BA$205^A60,IF(A60='Données projet'!$A$88,'Données projet'!$B$88,BD59+BC60-BL59)))</f>
        <v>400.2</v>
      </c>
      <c r="BE60" s="13">
        <f>BD60*VLOOKUP('Données projet'!$B$11,Paramètres!$A$1:$I$89,3,0)*VLOOKUP('Données projet'!$B$11,Paramètres!$A$1:$I$89,5,0)</f>
        <v>239.31960000000004</v>
      </c>
      <c r="BF60" s="13">
        <f t="shared" si="37"/>
        <v>58.293114928060938</v>
      </c>
      <c r="BG60" s="20">
        <f t="shared" si="7"/>
        <v>518.34214516637292</v>
      </c>
      <c r="BH60" s="59">
        <f t="shared" si="8"/>
        <v>811.67547849970629</v>
      </c>
      <c r="BI60" s="59">
        <f ca="1">AVERAGE(OFFSET($BH$3,0,0,'Données projet'!$E$11+1,1))-AVERAGE(OFFSET($H$3,0,0,'Données projet'!$E$11+1,1))</f>
        <v>270.30888762640245</v>
      </c>
      <c r="BJ60" s="59">
        <f t="shared" si="38"/>
        <v>202.23783851977691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1.2547874462618274</v>
      </c>
      <c r="BQ60" s="21">
        <f>EXP(-LN(2)/25)*BQ59+(1-EXP(-LN(2)/25))/(LN(2)/25)*Calculateur!BL60*Calculateur!BN60*VLOOKUP('Données projet'!$B$11,Paramètres!$A$1:$I$89,3,0)*0.475*44/12</f>
        <v>5.8159878547156962</v>
      </c>
      <c r="BR60" s="21">
        <f>EXP(-LN(2)/2)*BR59+(1-EXP(-LN(2)/2))/(LN(2)/2)*BL60*BO60*VLOOKUP('Données projet'!$B$11,Paramètres!$A$1:$I$89,3,0)*0.475*44/12</f>
        <v>1.5962217936177085E-3</v>
      </c>
      <c r="BS60" s="22">
        <f t="shared" si="9"/>
        <v>7.0723715227711406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15.6</v>
      </c>
      <c r="BY60" s="12">
        <f>IF('Données projet'!$A$114&gt;35,BY59+BX60-CG59,IF(A60&lt;'Données projet'!$A$114,$BV$205^A60,IF(A60='Données projet'!$A$114,'Données projet'!$B$114,BY59+BX60-CG59)))</f>
        <v>400.2</v>
      </c>
      <c r="BZ60" s="13">
        <f>BY60*VLOOKUP('Données projet'!$B$12,Paramètres!$A$1:$I$89,3,0)*VLOOKUP('Données projet'!$B$12,Paramètres!$A$1:$I$89,5,0)</f>
        <v>239.31960000000004</v>
      </c>
      <c r="CA60" s="13">
        <f t="shared" si="39"/>
        <v>58.293114928060938</v>
      </c>
      <c r="CB60" s="20">
        <f t="shared" si="10"/>
        <v>518.34214516637292</v>
      </c>
      <c r="CC60" s="59">
        <f t="shared" si="11"/>
        <v>811.67547849970629</v>
      </c>
      <c r="CD60" s="59">
        <f ca="1">AVERAGE(OFFSET($CC$3,0,0,'Données projet'!$E$12+1,1))-AVERAGE(OFFSET($H$3,0,0,'Données projet'!$E$12+1,1))</f>
        <v>270.30888762640245</v>
      </c>
      <c r="CE60" s="59">
        <f t="shared" si="40"/>
        <v>202.23783851977691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1.2547874462618274</v>
      </c>
      <c r="CL60" s="21">
        <f>EXP(-LN(2)/25)*CL59+(1-EXP(-LN(2)/25))/(LN(2)/25)*Calculateur!CG60*Calculateur!CI60*VLOOKUP('Données projet'!$B$12,Paramètres!$A$1:$I$89,3,0)*0.475*44/12</f>
        <v>5.8159878547156962</v>
      </c>
      <c r="CM60" s="21">
        <f>EXP(-LN(2)/2)*CM59+(1-EXP(-LN(2)/2))/(LN(2)/2)*CG60*CJ60*VLOOKUP('Données projet'!$B$12,Paramètres!$A$1:$I$89,3,0)*0.475*44/12</f>
        <v>1.5962217936177085E-3</v>
      </c>
      <c r="CN60" s="22">
        <f t="shared" si="12"/>
        <v>7.0723715227711406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14.270329670329668</v>
      </c>
      <c r="CT60" s="12">
        <f>IF('Données projet'!$A$140&gt;35,CT59+CS60-DB59,IF(A60&lt;'Données projet'!$A$140,$CQ$205^A60,IF(A60='Données projet'!$A$140,'Données projet'!$B$140,CT59+CS60-DB59)))</f>
        <v>289.55494505494505</v>
      </c>
      <c r="CU60" s="17">
        <f>CT60*VLOOKUP('Données projet'!$B$13,Paramètres!$A$1:$I$89,3,0)*VLOOKUP('Données projet'!$B$13,Paramètres!$A$1:$I$89,5,0)</f>
        <v>135.51171428571428</v>
      </c>
      <c r="CV60" s="13">
        <f t="shared" si="41"/>
        <v>35.26686051307076</v>
      </c>
      <c r="CW60" s="20">
        <f t="shared" si="13"/>
        <v>297.43935110788397</v>
      </c>
      <c r="CX60" s="59">
        <f t="shared" si="14"/>
        <v>590.77268444121728</v>
      </c>
      <c r="CY60" s="59">
        <f ca="1">AVERAGE(OFFSET($CX$3,0,0,'Données projet'!$E$13+1,1))-AVERAGE(OFFSET($H$3,0,0,'Données projet'!$E$13+1,1))</f>
        <v>158.58786357608489</v>
      </c>
      <c r="CZ60" s="59">
        <f t="shared" si="42"/>
        <v>163.20074068819849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5.6</v>
      </c>
      <c r="DO60" s="12">
        <f>IF('Données projet'!$A$166&gt;35,DO59+DN60-DW59,IF(A60&lt;'Données projet'!$A$166,$DL$205^A60,IF(A60='Données projet'!$A$166,'Données projet'!$B$166,DO59+DN60-DW59)))</f>
        <v>241.1999999999997</v>
      </c>
      <c r="DP60" s="17">
        <f>DO60*VLOOKUP('Données projet'!$B$14,Paramètres!$A$1:$I$89,3,0)*VLOOKUP('Données projet'!$B$14,Paramètres!$A$1:$I$89,5,0)</f>
        <v>161.79695999999979</v>
      </c>
      <c r="DQ60" s="13">
        <f t="shared" si="43"/>
        <v>41.247560923222927</v>
      </c>
      <c r="DR60" s="20">
        <f t="shared" si="16"/>
        <v>353.6358739412795</v>
      </c>
      <c r="DS60" s="59">
        <f t="shared" si="17"/>
        <v>646.96920727461281</v>
      </c>
      <c r="DT60" s="59">
        <f ca="1">AVERAGE(OFFSET($DS$3,0,0,'Données projet'!$E$14+1,1))-AVERAGE(OFFSET($H$3,0,0,'Données projet'!$E$14+1,1))</f>
        <v>156.63226020379989</v>
      </c>
      <c r="DU60" s="59">
        <f t="shared" si="44"/>
        <v>196.0481096619543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4.1011412388178075</v>
      </c>
      <c r="EC60" s="21">
        <f>EXP(-LN(2)/2)*EC59+(1-EXP(-LN(2)/2))/(LN(2)/2)*DW60*DZ60*VLOOKUP('Données projet'!$B$14,Paramètres!$A$1:$I$89,3,0)*0.475*44/12</f>
        <v>7.8319247230005295E-4</v>
      </c>
      <c r="ED60" s="22">
        <f t="shared" si="18"/>
        <v>4.1019244312901071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6.3942307692307665</v>
      </c>
      <c r="EJ60" s="12">
        <f>IF('Données projet'!$A$192&gt;35,EJ59+EI60-ER59,IF(A60&lt;'Données projet'!$A$192,$EG$205^A60,IF(A60='Données projet'!$A$192,'Données projet'!$B$192,EJ59+EI60-ER59)))</f>
        <v>146.4679487179487</v>
      </c>
      <c r="EK60" s="17">
        <f>EJ60*VLOOKUP('Données projet'!$B$15,Paramètres!$A$1:$I$89,3,0)*VLOOKUP('Données projet'!$B$15,Paramètres!$A$1:$I$89,5,0)</f>
        <v>157.65809999999996</v>
      </c>
      <c r="EL60" s="13">
        <f t="shared" si="45"/>
        <v>40.313840880065626</v>
      </c>
      <c r="EM60" s="20">
        <f t="shared" si="19"/>
        <v>344.80113036611419</v>
      </c>
      <c r="EN60" s="59">
        <f t="shared" si="20"/>
        <v>638.13446369944745</v>
      </c>
      <c r="EO60" s="59">
        <f ca="1">AVERAGE(OFFSET($EN$3,0,0,'Données projet'!$E$15+1,1))-AVERAGE(OFFSET($H$3,0,0,'Données projet'!$E$15+1,1))</f>
        <v>211.18501783767226</v>
      </c>
      <c r="EP60" s="59">
        <f t="shared" si="46"/>
        <v>147.98306963466246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12.9</v>
      </c>
      <c r="FE60" s="12">
        <f>IF('Données projet'!$A$218&gt;35,FE59+FD60-FM59,IF(A60&lt;'Données projet'!$A$218,$FB$205^A60,IF(A60='Données projet'!$A$218,'Données projet'!$B$218,FE59+FD60-FM59)))</f>
        <v>320.29999999999973</v>
      </c>
      <c r="FF60" s="17">
        <f>FE60*VLOOKUP('Données projet'!$B$16,Paramètres!$A$1:$I$89,3,0)*VLOOKUP('Données projet'!$B$16,Paramètres!$A$1:$I$89,5,0)</f>
        <v>191.53939999999986</v>
      </c>
      <c r="FG60" s="13">
        <f t="shared" si="47"/>
        <v>47.880132331764877</v>
      </c>
      <c r="FH60" s="20">
        <f t="shared" si="22"/>
        <v>416.98901881115694</v>
      </c>
      <c r="FI60" s="59">
        <f t="shared" si="23"/>
        <v>710.3223521444902</v>
      </c>
      <c r="FJ60" s="59">
        <f ca="1">AVERAGE(OFFSET($FI$3,0,0,'Données projet'!$E$16+1,1))-AVERAGE(OFFSET($H$3,0,0,'Données projet'!$E$16+1,1))</f>
        <v>232.26937455765062</v>
      </c>
      <c r="FK60" s="59">
        <f t="shared" si="48"/>
        <v>115.80853281120301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1.2966136944705551</v>
      </c>
      <c r="FR60" s="21">
        <f>EXP(-LN(2)/25)*FR59+(1-EXP(-LN(2)/25))/(LN(2)/25)*Calculateur!FM60*Calculateur!FO60*VLOOKUP('Données projet'!$B$16,Paramètres!$A$1:$I$89,3,0)*0.475*44/12</f>
        <v>2.0856334612586584</v>
      </c>
      <c r="FS60" s="21">
        <f>EXP(-LN(2)/2)*FS59+(1-EXP(-LN(2)/2))/(LN(2)/2)*FM60*FP60*VLOOKUP('Données projet'!$B$16,Paramètres!$A$1:$I$89,3,0)*0.475*44/12</f>
        <v>7.2469199966533951E-4</v>
      </c>
      <c r="FT60" s="22">
        <f t="shared" si="24"/>
        <v>3.382971847728879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5.6</v>
      </c>
      <c r="FZ60" s="12">
        <f>IF('Données projet'!$A$244&gt;35,FZ59+FY60-GH59,IF(A60&lt;'Données projet'!$A$244,$FW$205^A60,IF(A60='Données projet'!$A$244,'Données projet'!$B$244,FZ59+FY60-GH59)))</f>
        <v>241.1999999999997</v>
      </c>
      <c r="GA60" s="17">
        <f>FZ60*VLOOKUP('Données projet'!$B$17,Paramètres!$A$1:$I$89,3,0)*VLOOKUP('Données projet'!$B$17,Paramètres!$A$1:$I$89,5,0)</f>
        <v>191.8987199999998</v>
      </c>
      <c r="GB60" s="13">
        <f t="shared" si="49"/>
        <v>47.959489640575512</v>
      </c>
      <c r="GC60" s="20">
        <f t="shared" si="25"/>
        <v>417.7530484573353</v>
      </c>
      <c r="GD60" s="59">
        <f t="shared" si="26"/>
        <v>711.08638179066861</v>
      </c>
      <c r="GE60" s="59">
        <f ca="1">AVERAGE(OFFSET($GD$3,0,0,'Données projet'!$E$17+1,1))-AVERAGE(OFFSET($H$3,0,0,'Données projet'!$E$17+1,1))</f>
        <v>199.58763537752952</v>
      </c>
      <c r="GF60" s="59">
        <f t="shared" si="50"/>
        <v>242.62852778451929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4.8641442599932114</v>
      </c>
      <c r="GN60" s="21">
        <f>EXP(-LN(2)/2)*GN59+(1-EXP(-LN(2)/2))/(LN(2)/2)*GH60*GK60*VLOOKUP('Données projet'!$B$17,Paramètres!$A$1:$I$89,3,0)*0.475*44/12</f>
        <v>9.2890269970471485E-4</v>
      </c>
      <c r="GO60" s="21">
        <f t="shared" si="27"/>
        <v>4.8650731626929158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6.3942307692307665</v>
      </c>
      <c r="N61" s="13">
        <f>IF('Données projet'!$A$36&gt;35,N60+M61-V60,IF(A61&lt;'Données projet'!$A$36,$K$205^A61,IF(A61='Données projet'!$A$36,'Données projet'!$B$36,N60+M61-V60)))</f>
        <v>152.86217948717947</v>
      </c>
      <c r="O61" s="13">
        <f>N61*VLOOKUP('Données projet'!$B$9,Paramètres!$A$1:$I$89,3,0)*VLOOKUP('Données projet'!$B$9,Paramètres!$A$1:$I$89,5,0)</f>
        <v>138.30969999999999</v>
      </c>
      <c r="P61" s="13">
        <f t="shared" si="33"/>
        <v>35.909508175318372</v>
      </c>
      <c r="Q61" s="20">
        <f t="shared" si="53"/>
        <v>303.43178757201281</v>
      </c>
      <c r="R61" s="59">
        <f t="shared" si="0"/>
        <v>596.76512090534607</v>
      </c>
      <c r="S61" s="59">
        <f ca="1">AVERAGE(OFFSET($R$3,0,0,'Données projet'!$E$9+1,1))-AVERAGE(OFFSET($H$3,0,0,'Données projet'!$E$9+1,1))</f>
        <v>153.45079678708987</v>
      </c>
      <c r="T61" s="59">
        <f t="shared" si="34"/>
        <v>115.4217868409637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6.3942307692307665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155.00225</v>
      </c>
      <c r="AK61" s="13">
        <f t="shared" si="35"/>
        <v>39.713185446553709</v>
      </c>
      <c r="AL61" s="20">
        <f t="shared" si="4"/>
        <v>339.12938340274769</v>
      </c>
      <c r="AM61" s="59">
        <f t="shared" si="5"/>
        <v>632.46271673608101</v>
      </c>
      <c r="AN61" s="59">
        <f ca="1">AVERAGE(OFFSET($AM$3,0,0,'Données projet'!$E$10+1,1))-AVERAGE(OFFSET($H$3,0,0,'Données projet'!$E$10+1,1))</f>
        <v>190.21499310415584</v>
      </c>
      <c r="AO61" s="59">
        <f t="shared" si="36"/>
        <v>136.15730566500173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15.6</v>
      </c>
      <c r="BD61" s="12">
        <f>IF('Données projet'!$A$88&gt;35,BD60+BC61-BL60,IF(A61&lt;'Données projet'!$A$88,$BA$205^A61,IF(A61='Données projet'!$A$88,'Données projet'!$B$88,BD60+BC61-BL60)))</f>
        <v>415.8</v>
      </c>
      <c r="BE61" s="13">
        <f>BD61*VLOOKUP('Données projet'!$B$11,Paramètres!$A$1:$I$89,3,0)*VLOOKUP('Données projet'!$B$11,Paramètres!$A$1:$I$89,5,0)</f>
        <v>248.64840000000001</v>
      </c>
      <c r="BF61" s="13">
        <f t="shared" si="37"/>
        <v>60.296424802828774</v>
      </c>
      <c r="BG61" s="20">
        <f t="shared" si="7"/>
        <v>538.07890319826015</v>
      </c>
      <c r="BH61" s="59">
        <f t="shared" si="8"/>
        <v>831.41223653159341</v>
      </c>
      <c r="BI61" s="59">
        <f ca="1">AVERAGE(OFFSET($BH$3,0,0,'Données projet'!$E$11+1,1))-AVERAGE(OFFSET($H$3,0,0,'Données projet'!$E$11+1,1))</f>
        <v>270.30888762640245</v>
      </c>
      <c r="BJ61" s="59">
        <f t="shared" si="38"/>
        <v>202.23783851977691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1.2301818297854037</v>
      </c>
      <c r="BQ61" s="21">
        <f>EXP(-LN(2)/25)*BQ60+(1-EXP(-LN(2)/25))/(LN(2)/25)*Calculateur!BL61*Calculateur!BN61*VLOOKUP('Données projet'!$B$11,Paramètres!$A$1:$I$89,3,0)*0.475*44/12</f>
        <v>5.6569493609789872</v>
      </c>
      <c r="BR61" s="21">
        <f>EXP(-LN(2)/2)*BR60+(1-EXP(-LN(2)/2))/(LN(2)/2)*BL61*BO61*VLOOKUP('Données projet'!$B$11,Paramètres!$A$1:$I$89,3,0)*0.475*44/12</f>
        <v>1.1286992545448354E-3</v>
      </c>
      <c r="BS61" s="22">
        <f t="shared" si="9"/>
        <v>6.8882598900189356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15.6</v>
      </c>
      <c r="BY61" s="12">
        <f>IF('Données projet'!$A$114&gt;35,BY60+BX61-CG60,IF(A61&lt;'Données projet'!$A$114,$BV$205^A61,IF(A61='Données projet'!$A$114,'Données projet'!$B$114,BY60+BX61-CG60)))</f>
        <v>415.8</v>
      </c>
      <c r="BZ61" s="13">
        <f>BY61*VLOOKUP('Données projet'!$B$12,Paramètres!$A$1:$I$89,3,0)*VLOOKUP('Données projet'!$B$12,Paramètres!$A$1:$I$89,5,0)</f>
        <v>248.64840000000001</v>
      </c>
      <c r="CA61" s="13">
        <f t="shared" si="39"/>
        <v>60.296424802828774</v>
      </c>
      <c r="CB61" s="20">
        <f t="shared" si="10"/>
        <v>538.07890319826015</v>
      </c>
      <c r="CC61" s="59">
        <f t="shared" si="11"/>
        <v>831.41223653159341</v>
      </c>
      <c r="CD61" s="59">
        <f ca="1">AVERAGE(OFFSET($CC$3,0,0,'Données projet'!$E$12+1,1))-AVERAGE(OFFSET($H$3,0,0,'Données projet'!$E$12+1,1))</f>
        <v>270.30888762640245</v>
      </c>
      <c r="CE61" s="59">
        <f t="shared" si="40"/>
        <v>202.23783851977691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1.2301818297854037</v>
      </c>
      <c r="CL61" s="21">
        <f>EXP(-LN(2)/25)*CL60+(1-EXP(-LN(2)/25))/(LN(2)/25)*Calculateur!CG61*Calculateur!CI61*VLOOKUP('Données projet'!$B$12,Paramètres!$A$1:$I$89,3,0)*0.475*44/12</f>
        <v>5.6569493609789872</v>
      </c>
      <c r="CM61" s="21">
        <f>EXP(-LN(2)/2)*CM60+(1-EXP(-LN(2)/2))/(LN(2)/2)*CG61*CJ61*VLOOKUP('Données projet'!$B$12,Paramètres!$A$1:$I$89,3,0)*0.475*44/12</f>
        <v>1.1286992545448354E-3</v>
      </c>
      <c r="CN61" s="22">
        <f t="shared" si="12"/>
        <v>6.8882598900189356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14.270329670329668</v>
      </c>
      <c r="CT61" s="12">
        <f>IF('Données projet'!$A$140&gt;35,CT60+CS61-DB60,IF(A61&lt;'Données projet'!$A$140,$CQ$205^A61,IF(A61='Données projet'!$A$140,'Données projet'!$B$140,CT60+CS61-DB60)))</f>
        <v>303.82527472527471</v>
      </c>
      <c r="CU61" s="17">
        <f>CT61*VLOOKUP('Données projet'!$B$13,Paramètres!$A$1:$I$89,3,0)*VLOOKUP('Données projet'!$B$13,Paramètres!$A$1:$I$89,5,0)</f>
        <v>142.19022857142855</v>
      </c>
      <c r="CV61" s="13">
        <f t="shared" si="41"/>
        <v>36.798301893816983</v>
      </c>
      <c r="CW61" s="20">
        <f t="shared" si="13"/>
        <v>311.7383572269693</v>
      </c>
      <c r="CX61" s="59">
        <f t="shared" si="14"/>
        <v>605.07169056030261</v>
      </c>
      <c r="CY61" s="59">
        <f ca="1">AVERAGE(OFFSET($CX$3,0,0,'Données projet'!$E$13+1,1))-AVERAGE(OFFSET($H$3,0,0,'Données projet'!$E$13+1,1))</f>
        <v>158.58786357608489</v>
      </c>
      <c r="CZ61" s="59">
        <f t="shared" si="42"/>
        <v>163.20074068819849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5.6</v>
      </c>
      <c r="DO61" s="12">
        <f>IF('Données projet'!$A$166&gt;35,DO60+DN61-DW60,IF(A61&lt;'Données projet'!$A$166,$DL$205^A61,IF(A61='Données projet'!$A$166,'Données projet'!$B$166,DO60+DN61-DW60)))</f>
        <v>246.7999999999997</v>
      </c>
      <c r="DP61" s="17">
        <f>DO61*VLOOKUP('Données projet'!$B$14,Paramètres!$A$1:$I$89,3,0)*VLOOKUP('Données projet'!$B$14,Paramètres!$A$1:$I$89,5,0)</f>
        <v>165.5534399999998</v>
      </c>
      <c r="DQ61" s="13">
        <f t="shared" si="43"/>
        <v>42.092611075660102</v>
      </c>
      <c r="DR61" s="20">
        <f t="shared" si="16"/>
        <v>361.65020562344097</v>
      </c>
      <c r="DS61" s="59">
        <f t="shared" si="17"/>
        <v>654.98353895677428</v>
      </c>
      <c r="DT61" s="59">
        <f ca="1">AVERAGE(OFFSET($DS$3,0,0,'Données projet'!$E$14+1,1))-AVERAGE(OFFSET($H$3,0,0,'Données projet'!$E$14+1,1))</f>
        <v>156.63226020379989</v>
      </c>
      <c r="DU61" s="59">
        <f t="shared" si="44"/>
        <v>196.0481096619543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3.9889953159726899</v>
      </c>
      <c r="EC61" s="21">
        <f>EXP(-LN(2)/2)*EC60+(1-EXP(-LN(2)/2))/(LN(2)/2)*DW61*DZ61*VLOOKUP('Données projet'!$B$14,Paramètres!$A$1:$I$89,3,0)*0.475*44/12</f>
        <v>5.5380070813762473E-4</v>
      </c>
      <c r="ED61" s="22">
        <f t="shared" si="18"/>
        <v>3.9895491166808275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6.3942307692307665</v>
      </c>
      <c r="EJ61" s="12">
        <f>IF('Données projet'!$A$192&gt;35,EJ60+EI61-ER60,IF(A61&lt;'Données projet'!$A$192,$EG$205^A61,IF(A61='Données projet'!$A$192,'Données projet'!$B$192,EJ60+EI61-ER60)))</f>
        <v>152.86217948717947</v>
      </c>
      <c r="EK61" s="17">
        <f>EJ61*VLOOKUP('Données projet'!$B$15,Paramètres!$A$1:$I$89,3,0)*VLOOKUP('Données projet'!$B$15,Paramètres!$A$1:$I$89,5,0)</f>
        <v>164.54084999999998</v>
      </c>
      <c r="EL61" s="13">
        <f t="shared" si="45"/>
        <v>41.865042693711125</v>
      </c>
      <c r="EM61" s="20">
        <f t="shared" si="19"/>
        <v>359.49026310821347</v>
      </c>
      <c r="EN61" s="59">
        <f t="shared" si="20"/>
        <v>652.82359644154678</v>
      </c>
      <c r="EO61" s="59">
        <f ca="1">AVERAGE(OFFSET($EN$3,0,0,'Données projet'!$E$15+1,1))-AVERAGE(OFFSET($H$3,0,0,'Données projet'!$E$15+1,1))</f>
        <v>211.18501783767226</v>
      </c>
      <c r="EP61" s="59">
        <f t="shared" si="46"/>
        <v>147.98306963466246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12.9</v>
      </c>
      <c r="FE61" s="12">
        <f>IF('Données projet'!$A$218&gt;35,FE60+FD61-FM60,IF(A61&lt;'Données projet'!$A$218,$FB$205^A61,IF(A61='Données projet'!$A$218,'Données projet'!$B$218,FE60+FD61-FM60)))</f>
        <v>333.1999999999997</v>
      </c>
      <c r="FF61" s="17">
        <f>FE61*VLOOKUP('Données projet'!$B$16,Paramètres!$A$1:$I$89,3,0)*VLOOKUP('Données projet'!$B$16,Paramètres!$A$1:$I$89,5,0)</f>
        <v>199.25359999999984</v>
      </c>
      <c r="FG61" s="13">
        <f t="shared" si="47"/>
        <v>49.580095918043497</v>
      </c>
      <c r="FH61" s="20">
        <f t="shared" si="22"/>
        <v>433.38535372392545</v>
      </c>
      <c r="FI61" s="59">
        <f t="shared" si="23"/>
        <v>726.71868705725876</v>
      </c>
      <c r="FJ61" s="59">
        <f ca="1">AVERAGE(OFFSET($FI$3,0,0,'Données projet'!$E$16+1,1))-AVERAGE(OFFSET($H$3,0,0,'Données projet'!$E$16+1,1))</f>
        <v>232.26937455765062</v>
      </c>
      <c r="FK61" s="59">
        <f t="shared" si="48"/>
        <v>115.80853281120301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1.2711878907782506</v>
      </c>
      <c r="FR61" s="21">
        <f>EXP(-LN(2)/25)*FR60+(1-EXP(-LN(2)/25))/(LN(2)/25)*Calculateur!FM61*Calculateur!FO61*VLOOKUP('Données projet'!$B$16,Paramètres!$A$1:$I$89,3,0)*0.475*44/12</f>
        <v>2.0286017045818436</v>
      </c>
      <c r="FS61" s="21">
        <f>EXP(-LN(2)/2)*FS60+(1-EXP(-LN(2)/2))/(LN(2)/2)*FM61*FP61*VLOOKUP('Données projet'!$B$16,Paramètres!$A$1:$I$89,3,0)*0.475*44/12</f>
        <v>5.1243462723500079E-4</v>
      </c>
      <c r="FT61" s="22">
        <f t="shared" si="24"/>
        <v>3.3003020299873294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5.6</v>
      </c>
      <c r="FZ61" s="12">
        <f>IF('Données projet'!$A$244&gt;35,FZ60+FY61-GH60,IF(A61&lt;'Données projet'!$A$244,$FW$205^A61,IF(A61='Données projet'!$A$244,'Données projet'!$B$244,FZ60+FY61-GH60)))</f>
        <v>246.7999999999997</v>
      </c>
      <c r="GA61" s="17">
        <f>FZ61*VLOOKUP('Données projet'!$B$17,Paramètres!$A$1:$I$89,3,0)*VLOOKUP('Données projet'!$B$17,Paramètres!$A$1:$I$89,5,0)</f>
        <v>196.35407999999978</v>
      </c>
      <c r="GB61" s="13">
        <f t="shared" si="49"/>
        <v>48.942048927099485</v>
      </c>
      <c r="GC61" s="20">
        <f t="shared" si="25"/>
        <v>427.22409121469786</v>
      </c>
      <c r="GD61" s="59">
        <f t="shared" si="26"/>
        <v>720.55742454803112</v>
      </c>
      <c r="GE61" s="59">
        <f ca="1">AVERAGE(OFFSET($GD$3,0,0,'Données projet'!$E$17+1,1))-AVERAGE(OFFSET($H$3,0,0,'Données projet'!$E$17+1,1))</f>
        <v>199.58763537752952</v>
      </c>
      <c r="GF61" s="59">
        <f t="shared" si="50"/>
        <v>242.62852778451929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4.731133979409468</v>
      </c>
      <c r="GN61" s="21">
        <f>EXP(-LN(2)/2)*GN60+(1-EXP(-LN(2)/2))/(LN(2)/2)*GH61*GK61*VLOOKUP('Données projet'!$B$17,Paramètres!$A$1:$I$89,3,0)*0.475*44/12</f>
        <v>6.5683339802369506E-4</v>
      </c>
      <c r="GO61" s="21">
        <f t="shared" si="27"/>
        <v>4.7317908128074917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159.25641025641025</v>
      </c>
      <c r="L62" s="12">
        <f>VLOOKUP(A62,'Données projet'!$A$35:$I$55,9,0)</f>
        <v>6.3942307692307665</v>
      </c>
      <c r="M62" s="12">
        <f t="array" ref="M62">INDEX(L:L,MIN(IF(ISNUMBER(L62:L258),ROW(L62:L258),"")))</f>
        <v>6.3942307692307665</v>
      </c>
      <c r="N62" s="13">
        <f>IF('Données projet'!$A$36&gt;35,N61+M62-V61,IF(A62&lt;'Données projet'!$A$36,$K$205^A62,IF(A62='Données projet'!$A$36,'Données projet'!$B$36,N61+M62-V61)))</f>
        <v>159.25641025641025</v>
      </c>
      <c r="O62" s="13">
        <f>N62*VLOOKUP('Données projet'!$B$9,Paramètres!$A$1:$I$89,3,0)*VLOOKUP('Données projet'!$B$9,Paramètres!$A$1:$I$89,5,0)</f>
        <v>144.09520000000001</v>
      </c>
      <c r="P62" s="13">
        <f t="shared" si="33"/>
        <v>37.23357828719589</v>
      </c>
      <c r="Q62" s="20">
        <f t="shared" si="53"/>
        <v>315.81428885019949</v>
      </c>
      <c r="R62" s="59">
        <f t="shared" si="0"/>
        <v>609.1476221835328</v>
      </c>
      <c r="S62" s="59">
        <f ca="1">AVERAGE(OFFSET($R$3,0,0,'Données projet'!$E$9+1,1))-AVERAGE(OFFSET($H$3,0,0,'Données projet'!$E$9+1,1))</f>
        <v>153.45079678708987</v>
      </c>
      <c r="T62" s="59">
        <f t="shared" si="34"/>
        <v>115.4217868409637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38.942307692307693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6.3942307692307665</v>
      </c>
      <c r="AH62" s="12">
        <f t="array" ref="AH62">INDEX(AG:AG,MIN(IF(ISNUMBER(AG62:AG258),ROW(AG62:AG258),"")))</f>
        <v>6.3942307692307665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161.48599999999999</v>
      </c>
      <c r="AK62" s="13">
        <f t="shared" si="35"/>
        <v>41.177506306658742</v>
      </c>
      <c r="AL62" s="20">
        <f t="shared" si="4"/>
        <v>352.97227348409729</v>
      </c>
      <c r="AM62" s="59">
        <f t="shared" si="5"/>
        <v>646.30560681743054</v>
      </c>
      <c r="AN62" s="59">
        <f ca="1">AVERAGE(OFFSET($AM$3,0,0,'Données projet'!$E$10+1,1))-AVERAGE(OFFSET($H$3,0,0,'Données projet'!$E$10+1,1))</f>
        <v>190.21499310415584</v>
      </c>
      <c r="AO62" s="59">
        <f t="shared" si="36"/>
        <v>136.15730566500173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15.6</v>
      </c>
      <c r="BD62" s="12">
        <f>IF('Données projet'!$A$88&gt;35,BD61+BC62-BL61,IF(A62&lt;'Données projet'!$A$88,$BA$205^A62,IF(A62='Données projet'!$A$88,'Données projet'!$B$88,BD61+BC62-BL61)))</f>
        <v>431.40000000000003</v>
      </c>
      <c r="BE62" s="13">
        <f>BD62*VLOOKUP('Données projet'!$B$11,Paramètres!$A$1:$I$89,3,0)*VLOOKUP('Données projet'!$B$11,Paramètres!$A$1:$I$89,5,0)</f>
        <v>257.97720000000004</v>
      </c>
      <c r="BF62" s="13">
        <f t="shared" si="37"/>
        <v>62.291002935551688</v>
      </c>
      <c r="BG62" s="20">
        <f t="shared" si="7"/>
        <v>557.80045344608595</v>
      </c>
      <c r="BH62" s="59">
        <f t="shared" si="8"/>
        <v>851.13378677941932</v>
      </c>
      <c r="BI62" s="59">
        <f ca="1">AVERAGE(OFFSET($BH$3,0,0,'Données projet'!$E$11+1,1))-AVERAGE(OFFSET($H$3,0,0,'Données projet'!$E$11+1,1))</f>
        <v>270.30888762640245</v>
      </c>
      <c r="BJ62" s="59">
        <f t="shared" si="38"/>
        <v>202.23783851977691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1.2060587144401385</v>
      </c>
      <c r="BQ62" s="21">
        <f>EXP(-LN(2)/25)*BQ61+(1-EXP(-LN(2)/25))/(LN(2)/25)*Calculateur!BL62*Calculateur!BN62*VLOOKUP('Données projet'!$B$11,Paramètres!$A$1:$I$89,3,0)*0.475*44/12</f>
        <v>5.5022597832169788</v>
      </c>
      <c r="BR62" s="21">
        <f>EXP(-LN(2)/2)*BR61+(1-EXP(-LN(2)/2))/(LN(2)/2)*BL62*BO62*VLOOKUP('Données projet'!$B$11,Paramètres!$A$1:$I$89,3,0)*0.475*44/12</f>
        <v>7.9811089680885427E-4</v>
      </c>
      <c r="BS62" s="22">
        <f t="shared" si="9"/>
        <v>6.7091166085539262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15.6</v>
      </c>
      <c r="BY62" s="12">
        <f>IF('Données projet'!$A$114&gt;35,BY61+BX62-CG61,IF(A62&lt;'Données projet'!$A$114,$BV$205^A62,IF(A62='Données projet'!$A$114,'Données projet'!$B$114,BY61+BX62-CG61)))</f>
        <v>431.40000000000003</v>
      </c>
      <c r="BZ62" s="13">
        <f>BY62*VLOOKUP('Données projet'!$B$12,Paramètres!$A$1:$I$89,3,0)*VLOOKUP('Données projet'!$B$12,Paramètres!$A$1:$I$89,5,0)</f>
        <v>257.97720000000004</v>
      </c>
      <c r="CA62" s="13">
        <f t="shared" si="39"/>
        <v>62.291002935551688</v>
      </c>
      <c r="CB62" s="20">
        <f t="shared" si="10"/>
        <v>557.80045344608595</v>
      </c>
      <c r="CC62" s="59">
        <f t="shared" si="11"/>
        <v>851.13378677941932</v>
      </c>
      <c r="CD62" s="59">
        <f ca="1">AVERAGE(OFFSET($CC$3,0,0,'Données projet'!$E$12+1,1))-AVERAGE(OFFSET($H$3,0,0,'Données projet'!$E$12+1,1))</f>
        <v>270.30888762640245</v>
      </c>
      <c r="CE62" s="59">
        <f t="shared" si="40"/>
        <v>202.23783851977691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1.2060587144401385</v>
      </c>
      <c r="CL62" s="21">
        <f>EXP(-LN(2)/25)*CL61+(1-EXP(-LN(2)/25))/(LN(2)/25)*Calculateur!CG62*Calculateur!CI62*VLOOKUP('Données projet'!$B$12,Paramètres!$A$1:$I$89,3,0)*0.475*44/12</f>
        <v>5.5022597832169788</v>
      </c>
      <c r="CM62" s="21">
        <f>EXP(-LN(2)/2)*CM61+(1-EXP(-LN(2)/2))/(LN(2)/2)*CG62*CJ62*VLOOKUP('Données projet'!$B$12,Paramètres!$A$1:$I$89,3,0)*0.475*44/12</f>
        <v>7.9811089680885427E-4</v>
      </c>
      <c r="CN62" s="22">
        <f t="shared" si="12"/>
        <v>6.7091166085539262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14.270329670329668</v>
      </c>
      <c r="CT62" s="12">
        <f>IF('Données projet'!$A$140&gt;35,CT61+CS62-DB61,IF(A62&lt;'Données projet'!$A$140,$CQ$205^A62,IF(A62='Données projet'!$A$140,'Données projet'!$B$140,CT61+CS62-DB61)))</f>
        <v>318.09560439560437</v>
      </c>
      <c r="CU62" s="17">
        <f>CT62*VLOOKUP('Données projet'!$B$13,Paramètres!$A$1:$I$89,3,0)*VLOOKUP('Données projet'!$B$13,Paramètres!$A$1:$I$89,5,0)</f>
        <v>148.86874285714285</v>
      </c>
      <c r="CV62" s="13">
        <f t="shared" si="41"/>
        <v>38.321390217280914</v>
      </c>
      <c r="CW62" s="20">
        <f t="shared" si="13"/>
        <v>326.02281510462137</v>
      </c>
      <c r="CX62" s="59">
        <f t="shared" si="14"/>
        <v>619.35614843795474</v>
      </c>
      <c r="CY62" s="59">
        <f ca="1">AVERAGE(OFFSET($CX$3,0,0,'Données projet'!$E$13+1,1))-AVERAGE(OFFSET($H$3,0,0,'Données projet'!$E$13+1,1))</f>
        <v>158.58786357608489</v>
      </c>
      <c r="CZ62" s="59">
        <f t="shared" si="42"/>
        <v>163.20074068819849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5.6</v>
      </c>
      <c r="DO62" s="12">
        <f>IF('Données projet'!$A$166&gt;35,DO61+DN62-DW61,IF(A62&lt;'Données projet'!$A$166,$DL$205^A62,IF(A62='Données projet'!$A$166,'Données projet'!$B$166,DO61+DN62-DW61)))</f>
        <v>252.39999999999969</v>
      </c>
      <c r="DP62" s="17">
        <f>DO62*VLOOKUP('Données projet'!$B$14,Paramètres!$A$1:$I$89,3,0)*VLOOKUP('Données projet'!$B$14,Paramètres!$A$1:$I$89,5,0)</f>
        <v>169.30991999999981</v>
      </c>
      <c r="DQ62" s="13">
        <f t="shared" si="43"/>
        <v>42.935432052241438</v>
      </c>
      <c r="DR62" s="20">
        <f t="shared" si="16"/>
        <v>369.66065482432015</v>
      </c>
      <c r="DS62" s="59">
        <f t="shared" si="17"/>
        <v>662.99398815765346</v>
      </c>
      <c r="DT62" s="59">
        <f ca="1">AVERAGE(OFFSET($DS$3,0,0,'Données projet'!$E$14+1,1))-AVERAGE(OFFSET($H$3,0,0,'Données projet'!$E$14+1,1))</f>
        <v>156.63226020379989</v>
      </c>
      <c r="DU62" s="59">
        <f t="shared" si="44"/>
        <v>196.0481096619543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3.8799160292852699</v>
      </c>
      <c r="EC62" s="21">
        <f>EXP(-LN(2)/2)*EC61+(1-EXP(-LN(2)/2))/(LN(2)/2)*DW62*DZ62*VLOOKUP('Données projet'!$B$14,Paramètres!$A$1:$I$89,3,0)*0.475*44/12</f>
        <v>3.9159623615002648E-4</v>
      </c>
      <c r="ED62" s="22">
        <f t="shared" si="18"/>
        <v>3.8803076255214197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159.25641025641025</v>
      </c>
      <c r="EH62" s="12">
        <f>VLOOKUP(A62,'Données projet'!$A$191:$I$211,9,0)</f>
        <v>6.3942307692307665</v>
      </c>
      <c r="EI62" s="12">
        <f t="array" ref="EI62">INDEX(EH:EH,MIN(IF(ISNUMBER(EH62:EH258),ROW(EH62:EH258),"")))</f>
        <v>6.3942307692307665</v>
      </c>
      <c r="EJ62" s="12">
        <f>IF('Données projet'!$A$192&gt;35,EJ61+EI62-ER61,IF(A62&lt;'Données projet'!$A$192,$EG$205^A62,IF(A62='Données projet'!$A$192,'Données projet'!$B$192,EJ61+EI62-ER61)))</f>
        <v>159.25641025641025</v>
      </c>
      <c r="EK62" s="17">
        <f>EJ62*VLOOKUP('Données projet'!$B$15,Paramètres!$A$1:$I$89,3,0)*VLOOKUP('Données projet'!$B$15,Paramètres!$A$1:$I$89,5,0)</f>
        <v>171.42359999999999</v>
      </c>
      <c r="EL62" s="13">
        <f t="shared" si="45"/>
        <v>43.408707716706886</v>
      </c>
      <c r="EM62" s="20">
        <f t="shared" si="19"/>
        <v>374.1662692732645</v>
      </c>
      <c r="EN62" s="59">
        <f t="shared" si="20"/>
        <v>667.49960260659782</v>
      </c>
      <c r="EO62" s="59">
        <f ca="1">AVERAGE(OFFSET($EN$3,0,0,'Données projet'!$E$15+1,1))-AVERAGE(OFFSET($H$3,0,0,'Données projet'!$E$15+1,1))</f>
        <v>211.18501783767226</v>
      </c>
      <c r="EP62" s="59">
        <f t="shared" si="46"/>
        <v>147.98306963466246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38.942307692307693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12.9</v>
      </c>
      <c r="FE62" s="12">
        <f>IF('Données projet'!$A$218&gt;35,FE61+FD62-FM61,IF(A62&lt;'Données projet'!$A$218,$FB$205^A62,IF(A62='Données projet'!$A$218,'Données projet'!$B$218,FE61+FD62-FM61)))</f>
        <v>346.09999999999968</v>
      </c>
      <c r="FF62" s="17">
        <f>FE62*VLOOKUP('Données projet'!$B$16,Paramètres!$A$1:$I$89,3,0)*VLOOKUP('Données projet'!$B$16,Paramètres!$A$1:$I$89,5,0)</f>
        <v>206.96779999999981</v>
      </c>
      <c r="FG62" s="13">
        <f t="shared" si="47"/>
        <v>51.272413866531124</v>
      </c>
      <c r="FH62" s="20">
        <f t="shared" si="22"/>
        <v>449.7683724842081</v>
      </c>
      <c r="FI62" s="59">
        <f t="shared" si="23"/>
        <v>743.10170581754141</v>
      </c>
      <c r="FJ62" s="59">
        <f ca="1">AVERAGE(OFFSET($FI$3,0,0,'Données projet'!$E$16+1,1))-AVERAGE(OFFSET($H$3,0,0,'Données projet'!$E$16+1,1))</f>
        <v>232.26937455765062</v>
      </c>
      <c r="FK62" s="59">
        <f t="shared" si="48"/>
        <v>115.80853281120301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1.2462606715881432</v>
      </c>
      <c r="FR62" s="21">
        <f>EXP(-LN(2)/25)*FR61+(1-EXP(-LN(2)/25))/(LN(2)/25)*Calculateur!FM62*Calculateur!FO62*VLOOKUP('Données projet'!$B$16,Paramètres!$A$1:$I$89,3,0)*0.475*44/12</f>
        <v>1.9731294842905258</v>
      </c>
      <c r="FS62" s="21">
        <f>EXP(-LN(2)/2)*FS61+(1-EXP(-LN(2)/2))/(LN(2)/2)*FM62*FP62*VLOOKUP('Données projet'!$B$16,Paramètres!$A$1:$I$89,3,0)*0.475*44/12</f>
        <v>3.6234599983266976E-4</v>
      </c>
      <c r="FT62" s="22">
        <f t="shared" si="24"/>
        <v>3.2197525018785016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5.6</v>
      </c>
      <c r="FZ62" s="12">
        <f>IF('Données projet'!$A$244&gt;35,FZ61+FY62-GH61,IF(A62&lt;'Données projet'!$A$244,$FW$205^A62,IF(A62='Données projet'!$A$244,'Données projet'!$B$244,FZ61+FY62-GH61)))</f>
        <v>252.39999999999969</v>
      </c>
      <c r="GA62" s="17">
        <f>FZ62*VLOOKUP('Données projet'!$B$17,Paramètres!$A$1:$I$89,3,0)*VLOOKUP('Données projet'!$B$17,Paramètres!$A$1:$I$89,5,0)</f>
        <v>200.80943999999977</v>
      </c>
      <c r="GB62" s="13">
        <f t="shared" si="49"/>
        <v>49.922016299484262</v>
      </c>
      <c r="GC62" s="20">
        <f t="shared" si="25"/>
        <v>436.69061972160131</v>
      </c>
      <c r="GD62" s="59">
        <f t="shared" si="26"/>
        <v>730.02395305493462</v>
      </c>
      <c r="GE62" s="59">
        <f ca="1">AVERAGE(OFFSET($GD$3,0,0,'Données projet'!$E$17+1,1))-AVERAGE(OFFSET($H$3,0,0,'Données projet'!$E$17+1,1))</f>
        <v>199.58763537752952</v>
      </c>
      <c r="GF62" s="59">
        <f t="shared" si="50"/>
        <v>242.62852778451929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4.601760871942993</v>
      </c>
      <c r="GN62" s="21">
        <f>EXP(-LN(2)/2)*GN61+(1-EXP(-LN(2)/2))/(LN(2)/2)*GH62*GK62*VLOOKUP('Données projet'!$B$17,Paramètres!$A$1:$I$89,3,0)*0.475*44/12</f>
        <v>4.6445134985235743E-4</v>
      </c>
      <c r="GO62" s="21">
        <f t="shared" si="27"/>
        <v>4.6022253232928456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5.9431089743589762</v>
      </c>
      <c r="N63" s="13">
        <f>IF('Données projet'!$A$36&gt;35,N62+M63-V62,IF(A63&lt;'Données projet'!$A$36,$K$205^A63,IF(A63='Données projet'!$A$36,'Données projet'!$B$36,N62+M63-V62)))</f>
        <v>126.25721153846153</v>
      </c>
      <c r="O63" s="13">
        <f>N63*VLOOKUP('Données projet'!$B$9,Paramètres!$A$1:$I$89,3,0)*VLOOKUP('Données projet'!$B$9,Paramètres!$A$1:$I$89,5,0)</f>
        <v>114.23752499999999</v>
      </c>
      <c r="P63" s="13">
        <f t="shared" si="33"/>
        <v>30.327171529636239</v>
      </c>
      <c r="Q63" s="20">
        <f t="shared" si="53"/>
        <v>251.78351312244976</v>
      </c>
      <c r="R63" s="59">
        <f t="shared" si="0"/>
        <v>545.11684645578305</v>
      </c>
      <c r="S63" s="59">
        <f ca="1">AVERAGE(OFFSET($R$3,0,0,'Données projet'!$E$9+1,1))-AVERAGE(OFFSET($H$3,0,0,'Données projet'!$E$9+1,1))</f>
        <v>153.45079678708987</v>
      </c>
      <c r="T63" s="59">
        <f t="shared" si="34"/>
        <v>115.4217868409637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128.0248125</v>
      </c>
      <c r="AK63" s="13">
        <f t="shared" si="35"/>
        <v>33.539545602958114</v>
      </c>
      <c r="AL63" s="20">
        <f t="shared" si="4"/>
        <v>281.39125702931875</v>
      </c>
      <c r="AM63" s="59">
        <f t="shared" si="5"/>
        <v>574.72459036265207</v>
      </c>
      <c r="AN63" s="59">
        <f ca="1">AVERAGE(OFFSET($AM$3,0,0,'Données projet'!$E$10+1,1))-AVERAGE(OFFSET($H$3,0,0,'Données projet'!$E$10+1,1))</f>
        <v>190.21499310415584</v>
      </c>
      <c r="AO63" s="59">
        <f t="shared" si="36"/>
        <v>136.15730566500173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447</v>
      </c>
      <c r="BB63" s="12">
        <f>VLOOKUP(A63,'Données projet'!$A$87:$I$107,9,0)</f>
        <v>15.6</v>
      </c>
      <c r="BC63" s="12">
        <f t="array" ref="BC63">INDEX(BB:BB,MIN(IF(ISNUMBER(BB63:BB259),ROW(BB63:BB259),"")))</f>
        <v>15.6</v>
      </c>
      <c r="BD63" s="12">
        <f>IF('Données projet'!$A$88&gt;35,BD62+BC63-BL62,IF(A63&lt;'Données projet'!$A$88,$BA$205^A63,IF(A63='Données projet'!$A$88,'Données projet'!$B$88,BD62+BC63-BL62)))</f>
        <v>447.00000000000006</v>
      </c>
      <c r="BE63" s="13">
        <f>BD63*VLOOKUP('Données projet'!$B$11,Paramètres!$A$1:$I$89,3,0)*VLOOKUP('Données projet'!$B$11,Paramètres!$A$1:$I$89,5,0)</f>
        <v>267.30600000000004</v>
      </c>
      <c r="BF63" s="13">
        <f t="shared" si="37"/>
        <v>64.27720124631206</v>
      </c>
      <c r="BG63" s="20">
        <f t="shared" si="7"/>
        <v>577.50740883732692</v>
      </c>
      <c r="BH63" s="59">
        <f t="shared" si="8"/>
        <v>870.84074217066018</v>
      </c>
      <c r="BI63" s="59">
        <f ca="1">AVERAGE(OFFSET($BH$3,0,0,'Données projet'!$E$11+1,1))-AVERAGE(OFFSET($H$3,0,0,'Données projet'!$E$11+1,1))</f>
        <v>270.30888762640245</v>
      </c>
      <c r="BJ63" s="59">
        <f t="shared" si="38"/>
        <v>202.23783851977691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90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1.1824086386731465</v>
      </c>
      <c r="BQ63" s="21">
        <f>EXP(-LN(2)/25)*BQ62+(1-EXP(-LN(2)/25))/(LN(2)/25)*Calculateur!BL63*Calculateur!BN63*VLOOKUP('Données projet'!$B$11,Paramètres!$A$1:$I$89,3,0)*0.475*44/12</f>
        <v>5.3518002000936438</v>
      </c>
      <c r="BR63" s="21">
        <f>EXP(-LN(2)/2)*BR62+(1-EXP(-LN(2)/2))/(LN(2)/2)*BL63*BO63*VLOOKUP('Données projet'!$B$11,Paramètres!$A$1:$I$89,3,0)*0.475*44/12</f>
        <v>5.6434962727241772E-4</v>
      </c>
      <c r="BS63" s="22">
        <f t="shared" si="9"/>
        <v>6.5347731883940634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447</v>
      </c>
      <c r="BW63" s="12">
        <f>VLOOKUP(A63,'Données projet'!$A$113:$I$133,9,0)</f>
        <v>15.6</v>
      </c>
      <c r="BX63" s="12">
        <f t="array" ref="BX63">INDEX(BW:BW,MIN(IF(ISNUMBER(BW63:BW259),ROW(BW63:BW259),"")))</f>
        <v>15.6</v>
      </c>
      <c r="BY63" s="12">
        <f>IF('Données projet'!$A$114&gt;35,BY62+BX63-CG62,IF(A63&lt;'Données projet'!$A$114,$BV$205^A63,IF(A63='Données projet'!$A$114,'Données projet'!$B$114,BY62+BX63-CG62)))</f>
        <v>447.00000000000006</v>
      </c>
      <c r="BZ63" s="13">
        <f>BY63*VLOOKUP('Données projet'!$B$12,Paramètres!$A$1:$I$89,3,0)*VLOOKUP('Données projet'!$B$12,Paramètres!$A$1:$I$89,5,0)</f>
        <v>267.30600000000004</v>
      </c>
      <c r="CA63" s="13">
        <f t="shared" si="39"/>
        <v>64.27720124631206</v>
      </c>
      <c r="CB63" s="20">
        <f t="shared" si="10"/>
        <v>577.50740883732692</v>
      </c>
      <c r="CC63" s="59">
        <f t="shared" si="11"/>
        <v>870.84074217066018</v>
      </c>
      <c r="CD63" s="59">
        <f ca="1">AVERAGE(OFFSET($CC$3,0,0,'Données projet'!$E$12+1,1))-AVERAGE(OFFSET($H$3,0,0,'Données projet'!$E$12+1,1))</f>
        <v>270.30888762640245</v>
      </c>
      <c r="CE63" s="59">
        <f t="shared" si="40"/>
        <v>202.23783851977691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90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1.1824086386731465</v>
      </c>
      <c r="CL63" s="21">
        <f>EXP(-LN(2)/25)*CL62+(1-EXP(-LN(2)/25))/(LN(2)/25)*Calculateur!CG63*Calculateur!CI63*VLOOKUP('Données projet'!$B$12,Paramètres!$A$1:$I$89,3,0)*0.475*44/12</f>
        <v>5.3518002000936438</v>
      </c>
      <c r="CM63" s="21">
        <f>EXP(-LN(2)/2)*CM62+(1-EXP(-LN(2)/2))/(LN(2)/2)*CG63*CJ63*VLOOKUP('Données projet'!$B$12,Paramètres!$A$1:$I$89,3,0)*0.475*44/12</f>
        <v>5.6434962727241772E-4</v>
      </c>
      <c r="CN63" s="22">
        <f t="shared" si="12"/>
        <v>6.5347731883940634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14.270329670329668</v>
      </c>
      <c r="CT63" s="12">
        <f>IF('Données projet'!$A$140&gt;35,CT62+CS63-DB62,IF(A63&lt;'Données projet'!$A$140,$CQ$205^A63,IF(A63='Données projet'!$A$140,'Données projet'!$B$140,CT62+CS63-DB62)))</f>
        <v>332.36593406593403</v>
      </c>
      <c r="CU63" s="17">
        <f>CT63*VLOOKUP('Données projet'!$B$13,Paramètres!$A$1:$I$89,3,0)*VLOOKUP('Données projet'!$B$13,Paramètres!$A$1:$I$89,5,0)</f>
        <v>155.54725714285712</v>
      </c>
      <c r="CV63" s="13">
        <f t="shared" si="41"/>
        <v>39.836543030962723</v>
      </c>
      <c r="CW63" s="20">
        <f t="shared" si="13"/>
        <v>340.29345196940289</v>
      </c>
      <c r="CX63" s="59">
        <f t="shared" si="14"/>
        <v>633.62678530273615</v>
      </c>
      <c r="CY63" s="59">
        <f ca="1">AVERAGE(OFFSET($CX$3,0,0,'Données projet'!$E$13+1,1))-AVERAGE(OFFSET($H$3,0,0,'Données projet'!$E$13+1,1))</f>
        <v>158.58786357608489</v>
      </c>
      <c r="CZ63" s="59">
        <f t="shared" si="42"/>
        <v>163.20074068819849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258</v>
      </c>
      <c r="DM63" s="12">
        <f>VLOOKUP(A63,'Données projet'!$A$165:$I$185,9,0)</f>
        <v>5.6</v>
      </c>
      <c r="DN63" s="12">
        <f t="array" ref="DN63">INDEX(DM:DM,MIN(IF(ISNUMBER(DM63:DM259),ROW(DM63:DM259),"")))</f>
        <v>5.6</v>
      </c>
      <c r="DO63" s="12">
        <f>IF('Données projet'!$A$166&gt;35,DO62+DN63-DW62,IF(A63&lt;'Données projet'!$A$166,$DL$205^A63,IF(A63='Données projet'!$A$166,'Données projet'!$B$166,DO62+DN63-DW62)))</f>
        <v>257.99999999999972</v>
      </c>
      <c r="DP63" s="17">
        <f>DO63*VLOOKUP('Données projet'!$B$14,Paramètres!$A$1:$I$89,3,0)*VLOOKUP('Données projet'!$B$14,Paramètres!$A$1:$I$89,5,0)</f>
        <v>173.06639999999982</v>
      </c>
      <c r="DQ63" s="13">
        <f t="shared" si="43"/>
        <v>43.776079006603076</v>
      </c>
      <c r="DR63" s="20">
        <f t="shared" si="16"/>
        <v>377.66731760316674</v>
      </c>
      <c r="DS63" s="59">
        <f t="shared" si="17"/>
        <v>671.00065093650005</v>
      </c>
      <c r="DT63" s="59">
        <f ca="1">AVERAGE(OFFSET($DS$3,0,0,'Données projet'!$E$14+1,1))-AVERAGE(OFFSET($H$3,0,0,'Données projet'!$E$14+1,1))</f>
        <v>156.63226020379989</v>
      </c>
      <c r="DU63" s="59">
        <f t="shared" si="44"/>
        <v>196.0481096619543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25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3.7738195214285479</v>
      </c>
      <c r="EC63" s="21">
        <f>EXP(-LN(2)/2)*EC62+(1-EXP(-LN(2)/2))/(LN(2)/2)*DW63*DZ63*VLOOKUP('Données projet'!$B$14,Paramètres!$A$1:$I$89,3,0)*0.475*44/12</f>
        <v>2.7690035406881236E-4</v>
      </c>
      <c r="ED63" s="22">
        <f t="shared" si="18"/>
        <v>3.774096421782617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5.9431089743589762</v>
      </c>
      <c r="EJ63" s="12">
        <f>IF('Données projet'!$A$192&gt;35,EJ62+EI63-ER62,IF(A63&lt;'Données projet'!$A$192,$EG$205^A63,IF(A63='Données projet'!$A$192,'Données projet'!$B$192,EJ62+EI63-ER62)))</f>
        <v>126.25721153846153</v>
      </c>
      <c r="EK63" s="17">
        <f>EJ63*VLOOKUP('Données projet'!$B$15,Paramètres!$A$1:$I$89,3,0)*VLOOKUP('Données projet'!$B$15,Paramètres!$A$1:$I$89,5,0)</f>
        <v>135.90326249999998</v>
      </c>
      <c r="EL63" s="13">
        <f t="shared" si="45"/>
        <v>35.356884440438705</v>
      </c>
      <c r="EM63" s="20">
        <f t="shared" si="19"/>
        <v>298.27808925459738</v>
      </c>
      <c r="EN63" s="59">
        <f t="shared" si="20"/>
        <v>591.61142258793075</v>
      </c>
      <c r="EO63" s="59">
        <f ca="1">AVERAGE(OFFSET($EN$3,0,0,'Données projet'!$E$15+1,1))-AVERAGE(OFFSET($H$3,0,0,'Données projet'!$E$15+1,1))</f>
        <v>211.18501783767226</v>
      </c>
      <c r="EP63" s="59">
        <f t="shared" si="46"/>
        <v>147.98306963466246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359</v>
      </c>
      <c r="FC63" s="12">
        <f>VLOOKUP(A63,'Données projet'!$A$217:$I$237,9,0)</f>
        <v>12.9</v>
      </c>
      <c r="FD63" s="12">
        <f t="array" ref="FD63">INDEX(FC:FC,MIN(IF(ISNUMBER(FC63:FC259),ROW(FC63:FC259),"")))</f>
        <v>12.9</v>
      </c>
      <c r="FE63" s="12">
        <f>IF('Données projet'!$A$218&gt;35,FE62+FD63-FM62,IF(A63&lt;'Données projet'!$A$218,$FB$205^A63,IF(A63='Données projet'!$A$218,'Données projet'!$B$218,FE62+FD63-FM62)))</f>
        <v>358.99999999999966</v>
      </c>
      <c r="FF63" s="17">
        <f>FE63*VLOOKUP('Données projet'!$B$16,Paramètres!$A$1:$I$89,3,0)*VLOOKUP('Données projet'!$B$16,Paramètres!$A$1:$I$89,5,0)</f>
        <v>214.68199999999982</v>
      </c>
      <c r="FG63" s="13">
        <f t="shared" si="47"/>
        <v>52.957403780225071</v>
      </c>
      <c r="FH63" s="20">
        <f t="shared" si="22"/>
        <v>466.13862825055827</v>
      </c>
      <c r="FI63" s="59">
        <f t="shared" si="23"/>
        <v>759.47196158389158</v>
      </c>
      <c r="FJ63" s="59">
        <f ca="1">AVERAGE(OFFSET($FI$3,0,0,'Données projet'!$E$16+1,1))-AVERAGE(OFFSET($H$3,0,0,'Données projet'!$E$16+1,1))</f>
        <v>232.26937455765062</v>
      </c>
      <c r="FK63" s="59">
        <f t="shared" si="48"/>
        <v>115.80853281120301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66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1.2218222599622515</v>
      </c>
      <c r="FR63" s="21">
        <f>EXP(-LN(2)/25)*FR62+(1-EXP(-LN(2)/25))/(LN(2)/25)*Calculateur!FM63*Calculateur!FO63*VLOOKUP('Données projet'!$B$16,Paramètres!$A$1:$I$89,3,0)*0.475*44/12</f>
        <v>1.9191741547802315</v>
      </c>
      <c r="FS63" s="21">
        <f>EXP(-LN(2)/2)*FS62+(1-EXP(-LN(2)/2))/(LN(2)/2)*FM63*FP63*VLOOKUP('Données projet'!$B$16,Paramètres!$A$1:$I$89,3,0)*0.475*44/12</f>
        <v>2.5621731361750039E-4</v>
      </c>
      <c r="FT63" s="22">
        <f t="shared" si="24"/>
        <v>3.1412526320561005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258</v>
      </c>
      <c r="FX63" s="12">
        <f>VLOOKUP(A63,'Données projet'!$A$243:$I$263,9,0)</f>
        <v>5.6</v>
      </c>
      <c r="FY63" s="12">
        <f t="array" ref="FY63">INDEX(FX:FX,MIN(IF(ISNUMBER(FX63:FX259),ROW(FX63:FX259),"")))</f>
        <v>5.6</v>
      </c>
      <c r="FZ63" s="12">
        <f>IF('Données projet'!$A$244&gt;35,FZ62+FY63-GH62,IF(A63&lt;'Données projet'!$A$244,$FW$205^A63,IF(A63='Données projet'!$A$244,'Données projet'!$B$244,FZ62+FY63-GH62)))</f>
        <v>257.99999999999972</v>
      </c>
      <c r="GA63" s="17">
        <f>FZ63*VLOOKUP('Données projet'!$B$17,Paramètres!$A$1:$I$89,3,0)*VLOOKUP('Données projet'!$B$17,Paramètres!$A$1:$I$89,5,0)</f>
        <v>205.26479999999981</v>
      </c>
      <c r="GB63" s="13">
        <f t="shared" si="49"/>
        <v>50.899455886133694</v>
      </c>
      <c r="GC63" s="20">
        <f t="shared" si="25"/>
        <v>446.15274566834916</v>
      </c>
      <c r="GD63" s="59">
        <f t="shared" si="26"/>
        <v>739.48607900168247</v>
      </c>
      <c r="GE63" s="59">
        <f ca="1">AVERAGE(OFFSET($GD$3,0,0,'Données projet'!$E$17+1,1))-AVERAGE(OFFSET($H$3,0,0,'Données projet'!$E$17+1,1))</f>
        <v>199.58763537752952</v>
      </c>
      <c r="GF63" s="59">
        <f t="shared" si="50"/>
        <v>242.62852778451929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25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4.4759254789036254</v>
      </c>
      <c r="GN63" s="21">
        <f>EXP(-LN(2)/2)*GN62+(1-EXP(-LN(2)/2))/(LN(2)/2)*GH63*GK63*VLOOKUP('Données projet'!$B$17,Paramètres!$A$1:$I$89,3,0)*0.475*44/12</f>
        <v>3.2841669901184753E-4</v>
      </c>
      <c r="GO63" s="21">
        <f t="shared" si="27"/>
        <v>4.4762538956026372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5.9431089743589762</v>
      </c>
      <c r="N64" s="13">
        <f>IF('Données projet'!$A$36&gt;35,N63+M64-V63,IF(A64&lt;'Données projet'!$A$36,$K$205^A64,IF(A64='Données projet'!$A$36,'Données projet'!$B$36,N63+M64-V63)))</f>
        <v>132.2003205128205</v>
      </c>
      <c r="O64" s="13">
        <f>N64*VLOOKUP('Données projet'!$B$9,Paramètres!$A$1:$I$89,3,0)*VLOOKUP('Données projet'!$B$9,Paramètres!$A$1:$I$89,5,0)</f>
        <v>119.61484999999999</v>
      </c>
      <c r="P64" s="13">
        <f t="shared" si="33"/>
        <v>31.585152581402479</v>
      </c>
      <c r="Q64" s="20">
        <f t="shared" si="53"/>
        <v>263.34000449594265</v>
      </c>
      <c r="R64" s="59">
        <f t="shared" si="0"/>
        <v>556.67333782927597</v>
      </c>
      <c r="S64" s="59">
        <f ca="1">AVERAGE(OFFSET($R$3,0,0,'Données projet'!$E$9+1,1))-AVERAGE(OFFSET($H$3,0,0,'Données projet'!$E$9+1,1))</f>
        <v>153.45079678708987</v>
      </c>
      <c r="T64" s="59">
        <f t="shared" si="34"/>
        <v>115.4217868409637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134.05112499999998</v>
      </c>
      <c r="AK64" s="13">
        <f t="shared" si="35"/>
        <v>34.930776988059094</v>
      </c>
      <c r="AL64" s="20">
        <f t="shared" si="4"/>
        <v>294.31014596253618</v>
      </c>
      <c r="AM64" s="59">
        <f t="shared" si="5"/>
        <v>587.6434792958695</v>
      </c>
      <c r="AN64" s="59">
        <f ca="1">AVERAGE(OFFSET($AM$3,0,0,'Données projet'!$E$10+1,1))-AVERAGE(OFFSET($H$3,0,0,'Données projet'!$E$10+1,1))</f>
        <v>190.21499310415584</v>
      </c>
      <c r="AO64" s="59">
        <f t="shared" si="36"/>
        <v>136.15730566500173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14.1</v>
      </c>
      <c r="BD64" s="12">
        <f>IF('Données projet'!$A$88&gt;35,BD63+BC64-BL63,IF(A64&lt;'Données projet'!$A$88,$BA$205^A64,IF(A64='Données projet'!$A$88,'Données projet'!$B$88,BD63+BC64-BL63)))</f>
        <v>371.10000000000008</v>
      </c>
      <c r="BE64" s="13">
        <f>BD64*VLOOKUP('Données projet'!$B$11,Paramètres!$A$1:$I$89,3,0)*VLOOKUP('Données projet'!$B$11,Paramètres!$A$1:$I$89,5,0)</f>
        <v>221.91780000000006</v>
      </c>
      <c r="BF64" s="13">
        <f t="shared" si="37"/>
        <v>54.531499284124365</v>
      </c>
      <c r="BG64" s="20">
        <f t="shared" si="7"/>
        <v>481.4825295865167</v>
      </c>
      <c r="BH64" s="59">
        <f t="shared" si="8"/>
        <v>774.81586291985002</v>
      </c>
      <c r="BI64" s="59">
        <f ca="1">AVERAGE(OFFSET($BH$3,0,0,'Données projet'!$E$11+1,1))-AVERAGE(OFFSET($H$3,0,0,'Données projet'!$E$11+1,1))</f>
        <v>270.30888762640245</v>
      </c>
      <c r="BJ64" s="59">
        <f t="shared" si="38"/>
        <v>202.23783851977691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1.1592223264668233</v>
      </c>
      <c r="BQ64" s="21">
        <f>EXP(-LN(2)/25)*BQ63+(1-EXP(-LN(2)/25))/(LN(2)/25)*Calculateur!BL64*Calculateur!BN64*VLOOKUP('Données projet'!$B$11,Paramètres!$A$1:$I$89,3,0)*0.475*44/12</f>
        <v>5.2054549421831426</v>
      </c>
      <c r="BR64" s="21">
        <f>EXP(-LN(2)/2)*BR63+(1-EXP(-LN(2)/2))/(LN(2)/2)*BL64*BO64*VLOOKUP('Données projet'!$B$11,Paramètres!$A$1:$I$89,3,0)*0.475*44/12</f>
        <v>3.9905544840442714E-4</v>
      </c>
      <c r="BS64" s="22">
        <f t="shared" si="9"/>
        <v>6.3650763240983705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14.1</v>
      </c>
      <c r="BY64" s="12">
        <f>IF('Données projet'!$A$114&gt;35,BY63+BX64-CG63,IF(A64&lt;'Données projet'!$A$114,$BV$205^A64,IF(A64='Données projet'!$A$114,'Données projet'!$B$114,BY63+BX64-CG63)))</f>
        <v>371.10000000000008</v>
      </c>
      <c r="BZ64" s="13">
        <f>BY64*VLOOKUP('Données projet'!$B$12,Paramètres!$A$1:$I$89,3,0)*VLOOKUP('Données projet'!$B$12,Paramètres!$A$1:$I$89,5,0)</f>
        <v>221.91780000000006</v>
      </c>
      <c r="CA64" s="13">
        <f t="shared" si="39"/>
        <v>54.531499284124365</v>
      </c>
      <c r="CB64" s="20">
        <f t="shared" si="10"/>
        <v>481.4825295865167</v>
      </c>
      <c r="CC64" s="59">
        <f t="shared" si="11"/>
        <v>774.81586291985002</v>
      </c>
      <c r="CD64" s="59">
        <f ca="1">AVERAGE(OFFSET($CC$3,0,0,'Données projet'!$E$12+1,1))-AVERAGE(OFFSET($H$3,0,0,'Données projet'!$E$12+1,1))</f>
        <v>270.30888762640245</v>
      </c>
      <c r="CE64" s="59">
        <f t="shared" si="40"/>
        <v>202.23783851977691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1.1592223264668233</v>
      </c>
      <c r="CL64" s="21">
        <f>EXP(-LN(2)/25)*CL63+(1-EXP(-LN(2)/25))/(LN(2)/25)*Calculateur!CG64*Calculateur!CI64*VLOOKUP('Données projet'!$B$12,Paramètres!$A$1:$I$89,3,0)*0.475*44/12</f>
        <v>5.2054549421831426</v>
      </c>
      <c r="CM64" s="21">
        <f>EXP(-LN(2)/2)*CM63+(1-EXP(-LN(2)/2))/(LN(2)/2)*CG64*CJ64*VLOOKUP('Données projet'!$B$12,Paramètres!$A$1:$I$89,3,0)*0.475*44/12</f>
        <v>3.9905544840442714E-4</v>
      </c>
      <c r="CN64" s="22">
        <f t="shared" si="12"/>
        <v>6.3650763240983705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14.270329670329668</v>
      </c>
      <c r="CT64" s="12">
        <f>IF('Données projet'!$A$140&gt;35,CT63+CS64-DB63,IF(A64&lt;'Données projet'!$A$140,$CQ$205^A64,IF(A64='Données projet'!$A$140,'Données projet'!$B$140,CT63+CS64-DB63)))</f>
        <v>346.63626373626369</v>
      </c>
      <c r="CU64" s="17">
        <f>CT64*VLOOKUP('Données projet'!$B$13,Paramètres!$A$1:$I$89,3,0)*VLOOKUP('Données projet'!$B$13,Paramètres!$A$1:$I$89,5,0)</f>
        <v>162.22577142857142</v>
      </c>
      <c r="CV64" s="13">
        <f t="shared" si="41"/>
        <v>41.344139999178246</v>
      </c>
      <c r="CW64" s="20">
        <f t="shared" si="13"/>
        <v>354.55092906999738</v>
      </c>
      <c r="CX64" s="59">
        <f t="shared" si="14"/>
        <v>647.88426240333069</v>
      </c>
      <c r="CY64" s="59">
        <f ca="1">AVERAGE(OFFSET($CX$3,0,0,'Données projet'!$E$13+1,1))-AVERAGE(OFFSET($H$3,0,0,'Données projet'!$E$13+1,1))</f>
        <v>158.58786357608489</v>
      </c>
      <c r="CZ64" s="59">
        <f t="shared" si="42"/>
        <v>163.20074068819849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4.0999999999999996</v>
      </c>
      <c r="DO64" s="12">
        <f>IF('Données projet'!$A$166&gt;35,DO63+DN64-DW63,IF(A64&lt;'Données projet'!$A$166,$DL$205^A64,IF(A64='Données projet'!$A$166,'Données projet'!$B$166,DO63+DN64-DW63)))</f>
        <v>237.09999999999974</v>
      </c>
      <c r="DP64" s="17">
        <f>DO64*VLOOKUP('Données projet'!$B$14,Paramètres!$A$1:$I$89,3,0)*VLOOKUP('Données projet'!$B$14,Paramètres!$A$1:$I$89,5,0)</f>
        <v>159.04667999999984</v>
      </c>
      <c r="DQ64" s="13">
        <f t="shared" si="43"/>
        <v>40.627416689910589</v>
      </c>
      <c r="DR64" s="20">
        <f t="shared" si="16"/>
        <v>347.76571840159392</v>
      </c>
      <c r="DS64" s="59">
        <f t="shared" si="17"/>
        <v>641.09905173492723</v>
      </c>
      <c r="DT64" s="59">
        <f ca="1">AVERAGE(OFFSET($DS$3,0,0,'Données projet'!$E$14+1,1))-AVERAGE(OFFSET($H$3,0,0,'Données projet'!$E$14+1,1))</f>
        <v>156.63226020379989</v>
      </c>
      <c r="DU64" s="59">
        <f t="shared" si="44"/>
        <v>196.0481096619543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3.6706242281585411</v>
      </c>
      <c r="EC64" s="21">
        <f>EXP(-LN(2)/2)*EC63+(1-EXP(-LN(2)/2))/(LN(2)/2)*DW64*DZ64*VLOOKUP('Données projet'!$B$14,Paramètres!$A$1:$I$89,3,0)*0.475*44/12</f>
        <v>1.9579811807501324E-4</v>
      </c>
      <c r="ED64" s="22">
        <f t="shared" si="18"/>
        <v>3.670820026276616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5.9431089743589762</v>
      </c>
      <c r="EJ64" s="12">
        <f>IF('Données projet'!$A$192&gt;35,EJ63+EI64-ER63,IF(A64&lt;'Données projet'!$A$192,$EG$205^A64,IF(A64='Données projet'!$A$192,'Données projet'!$B$192,EJ63+EI64-ER63)))</f>
        <v>132.2003205128205</v>
      </c>
      <c r="EK64" s="17">
        <f>EJ64*VLOOKUP('Données projet'!$B$15,Paramètres!$A$1:$I$89,3,0)*VLOOKUP('Données projet'!$B$15,Paramètres!$A$1:$I$89,5,0)</f>
        <v>142.30042499999996</v>
      </c>
      <c r="EL64" s="13">
        <f t="shared" si="45"/>
        <v>36.823499638367579</v>
      </c>
      <c r="EM64" s="20">
        <f t="shared" si="19"/>
        <v>311.97416874515676</v>
      </c>
      <c r="EN64" s="59">
        <f t="shared" si="20"/>
        <v>605.30750207849007</v>
      </c>
      <c r="EO64" s="59">
        <f ca="1">AVERAGE(OFFSET($EN$3,0,0,'Données projet'!$E$15+1,1))-AVERAGE(OFFSET($H$3,0,0,'Données projet'!$E$15+1,1))</f>
        <v>211.18501783767226</v>
      </c>
      <c r="EP64" s="59">
        <f t="shared" si="46"/>
        <v>147.98306963466246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13</v>
      </c>
      <c r="FE64" s="12">
        <f>IF('Données projet'!$A$218&gt;35,FE63+FD64-FM63,IF(A64&lt;'Données projet'!$A$218,$FB$205^A64,IF(A64='Données projet'!$A$218,'Données projet'!$B$218,FE63+FD64-FM63)))</f>
        <v>305.99999999999966</v>
      </c>
      <c r="FF64" s="17">
        <f>FE64*VLOOKUP('Données projet'!$B$16,Paramètres!$A$1:$I$89,3,0)*VLOOKUP('Données projet'!$B$16,Paramètres!$A$1:$I$89,5,0)</f>
        <v>182.9879999999998</v>
      </c>
      <c r="FG64" s="13">
        <f t="shared" si="47"/>
        <v>45.986322796524796</v>
      </c>
      <c r="FH64" s="20">
        <f t="shared" si="22"/>
        <v>398.79694553728035</v>
      </c>
      <c r="FI64" s="59">
        <f t="shared" si="23"/>
        <v>692.13027887061367</v>
      </c>
      <c r="FJ64" s="59">
        <f ca="1">AVERAGE(OFFSET($FI$3,0,0,'Données projet'!$E$16+1,1))-AVERAGE(OFFSET($H$3,0,0,'Données projet'!$E$16+1,1))</f>
        <v>232.26937455765062</v>
      </c>
      <c r="FK64" s="59">
        <f t="shared" si="48"/>
        <v>115.80853281120301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1.1978630706823841</v>
      </c>
      <c r="FR64" s="21">
        <f>EXP(-LN(2)/25)*FR63+(1-EXP(-LN(2)/25))/(LN(2)/25)*Calculateur!FM64*Calculateur!FO64*VLOOKUP('Données projet'!$B$16,Paramètres!$A$1:$I$89,3,0)*0.475*44/12</f>
        <v>1.8666942365927837</v>
      </c>
      <c r="FS64" s="21">
        <f>EXP(-LN(2)/2)*FS63+(1-EXP(-LN(2)/2))/(LN(2)/2)*FM64*FP64*VLOOKUP('Données projet'!$B$16,Paramètres!$A$1:$I$89,3,0)*0.475*44/12</f>
        <v>1.8117299991633488E-4</v>
      </c>
      <c r="FT64" s="22">
        <f t="shared" si="24"/>
        <v>3.0647384802750839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4.0999999999999996</v>
      </c>
      <c r="FZ64" s="12">
        <f>IF('Données projet'!$A$244&gt;35,FZ63+FY64-GH63,IF(A64&lt;'Données projet'!$A$244,$FW$205^A64,IF(A64='Données projet'!$A$244,'Données projet'!$B$244,FZ63+FY64-GH63)))</f>
        <v>237.09999999999974</v>
      </c>
      <c r="GA64" s="17">
        <f>FZ64*VLOOKUP('Données projet'!$B$17,Paramètres!$A$1:$I$89,3,0)*VLOOKUP('Données projet'!$B$17,Paramètres!$A$1:$I$89,5,0)</f>
        <v>188.63675999999978</v>
      </c>
      <c r="GB64" s="13">
        <f t="shared" si="49"/>
        <v>47.238433649202641</v>
      </c>
      <c r="GC64" s="20">
        <f t="shared" si="25"/>
        <v>410.81596227236088</v>
      </c>
      <c r="GD64" s="59">
        <f t="shared" si="26"/>
        <v>704.14929560569419</v>
      </c>
      <c r="GE64" s="59">
        <f ca="1">AVERAGE(OFFSET($GD$3,0,0,'Données projet'!$E$17+1,1))-AVERAGE(OFFSET($H$3,0,0,'Données projet'!$E$17+1,1))</f>
        <v>199.58763537752952</v>
      </c>
      <c r="GF64" s="59">
        <f t="shared" si="50"/>
        <v>242.62852778451929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4.3535310613043148</v>
      </c>
      <c r="GN64" s="21">
        <f>EXP(-LN(2)/2)*GN63+(1-EXP(-LN(2)/2))/(LN(2)/2)*GH64*GK64*VLOOKUP('Données projet'!$B$17,Paramètres!$A$1:$I$89,3,0)*0.475*44/12</f>
        <v>2.3222567492617871E-4</v>
      </c>
      <c r="GO64" s="21">
        <f t="shared" si="27"/>
        <v>4.3537632869792411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5.9431089743589762</v>
      </c>
      <c r="N65" s="13">
        <f>IF('Données projet'!$A$36&gt;35,N64+M65-V64,IF(A65&lt;'Données projet'!$A$36,$K$205^A65,IF(A65='Données projet'!$A$36,'Données projet'!$B$36,N64+M65-V64)))</f>
        <v>138.14342948717947</v>
      </c>
      <c r="O65" s="13">
        <f>N65*VLOOKUP('Données projet'!$B$9,Paramètres!$A$1:$I$89,3,0)*VLOOKUP('Données projet'!$B$9,Paramètres!$A$1:$I$89,5,0)</f>
        <v>124.99217499999997</v>
      </c>
      <c r="P65" s="13">
        <f t="shared" si="33"/>
        <v>32.836565726562206</v>
      </c>
      <c r="Q65" s="20">
        <f t="shared" si="53"/>
        <v>274.88505676542917</v>
      </c>
      <c r="R65" s="59">
        <f t="shared" si="0"/>
        <v>568.21839009876248</v>
      </c>
      <c r="S65" s="59">
        <f ca="1">AVERAGE(OFFSET($R$3,0,0,'Données projet'!$E$9+1,1))-AVERAGE(OFFSET($H$3,0,0,'Données projet'!$E$9+1,1))</f>
        <v>153.45079678708987</v>
      </c>
      <c r="T65" s="59">
        <f t="shared" si="34"/>
        <v>115.4217868409637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140.0774375</v>
      </c>
      <c r="AK65" s="13">
        <f t="shared" si="35"/>
        <v>36.314744767883546</v>
      </c>
      <c r="AL65" s="20">
        <f t="shared" si="4"/>
        <v>307.2163841165638</v>
      </c>
      <c r="AM65" s="59">
        <f t="shared" si="5"/>
        <v>600.54971744989712</v>
      </c>
      <c r="AN65" s="59">
        <f ca="1">AVERAGE(OFFSET($AM$3,0,0,'Données projet'!$E$10+1,1))-AVERAGE(OFFSET($H$3,0,0,'Données projet'!$E$10+1,1))</f>
        <v>190.21499310415584</v>
      </c>
      <c r="AO65" s="59">
        <f t="shared" si="36"/>
        <v>136.15730566500173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14.1</v>
      </c>
      <c r="BD65" s="12">
        <f>IF('Données projet'!$A$88&gt;35,BD64+BC65-BL64,IF(A65&lt;'Données projet'!$A$88,$BA$205^A65,IF(A65='Données projet'!$A$88,'Données projet'!$B$88,BD64+BC65-BL64)))</f>
        <v>385.2000000000001</v>
      </c>
      <c r="BE65" s="13">
        <f>BD65*VLOOKUP('Données projet'!$B$11,Paramètres!$A$1:$I$89,3,0)*VLOOKUP('Données projet'!$B$11,Paramètres!$A$1:$I$89,5,0)</f>
        <v>230.34960000000009</v>
      </c>
      <c r="BF65" s="13">
        <f t="shared" si="37"/>
        <v>56.35826654142631</v>
      </c>
      <c r="BG65" s="20">
        <f t="shared" si="7"/>
        <v>499.34953422631764</v>
      </c>
      <c r="BH65" s="59">
        <f t="shared" si="8"/>
        <v>792.68286755965096</v>
      </c>
      <c r="BI65" s="59">
        <f ca="1">AVERAGE(OFFSET($BH$3,0,0,'Données projet'!$E$11+1,1))-AVERAGE(OFFSET($H$3,0,0,'Données projet'!$E$11+1,1))</f>
        <v>270.30888762640245</v>
      </c>
      <c r="BJ65" s="59">
        <f t="shared" si="38"/>
        <v>202.23783851977691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1.1364906837006121</v>
      </c>
      <c r="BQ65" s="21">
        <f>EXP(-LN(2)/25)*BQ64+(1-EXP(-LN(2)/25))/(LN(2)/25)*Calculateur!BL65*Calculateur!BN65*VLOOKUP('Données projet'!$B$11,Paramètres!$A$1:$I$89,3,0)*0.475*44/12</f>
        <v>5.0631115030461666</v>
      </c>
      <c r="BR65" s="21">
        <f>EXP(-LN(2)/2)*BR64+(1-EXP(-LN(2)/2))/(LN(2)/2)*BL65*BO65*VLOOKUP('Données projet'!$B$11,Paramètres!$A$1:$I$89,3,0)*0.475*44/12</f>
        <v>2.8217481363620886E-4</v>
      </c>
      <c r="BS65" s="22">
        <f t="shared" si="9"/>
        <v>6.1998843615604144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14.1</v>
      </c>
      <c r="BY65" s="12">
        <f>IF('Données projet'!$A$114&gt;35,BY64+BX65-CG64,IF(A65&lt;'Données projet'!$A$114,$BV$205^A65,IF(A65='Données projet'!$A$114,'Données projet'!$B$114,BY64+BX65-CG64)))</f>
        <v>385.2000000000001</v>
      </c>
      <c r="BZ65" s="13">
        <f>BY65*VLOOKUP('Données projet'!$B$12,Paramètres!$A$1:$I$89,3,0)*VLOOKUP('Données projet'!$B$12,Paramètres!$A$1:$I$89,5,0)</f>
        <v>230.34960000000009</v>
      </c>
      <c r="CA65" s="13">
        <f t="shared" si="39"/>
        <v>56.35826654142631</v>
      </c>
      <c r="CB65" s="20">
        <f t="shared" si="10"/>
        <v>499.34953422631764</v>
      </c>
      <c r="CC65" s="59">
        <f t="shared" si="11"/>
        <v>792.68286755965096</v>
      </c>
      <c r="CD65" s="59">
        <f ca="1">AVERAGE(OFFSET($CC$3,0,0,'Données projet'!$E$12+1,1))-AVERAGE(OFFSET($H$3,0,0,'Données projet'!$E$12+1,1))</f>
        <v>270.30888762640245</v>
      </c>
      <c r="CE65" s="59">
        <f t="shared" si="40"/>
        <v>202.23783851977691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1.1364906837006121</v>
      </c>
      <c r="CL65" s="21">
        <f>EXP(-LN(2)/25)*CL64+(1-EXP(-LN(2)/25))/(LN(2)/25)*Calculateur!CG65*Calculateur!CI65*VLOOKUP('Données projet'!$B$12,Paramètres!$A$1:$I$89,3,0)*0.475*44/12</f>
        <v>5.0631115030461666</v>
      </c>
      <c r="CM65" s="21">
        <f>EXP(-LN(2)/2)*CM64+(1-EXP(-LN(2)/2))/(LN(2)/2)*CG65*CJ65*VLOOKUP('Données projet'!$B$12,Paramètres!$A$1:$I$89,3,0)*0.475*44/12</f>
        <v>2.8217481363620886E-4</v>
      </c>
      <c r="CN65" s="22">
        <f t="shared" si="12"/>
        <v>6.1998843615604144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14.270329670329668</v>
      </c>
      <c r="CT65" s="12">
        <f>IF('Données projet'!$A$140&gt;35,CT64+CS65-DB64,IF(A65&lt;'Données projet'!$A$140,$CQ$205^A65,IF(A65='Données projet'!$A$140,'Données projet'!$B$140,CT64+CS65-DB64)))</f>
        <v>360.90659340659334</v>
      </c>
      <c r="CU65" s="17">
        <f>CT65*VLOOKUP('Données projet'!$B$13,Paramètres!$A$1:$I$89,3,0)*VLOOKUP('Données projet'!$B$13,Paramètres!$A$1:$I$89,5,0)</f>
        <v>168.90428571428566</v>
      </c>
      <c r="CV65" s="13">
        <f t="shared" si="41"/>
        <v>42.844527757373569</v>
      </c>
      <c r="CW65" s="20">
        <f t="shared" si="13"/>
        <v>368.79585012980647</v>
      </c>
      <c r="CX65" s="59">
        <f t="shared" si="14"/>
        <v>662.12918346313973</v>
      </c>
      <c r="CY65" s="59">
        <f ca="1">AVERAGE(OFFSET($CX$3,0,0,'Données projet'!$E$13+1,1))-AVERAGE(OFFSET($H$3,0,0,'Données projet'!$E$13+1,1))</f>
        <v>158.58786357608489</v>
      </c>
      <c r="CZ65" s="59">
        <f t="shared" si="42"/>
        <v>163.20074068819849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4.0999999999999996</v>
      </c>
      <c r="DO65" s="12">
        <f>IF('Données projet'!$A$166&gt;35,DO64+DN65-DW64,IF(A65&lt;'Données projet'!$A$166,$DL$205^A65,IF(A65='Données projet'!$A$166,'Données projet'!$B$166,DO64+DN65-DW64)))</f>
        <v>241.19999999999973</v>
      </c>
      <c r="DP65" s="17">
        <f>DO65*VLOOKUP('Données projet'!$B$14,Paramètres!$A$1:$I$89,3,0)*VLOOKUP('Données projet'!$B$14,Paramètres!$A$1:$I$89,5,0)</f>
        <v>161.79695999999981</v>
      </c>
      <c r="DQ65" s="13">
        <f t="shared" si="43"/>
        <v>41.247560923222927</v>
      </c>
      <c r="DR65" s="20">
        <f t="shared" si="16"/>
        <v>353.63587394127961</v>
      </c>
      <c r="DS65" s="59">
        <f t="shared" si="17"/>
        <v>646.96920727461293</v>
      </c>
      <c r="DT65" s="59">
        <f ca="1">AVERAGE(OFFSET($DS$3,0,0,'Données projet'!$E$14+1,1))-AVERAGE(OFFSET($H$3,0,0,'Données projet'!$E$14+1,1))</f>
        <v>156.63226020379989</v>
      </c>
      <c r="DU65" s="59">
        <f t="shared" si="44"/>
        <v>196.0481096619543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3.5702508156098069</v>
      </c>
      <c r="EC65" s="21">
        <f>EXP(-LN(2)/2)*EC64+(1-EXP(-LN(2)/2))/(LN(2)/2)*DW65*DZ65*VLOOKUP('Données projet'!$B$14,Paramètres!$A$1:$I$89,3,0)*0.475*44/12</f>
        <v>1.3845017703440618E-4</v>
      </c>
      <c r="ED65" s="22">
        <f t="shared" si="18"/>
        <v>3.5703892657868415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5.9431089743589762</v>
      </c>
      <c r="EJ65" s="12">
        <f>IF('Données projet'!$A$192&gt;35,EJ64+EI65-ER64,IF(A65&lt;'Données projet'!$A$192,$EG$205^A65,IF(A65='Données projet'!$A$192,'Données projet'!$B$192,EJ64+EI65-ER64)))</f>
        <v>138.14342948717947</v>
      </c>
      <c r="EK65" s="17">
        <f>EJ65*VLOOKUP('Données projet'!$B$15,Paramètres!$A$1:$I$89,3,0)*VLOOKUP('Données projet'!$B$15,Paramètres!$A$1:$I$89,5,0)</f>
        <v>148.69758749999997</v>
      </c>
      <c r="EL65" s="13">
        <f t="shared" si="45"/>
        <v>38.282457652880126</v>
      </c>
      <c r="EM65" s="20">
        <f t="shared" si="19"/>
        <v>325.6569119745995</v>
      </c>
      <c r="EN65" s="59">
        <f t="shared" si="20"/>
        <v>618.99024530793281</v>
      </c>
      <c r="EO65" s="59">
        <f ca="1">AVERAGE(OFFSET($EN$3,0,0,'Données projet'!$E$15+1,1))-AVERAGE(OFFSET($H$3,0,0,'Données projet'!$E$15+1,1))</f>
        <v>211.18501783767226</v>
      </c>
      <c r="EP65" s="59">
        <f t="shared" si="46"/>
        <v>147.98306963466246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13</v>
      </c>
      <c r="FE65" s="12">
        <f>IF('Données projet'!$A$218&gt;35,FE64+FD65-FM64,IF(A65&lt;'Données projet'!$A$218,$FB$205^A65,IF(A65='Données projet'!$A$218,'Données projet'!$B$218,FE64+FD65-FM64)))</f>
        <v>318.99999999999966</v>
      </c>
      <c r="FF65" s="17">
        <f>FE65*VLOOKUP('Données projet'!$B$16,Paramètres!$A$1:$I$89,3,0)*VLOOKUP('Données projet'!$B$16,Paramètres!$A$1:$I$89,5,0)</f>
        <v>190.7619999999998</v>
      </c>
      <c r="FG65" s="13">
        <f t="shared" si="47"/>
        <v>47.708380968336726</v>
      </c>
      <c r="FH65" s="20">
        <f t="shared" si="22"/>
        <v>415.3359135198528</v>
      </c>
      <c r="FI65" s="59">
        <f t="shared" si="23"/>
        <v>708.66924685318611</v>
      </c>
      <c r="FJ65" s="59">
        <f ca="1">AVERAGE(OFFSET($FI$3,0,0,'Données projet'!$E$16+1,1))-AVERAGE(OFFSET($H$3,0,0,'Données projet'!$E$16+1,1))</f>
        <v>232.26937455765062</v>
      </c>
      <c r="FK65" s="59">
        <f t="shared" si="48"/>
        <v>115.80853281120301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1.1743737064906326</v>
      </c>
      <c r="FR65" s="21">
        <f>EXP(-LN(2)/25)*FR64+(1-EXP(-LN(2)/25))/(LN(2)/25)*Calculateur!FM65*Calculateur!FO65*VLOOKUP('Données projet'!$B$16,Paramètres!$A$1:$I$89,3,0)*0.475*44/12</f>
        <v>1.8156493845279704</v>
      </c>
      <c r="FS65" s="21">
        <f>EXP(-LN(2)/2)*FS64+(1-EXP(-LN(2)/2))/(LN(2)/2)*FM65*FP65*VLOOKUP('Données projet'!$B$16,Paramètres!$A$1:$I$89,3,0)*0.475*44/12</f>
        <v>1.281086568087502E-4</v>
      </c>
      <c r="FT65" s="22">
        <f t="shared" si="24"/>
        <v>2.9901511996754118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4.0999999999999996</v>
      </c>
      <c r="FZ65" s="12">
        <f>IF('Données projet'!$A$244&gt;35,FZ64+FY65-GH64,IF(A65&lt;'Données projet'!$A$244,$FW$205^A65,IF(A65='Données projet'!$A$244,'Données projet'!$B$244,FZ64+FY65-GH64)))</f>
        <v>241.19999999999973</v>
      </c>
      <c r="GA65" s="17">
        <f>FZ65*VLOOKUP('Données projet'!$B$17,Paramètres!$A$1:$I$89,3,0)*VLOOKUP('Données projet'!$B$17,Paramètres!$A$1:$I$89,5,0)</f>
        <v>191.8987199999998</v>
      </c>
      <c r="GB65" s="13">
        <f t="shared" si="49"/>
        <v>47.959489640575512</v>
      </c>
      <c r="GC65" s="20">
        <f t="shared" si="25"/>
        <v>417.7530484573353</v>
      </c>
      <c r="GD65" s="59">
        <f t="shared" si="26"/>
        <v>711.08638179066861</v>
      </c>
      <c r="GE65" s="59">
        <f ca="1">AVERAGE(OFFSET($GD$3,0,0,'Données projet'!$E$17+1,1))-AVERAGE(OFFSET($H$3,0,0,'Données projet'!$E$17+1,1))</f>
        <v>199.58763537752952</v>
      </c>
      <c r="GF65" s="59">
        <f t="shared" si="50"/>
        <v>242.62852778451929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4.2344835254906998</v>
      </c>
      <c r="GN65" s="21">
        <f>EXP(-LN(2)/2)*GN64+(1-EXP(-LN(2)/2))/(LN(2)/2)*GH65*GK65*VLOOKUP('Données projet'!$B$17,Paramètres!$A$1:$I$89,3,0)*0.475*44/12</f>
        <v>1.6420834950592377E-4</v>
      </c>
      <c r="GO65" s="21">
        <f t="shared" si="27"/>
        <v>4.2346477338402062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5.9431089743589762</v>
      </c>
      <c r="N66" s="13">
        <f>IF('Données projet'!$A$36&gt;35,N65+M66-V65,IF(A66&lt;'Données projet'!$A$36,$K$205^A66,IF(A66='Données projet'!$A$36,'Données projet'!$B$36,N65+M66-V65)))</f>
        <v>144.08653846153845</v>
      </c>
      <c r="O66" s="13">
        <f>N66*VLOOKUP('Données projet'!$B$9,Paramètres!$A$1:$I$89,3,0)*VLOOKUP('Données projet'!$B$9,Paramètres!$A$1:$I$89,5,0)</f>
        <v>130.36949999999999</v>
      </c>
      <c r="P66" s="13">
        <f t="shared" si="33"/>
        <v>34.081725824623319</v>
      </c>
      <c r="Q66" s="20">
        <f t="shared" si="53"/>
        <v>286.41921831121891</v>
      </c>
      <c r="R66" s="59">
        <f t="shared" si="0"/>
        <v>579.75255164455223</v>
      </c>
      <c r="S66" s="59">
        <f ca="1">AVERAGE(OFFSET($R$3,0,0,'Données projet'!$E$9+1,1))-AVERAGE(OFFSET($H$3,0,0,'Données projet'!$E$9+1,1))</f>
        <v>153.45079678708987</v>
      </c>
      <c r="T66" s="59">
        <f t="shared" si="34"/>
        <v>115.4217868409637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146.10374999999999</v>
      </c>
      <c r="AK66" s="13">
        <f t="shared" si="35"/>
        <v>37.691797153104957</v>
      </c>
      <c r="AL66" s="20">
        <f t="shared" si="4"/>
        <v>320.11057795832443</v>
      </c>
      <c r="AM66" s="59">
        <f t="shared" si="5"/>
        <v>613.44391129165774</v>
      </c>
      <c r="AN66" s="59">
        <f ca="1">AVERAGE(OFFSET($AM$3,0,0,'Données projet'!$E$10+1,1))-AVERAGE(OFFSET($H$3,0,0,'Données projet'!$E$10+1,1))</f>
        <v>190.21499310415584</v>
      </c>
      <c r="AO66" s="59">
        <f t="shared" si="36"/>
        <v>136.15730566500173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14.1</v>
      </c>
      <c r="BD66" s="12">
        <f>IF('Données projet'!$A$88&gt;35,BD65+BC66-BL65,IF(A66&lt;'Données projet'!$A$88,$BA$205^A66,IF(A66='Données projet'!$A$88,'Données projet'!$B$88,BD65+BC66-BL65)))</f>
        <v>399.30000000000013</v>
      </c>
      <c r="BE66" s="13">
        <f>BD66*VLOOKUP('Données projet'!$B$11,Paramètres!$A$1:$I$89,3,0)*VLOOKUP('Données projet'!$B$11,Paramètres!$A$1:$I$89,5,0)</f>
        <v>238.78140000000008</v>
      </c>
      <c r="BF66" s="13">
        <f t="shared" si="37"/>
        <v>58.177265129918027</v>
      </c>
      <c r="BG66" s="20">
        <f t="shared" si="7"/>
        <v>517.20300843460734</v>
      </c>
      <c r="BH66" s="59">
        <f t="shared" si="8"/>
        <v>810.53634176794071</v>
      </c>
      <c r="BI66" s="59">
        <f ca="1">AVERAGE(OFFSET($BH$3,0,0,'Données projet'!$E$11+1,1))-AVERAGE(OFFSET($H$3,0,0,'Données projet'!$E$11+1,1))</f>
        <v>270.30888762640245</v>
      </c>
      <c r="BJ66" s="59">
        <f t="shared" si="38"/>
        <v>202.23783851977691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1.1142047945841134</v>
      </c>
      <c r="BQ66" s="21">
        <f>EXP(-LN(2)/25)*BQ65+(1-EXP(-LN(2)/25))/(LN(2)/25)*Calculateur!BL66*Calculateur!BN66*VLOOKUP('Données projet'!$B$11,Paramètres!$A$1:$I$89,3,0)*0.475*44/12</f>
        <v>4.924660452737907</v>
      </c>
      <c r="BR66" s="21">
        <f>EXP(-LN(2)/2)*BR65+(1-EXP(-LN(2)/2))/(LN(2)/2)*BL66*BO66*VLOOKUP('Données projet'!$B$11,Paramètres!$A$1:$I$89,3,0)*0.475*44/12</f>
        <v>1.9952772420221357E-4</v>
      </c>
      <c r="BS66" s="22">
        <f t="shared" si="9"/>
        <v>6.0390647750462225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14.1</v>
      </c>
      <c r="BY66" s="12">
        <f>IF('Données projet'!$A$114&gt;35,BY65+BX66-CG65,IF(A66&lt;'Données projet'!$A$114,$BV$205^A66,IF(A66='Données projet'!$A$114,'Données projet'!$B$114,BY65+BX66-CG65)))</f>
        <v>399.30000000000013</v>
      </c>
      <c r="BZ66" s="13">
        <f>BY66*VLOOKUP('Données projet'!$B$12,Paramètres!$A$1:$I$89,3,0)*VLOOKUP('Données projet'!$B$12,Paramètres!$A$1:$I$89,5,0)</f>
        <v>238.78140000000008</v>
      </c>
      <c r="CA66" s="13">
        <f t="shared" si="39"/>
        <v>58.177265129918027</v>
      </c>
      <c r="CB66" s="20">
        <f t="shared" si="10"/>
        <v>517.20300843460734</v>
      </c>
      <c r="CC66" s="59">
        <f t="shared" si="11"/>
        <v>810.53634176794071</v>
      </c>
      <c r="CD66" s="59">
        <f ca="1">AVERAGE(OFFSET($CC$3,0,0,'Données projet'!$E$12+1,1))-AVERAGE(OFFSET($H$3,0,0,'Données projet'!$E$12+1,1))</f>
        <v>270.30888762640245</v>
      </c>
      <c r="CE66" s="59">
        <f t="shared" si="40"/>
        <v>202.23783851977691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1.1142047945841134</v>
      </c>
      <c r="CL66" s="21">
        <f>EXP(-LN(2)/25)*CL65+(1-EXP(-LN(2)/25))/(LN(2)/25)*Calculateur!CG66*Calculateur!CI66*VLOOKUP('Données projet'!$B$12,Paramètres!$A$1:$I$89,3,0)*0.475*44/12</f>
        <v>4.924660452737907</v>
      </c>
      <c r="CM66" s="21">
        <f>EXP(-LN(2)/2)*CM65+(1-EXP(-LN(2)/2))/(LN(2)/2)*CG66*CJ66*VLOOKUP('Données projet'!$B$12,Paramètres!$A$1:$I$89,3,0)*0.475*44/12</f>
        <v>1.9952772420221357E-4</v>
      </c>
      <c r="CN66" s="22">
        <f t="shared" si="12"/>
        <v>6.0390647750462225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375.17692307692306</v>
      </c>
      <c r="CR66" s="12">
        <f>VLOOKUP(A66,'Données projet'!$A$139:$I$159,9,0)</f>
        <v>14.270329670329668</v>
      </c>
      <c r="CS66" s="12">
        <f t="array" ref="CS66">INDEX(CR:CR,MIN(IF(ISNUMBER(CR66:CR262),ROW(CR66:CR262),"")))</f>
        <v>14.270329670329668</v>
      </c>
      <c r="CT66" s="12">
        <f>IF('Données projet'!$A$140&gt;35,CT65+CS66-DB65,IF(A66&lt;'Données projet'!$A$140,$CQ$205^A66,IF(A66='Données projet'!$A$140,'Données projet'!$B$140,CT65+CS66-DB65)))</f>
        <v>375.176923076923</v>
      </c>
      <c r="CU66" s="17">
        <f>CT66*VLOOKUP('Données projet'!$B$13,Paramètres!$A$1:$I$89,3,0)*VLOOKUP('Données projet'!$B$13,Paramètres!$A$1:$I$89,5,0)</f>
        <v>175.58279999999996</v>
      </c>
      <c r="CV66" s="13">
        <f t="shared" si="41"/>
        <v>44.338023977070598</v>
      </c>
      <c r="CW66" s="20">
        <f t="shared" si="13"/>
        <v>383.02876842673123</v>
      </c>
      <c r="CX66" s="59">
        <f t="shared" si="14"/>
        <v>676.36210176006455</v>
      </c>
      <c r="CY66" s="59">
        <f ca="1">AVERAGE(OFFSET($CX$3,0,0,'Données projet'!$E$13+1,1))-AVERAGE(OFFSET($H$3,0,0,'Données projet'!$E$13+1,1))</f>
        <v>158.58786357608489</v>
      </c>
      <c r="CZ66" s="59">
        <f t="shared" si="42"/>
        <v>163.20074068819849</v>
      </c>
      <c r="DA66" s="15">
        <f>IF(ISNA(VLOOKUP(A66,'Données projet'!$A$139:$I$159,3,0)),0,VLOOKUP(A66,'Données projet'!$A$139:$I$159,3,0))</f>
        <v>4</v>
      </c>
      <c r="DB66" s="15">
        <f>IF(ISNA(VLOOKUP(A66,'Données projet'!$A$139:$I$159,4,0)),0,VLOOKUP(A66,'Données projet'!$A$139:$I$159,4,0))</f>
        <v>71.123076923076923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4.0999999999999996</v>
      </c>
      <c r="DO66" s="12">
        <f>IF('Données projet'!$A$166&gt;35,DO65+DN66-DW65,IF(A66&lt;'Données projet'!$A$166,$DL$205^A66,IF(A66='Données projet'!$A$166,'Données projet'!$B$166,DO65+DN66-DW65)))</f>
        <v>245.29999999999973</v>
      </c>
      <c r="DP66" s="17">
        <f>DO66*VLOOKUP('Données projet'!$B$14,Paramètres!$A$1:$I$89,3,0)*VLOOKUP('Données projet'!$B$14,Paramètres!$A$1:$I$89,5,0)</f>
        <v>164.54723999999982</v>
      </c>
      <c r="DQ66" s="13">
        <f t="shared" si="43"/>
        <v>41.866479285519468</v>
      </c>
      <c r="DR66" s="20">
        <f t="shared" si="16"/>
        <v>359.50389442227942</v>
      </c>
      <c r="DS66" s="59">
        <f t="shared" si="17"/>
        <v>652.83722775561273</v>
      </c>
      <c r="DT66" s="59">
        <f ca="1">AVERAGE(OFFSET($DS$3,0,0,'Données projet'!$E$14+1,1))-AVERAGE(OFFSET($H$3,0,0,'Données projet'!$E$14+1,1))</f>
        <v>156.63226020379989</v>
      </c>
      <c r="DU66" s="59">
        <f t="shared" si="44"/>
        <v>196.0481096619543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3.4726221193056261</v>
      </c>
      <c r="EC66" s="21">
        <f>EXP(-LN(2)/2)*EC65+(1-EXP(-LN(2)/2))/(LN(2)/2)*DW66*DZ66*VLOOKUP('Données projet'!$B$14,Paramètres!$A$1:$I$89,3,0)*0.475*44/12</f>
        <v>9.7899059037506619E-5</v>
      </c>
      <c r="ED66" s="22">
        <f t="shared" si="18"/>
        <v>3.4727200183646638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5.9431089743589762</v>
      </c>
      <c r="EJ66" s="12">
        <f>IF('Données projet'!$A$192&gt;35,EJ65+EI66-ER65,IF(A66&lt;'Données projet'!$A$192,$EG$205^A66,IF(A66='Données projet'!$A$192,'Données projet'!$B$192,EJ65+EI66-ER65)))</f>
        <v>144.08653846153845</v>
      </c>
      <c r="EK66" s="17">
        <f>EJ66*VLOOKUP('Données projet'!$B$15,Paramètres!$A$1:$I$89,3,0)*VLOOKUP('Données projet'!$B$15,Paramètres!$A$1:$I$89,5,0)</f>
        <v>155.09474999999998</v>
      </c>
      <c r="EL66" s="13">
        <f t="shared" si="45"/>
        <v>39.734125562430116</v>
      </c>
      <c r="EM66" s="20">
        <f t="shared" si="19"/>
        <v>339.3269582712324</v>
      </c>
      <c r="EN66" s="59">
        <f t="shared" si="20"/>
        <v>632.66029160456571</v>
      </c>
      <c r="EO66" s="59">
        <f ca="1">AVERAGE(OFFSET($EN$3,0,0,'Données projet'!$E$15+1,1))-AVERAGE(OFFSET($H$3,0,0,'Données projet'!$E$15+1,1))</f>
        <v>211.18501783767226</v>
      </c>
      <c r="EP66" s="59">
        <f t="shared" si="46"/>
        <v>147.98306963466246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13</v>
      </c>
      <c r="FE66" s="12">
        <f>IF('Données projet'!$A$218&gt;35,FE65+FD66-FM65,IF(A66&lt;'Données projet'!$A$218,$FB$205^A66,IF(A66='Données projet'!$A$218,'Données projet'!$B$218,FE65+FD66-FM65)))</f>
        <v>331.99999999999966</v>
      </c>
      <c r="FF66" s="17">
        <f>FE66*VLOOKUP('Données projet'!$B$16,Paramètres!$A$1:$I$89,3,0)*VLOOKUP('Données projet'!$B$16,Paramètres!$A$1:$I$89,5,0)</f>
        <v>198.53599999999983</v>
      </c>
      <c r="FG66" s="13">
        <f t="shared" si="47"/>
        <v>49.422287391228707</v>
      </c>
      <c r="FH66" s="20">
        <f t="shared" si="22"/>
        <v>431.86068387305636</v>
      </c>
      <c r="FI66" s="59">
        <f t="shared" si="23"/>
        <v>725.19401720638962</v>
      </c>
      <c r="FJ66" s="59">
        <f ca="1">AVERAGE(OFFSET($FI$3,0,0,'Données projet'!$E$16+1,1))-AVERAGE(OFFSET($H$3,0,0,'Données projet'!$E$16+1,1))</f>
        <v>232.26937455765062</v>
      </c>
      <c r="FK66" s="59">
        <f t="shared" si="48"/>
        <v>115.80853281120301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1.1513449544035836</v>
      </c>
      <c r="FR66" s="21">
        <f>EXP(-LN(2)/25)*FR65+(1-EXP(-LN(2)/25))/(LN(2)/25)*Calculateur!FM66*Calculateur!FO66*VLOOKUP('Données projet'!$B$16,Paramètres!$A$1:$I$89,3,0)*0.475*44/12</f>
        <v>1.7660003566272016</v>
      </c>
      <c r="FS66" s="21">
        <f>EXP(-LN(2)/2)*FS65+(1-EXP(-LN(2)/2))/(LN(2)/2)*FM66*FP66*VLOOKUP('Données projet'!$B$16,Paramètres!$A$1:$I$89,3,0)*0.475*44/12</f>
        <v>9.0586499958167439E-5</v>
      </c>
      <c r="FT66" s="22">
        <f t="shared" si="24"/>
        <v>2.9174358975307433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4.0999999999999996</v>
      </c>
      <c r="FZ66" s="12">
        <f>IF('Données projet'!$A$244&gt;35,FZ65+FY66-GH65,IF(A66&lt;'Données projet'!$A$244,$FW$205^A66,IF(A66='Données projet'!$A$244,'Données projet'!$B$244,FZ65+FY66-GH65)))</f>
        <v>245.29999999999973</v>
      </c>
      <c r="GA66" s="17">
        <f>FZ66*VLOOKUP('Données projet'!$B$17,Paramètres!$A$1:$I$89,3,0)*VLOOKUP('Données projet'!$B$17,Paramètres!$A$1:$I$89,5,0)</f>
        <v>195.16067999999979</v>
      </c>
      <c r="GB66" s="13">
        <f t="shared" si="49"/>
        <v>48.679120283467881</v>
      </c>
      <c r="GC66" s="20">
        <f t="shared" si="25"/>
        <v>424.68765216037281</v>
      </c>
      <c r="GD66" s="59">
        <f t="shared" si="26"/>
        <v>718.02098549370612</v>
      </c>
      <c r="GE66" s="59">
        <f ca="1">AVERAGE(OFFSET($GD$3,0,0,'Données projet'!$E$17+1,1))-AVERAGE(OFFSET($H$3,0,0,'Données projet'!$E$17+1,1))</f>
        <v>199.58763537752952</v>
      </c>
      <c r="GF66" s="59">
        <f t="shared" si="50"/>
        <v>242.62852778451929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4.1186913508043457</v>
      </c>
      <c r="GN66" s="21">
        <f>EXP(-LN(2)/2)*GN65+(1-EXP(-LN(2)/2))/(LN(2)/2)*GH66*GK66*VLOOKUP('Données projet'!$B$17,Paramètres!$A$1:$I$89,3,0)*0.475*44/12</f>
        <v>1.1611283746308936E-4</v>
      </c>
      <c r="GO66" s="21">
        <f t="shared" si="27"/>
        <v>4.1188074636418088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5.9431089743589762</v>
      </c>
      <c r="N67" s="13">
        <f>IF('Données projet'!$A$36&gt;35,N66+M67-V66,IF(A67&lt;'Données projet'!$A$36,$K$205^A67,IF(A67='Données projet'!$A$36,'Données projet'!$B$36,N66+M67-V66)))</f>
        <v>150.02964743589743</v>
      </c>
      <c r="O67" s="13">
        <f>N67*VLOOKUP('Données projet'!$B$9,Paramètres!$A$1:$I$89,3,0)*VLOOKUP('Données projet'!$B$9,Paramètres!$A$1:$I$89,5,0)</f>
        <v>135.746825</v>
      </c>
      <c r="P67" s="13">
        <f t="shared" si="33"/>
        <v>35.320920291530086</v>
      </c>
      <c r="Q67" s="20">
        <f t="shared" ref="Q67:Q98" si="54">(O67+P67)*0.475*44/12</f>
        <v>297.94298971608151</v>
      </c>
      <c r="R67" s="59">
        <f t="shared" ref="R67:R130" si="55">Q67+(I67+J67)*44/12</f>
        <v>591.27632304941483</v>
      </c>
      <c r="S67" s="59">
        <f ca="1">AVERAGE(OFFSET($R$3,0,0,'Données projet'!$E$9+1,1))-AVERAGE(OFFSET($H$3,0,0,'Données projet'!$E$9+1,1))</f>
        <v>153.45079678708987</v>
      </c>
      <c r="T67" s="59">
        <f t="shared" si="34"/>
        <v>115.4217868409637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152.13006250000001</v>
      </c>
      <c r="AK67" s="13">
        <f t="shared" si="35"/>
        <v>39.06225200390233</v>
      </c>
      <c r="AL67" s="20">
        <f t="shared" si="4"/>
        <v>332.99328109429655</v>
      </c>
      <c r="AM67" s="59">
        <f t="shared" si="5"/>
        <v>626.32661442762992</v>
      </c>
      <c r="AN67" s="59">
        <f ca="1">AVERAGE(OFFSET($AM$3,0,0,'Données projet'!$E$10+1,1))-AVERAGE(OFFSET($H$3,0,0,'Données projet'!$E$10+1,1))</f>
        <v>190.21499310415584</v>
      </c>
      <c r="AO67" s="59">
        <f t="shared" si="36"/>
        <v>136.15730566500173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14.1</v>
      </c>
      <c r="BD67" s="12">
        <f>IF('Données projet'!$A$88&gt;35,BD66+BC67-BL66,IF(A67&lt;'Données projet'!$A$88,$BA$205^A67,IF(A67='Données projet'!$A$88,'Données projet'!$B$88,BD66+BC67-BL66)))</f>
        <v>413.40000000000015</v>
      </c>
      <c r="BE67" s="13">
        <f>BD67*VLOOKUP('Données projet'!$B$11,Paramètres!$A$1:$I$89,3,0)*VLOOKUP('Données projet'!$B$11,Paramètres!$A$1:$I$89,5,0)</f>
        <v>247.21320000000011</v>
      </c>
      <c r="BF67" s="13">
        <f t="shared" si="37"/>
        <v>59.988800807398761</v>
      </c>
      <c r="BG67" s="20">
        <f t="shared" si="7"/>
        <v>535.04348473955304</v>
      </c>
      <c r="BH67" s="59">
        <f t="shared" si="8"/>
        <v>828.37681807288641</v>
      </c>
      <c r="BI67" s="59">
        <f ca="1">AVERAGE(OFFSET($BH$3,0,0,'Données projet'!$E$11+1,1))-AVERAGE(OFFSET($H$3,0,0,'Données projet'!$E$11+1,1))</f>
        <v>270.30888762640245</v>
      </c>
      <c r="BJ67" s="59">
        <f t="shared" si="38"/>
        <v>202.23783851977691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1.092355918160139</v>
      </c>
      <c r="BQ67" s="21">
        <f>EXP(-LN(2)/25)*BQ66+(1-EXP(-LN(2)/25))/(LN(2)/25)*Calculateur!BL67*Calculateur!BN67*VLOOKUP('Données projet'!$B$11,Paramètres!$A$1:$I$89,3,0)*0.475*44/12</f>
        <v>4.7899953536811513</v>
      </c>
      <c r="BR67" s="21">
        <f>EXP(-LN(2)/2)*BR66+(1-EXP(-LN(2)/2))/(LN(2)/2)*BL67*BO67*VLOOKUP('Données projet'!$B$11,Paramètres!$A$1:$I$89,3,0)*0.475*44/12</f>
        <v>1.4108740681810443E-4</v>
      </c>
      <c r="BS67" s="22">
        <f t="shared" si="9"/>
        <v>5.8824923592481086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14.1</v>
      </c>
      <c r="BY67" s="12">
        <f>IF('Données projet'!$A$114&gt;35,BY66+BX67-CG66,IF(A67&lt;'Données projet'!$A$114,$BV$205^A67,IF(A67='Données projet'!$A$114,'Données projet'!$B$114,BY66+BX67-CG66)))</f>
        <v>413.40000000000015</v>
      </c>
      <c r="BZ67" s="13">
        <f>BY67*VLOOKUP('Données projet'!$B$12,Paramètres!$A$1:$I$89,3,0)*VLOOKUP('Données projet'!$B$12,Paramètres!$A$1:$I$89,5,0)</f>
        <v>247.21320000000011</v>
      </c>
      <c r="CA67" s="13">
        <f t="shared" si="39"/>
        <v>59.988800807398761</v>
      </c>
      <c r="CB67" s="20">
        <f t="shared" si="10"/>
        <v>535.04348473955304</v>
      </c>
      <c r="CC67" s="59">
        <f t="shared" si="11"/>
        <v>828.37681807288641</v>
      </c>
      <c r="CD67" s="59">
        <f ca="1">AVERAGE(OFFSET($CC$3,0,0,'Données projet'!$E$12+1,1))-AVERAGE(OFFSET($H$3,0,0,'Données projet'!$E$12+1,1))</f>
        <v>270.30888762640245</v>
      </c>
      <c r="CE67" s="59">
        <f t="shared" si="40"/>
        <v>202.23783851977691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1.092355918160139</v>
      </c>
      <c r="CL67" s="21">
        <f>EXP(-LN(2)/25)*CL66+(1-EXP(-LN(2)/25))/(LN(2)/25)*Calculateur!CG67*Calculateur!CI67*VLOOKUP('Données projet'!$B$12,Paramètres!$A$1:$I$89,3,0)*0.475*44/12</f>
        <v>4.7899953536811513</v>
      </c>
      <c r="CM67" s="21">
        <f>EXP(-LN(2)/2)*CM66+(1-EXP(-LN(2)/2))/(LN(2)/2)*CG67*CJ67*VLOOKUP('Données projet'!$B$12,Paramètres!$A$1:$I$89,3,0)*0.475*44/12</f>
        <v>1.4108740681810443E-4</v>
      </c>
      <c r="CN67" s="22">
        <f t="shared" si="12"/>
        <v>5.8824923592481086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13.737499999999997</v>
      </c>
      <c r="CT67" s="12">
        <f>IF('Données projet'!$A$140&gt;35,CT66+CS67-DB66,IF(A67&lt;'Données projet'!$A$140,$CQ$205^A67,IF(A67='Données projet'!$A$140,'Données projet'!$B$140,CT66+CS67-DB66)))</f>
        <v>317.79134615384612</v>
      </c>
      <c r="CU67" s="17">
        <f>CT67*VLOOKUP('Données projet'!$B$13,Paramètres!$A$1:$I$89,3,0)*VLOOKUP('Données projet'!$B$13,Paramètres!$A$1:$I$89,5,0)</f>
        <v>148.72635</v>
      </c>
      <c r="CV67" s="13">
        <f t="shared" si="41"/>
        <v>38.289000598915827</v>
      </c>
      <c r="CW67" s="20">
        <f t="shared" si="13"/>
        <v>325.71840229311169</v>
      </c>
      <c r="CX67" s="59">
        <f t="shared" si="14"/>
        <v>619.05173562644495</v>
      </c>
      <c r="CY67" s="59">
        <f ca="1">AVERAGE(OFFSET($CX$3,0,0,'Données projet'!$E$13+1,1))-AVERAGE(OFFSET($H$3,0,0,'Données projet'!$E$13+1,1))</f>
        <v>158.58786357608489</v>
      </c>
      <c r="CZ67" s="59">
        <f t="shared" si="42"/>
        <v>163.20074068819849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4.0999999999999996</v>
      </c>
      <c r="DO67" s="12">
        <f>IF('Données projet'!$A$166&gt;35,DO66+DN67-DW66,IF(A67&lt;'Données projet'!$A$166,$DL$205^A67,IF(A67='Données projet'!$A$166,'Données projet'!$B$166,DO66+DN67-DW66)))</f>
        <v>249.39999999999972</v>
      </c>
      <c r="DP67" s="17">
        <f>DO67*VLOOKUP('Données projet'!$B$14,Paramètres!$A$1:$I$89,3,0)*VLOOKUP('Données projet'!$B$14,Paramètres!$A$1:$I$89,5,0)</f>
        <v>167.29751999999982</v>
      </c>
      <c r="DQ67" s="13">
        <f t="shared" si="43"/>
        <v>42.48419463117073</v>
      </c>
      <c r="DR67" s="20">
        <f t="shared" si="16"/>
        <v>365.36981964928873</v>
      </c>
      <c r="DS67" s="59">
        <f t="shared" si="17"/>
        <v>658.70315298262199</v>
      </c>
      <c r="DT67" s="59">
        <f ca="1">AVERAGE(OFFSET($DS$3,0,0,'Données projet'!$E$14+1,1))-AVERAGE(OFFSET($H$3,0,0,'Données projet'!$E$14+1,1))</f>
        <v>156.63226020379989</v>
      </c>
      <c r="DU67" s="59">
        <f t="shared" si="44"/>
        <v>196.0481096619543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3.3776630848359535</v>
      </c>
      <c r="EC67" s="21">
        <f>EXP(-LN(2)/2)*EC66+(1-EXP(-LN(2)/2))/(LN(2)/2)*DW67*DZ67*VLOOKUP('Données projet'!$B$14,Paramètres!$A$1:$I$89,3,0)*0.475*44/12</f>
        <v>6.9225088517203091E-5</v>
      </c>
      <c r="ED67" s="22">
        <f t="shared" si="18"/>
        <v>3.3777323099244705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5.9431089743589762</v>
      </c>
      <c r="EJ67" s="12">
        <f>IF('Données projet'!$A$192&gt;35,EJ66+EI67-ER66,IF(A67&lt;'Données projet'!$A$192,$EG$205^A67,IF(A67='Données projet'!$A$192,'Données projet'!$B$192,EJ66+EI67-ER66)))</f>
        <v>150.02964743589743</v>
      </c>
      <c r="EK67" s="17">
        <f>EJ67*VLOOKUP('Données projet'!$B$15,Paramètres!$A$1:$I$89,3,0)*VLOOKUP('Données projet'!$B$15,Paramètres!$A$1:$I$89,5,0)</f>
        <v>161.49191249999998</v>
      </c>
      <c r="EL67" s="13">
        <f t="shared" si="45"/>
        <v>41.1788384504368</v>
      </c>
      <c r="EM67" s="20">
        <f t="shared" si="19"/>
        <v>352.98489123867739</v>
      </c>
      <c r="EN67" s="59">
        <f t="shared" si="20"/>
        <v>646.31822457201065</v>
      </c>
      <c r="EO67" s="59">
        <f ca="1">AVERAGE(OFFSET($EN$3,0,0,'Données projet'!$E$15+1,1))-AVERAGE(OFFSET($H$3,0,0,'Données projet'!$E$15+1,1))</f>
        <v>211.18501783767226</v>
      </c>
      <c r="EP67" s="59">
        <f t="shared" si="46"/>
        <v>147.98306963466246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13</v>
      </c>
      <c r="FE67" s="12">
        <f>IF('Données projet'!$A$218&gt;35,FE66+FD67-FM66,IF(A67&lt;'Données projet'!$A$218,$FB$205^A67,IF(A67='Données projet'!$A$218,'Données projet'!$B$218,FE66+FD67-FM66)))</f>
        <v>344.99999999999966</v>
      </c>
      <c r="FF67" s="17">
        <f>FE67*VLOOKUP('Données projet'!$B$16,Paramètres!$A$1:$I$89,3,0)*VLOOKUP('Données projet'!$B$16,Paramètres!$A$1:$I$89,5,0)</f>
        <v>206.3099999999998</v>
      </c>
      <c r="FG67" s="13">
        <f t="shared" si="47"/>
        <v>51.128397788793585</v>
      </c>
      <c r="FH67" s="20">
        <f t="shared" si="22"/>
        <v>448.37187614881515</v>
      </c>
      <c r="FI67" s="59">
        <f t="shared" si="23"/>
        <v>741.70520948214846</v>
      </c>
      <c r="FJ67" s="59">
        <f ca="1">AVERAGE(OFFSET($FI$3,0,0,'Données projet'!$E$16+1,1))-AVERAGE(OFFSET($H$3,0,0,'Données projet'!$E$16+1,1))</f>
        <v>232.26937455765062</v>
      </c>
      <c r="FK67" s="59">
        <f t="shared" si="48"/>
        <v>115.80853281120301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1.12876778209881</v>
      </c>
      <c r="FR67" s="21">
        <f>EXP(-LN(2)/25)*FR66+(1-EXP(-LN(2)/25))/(LN(2)/25)*Calculateur!FM67*Calculateur!FO67*VLOOKUP('Données projet'!$B$16,Paramètres!$A$1:$I$89,3,0)*0.475*44/12</f>
        <v>1.7177089840053081</v>
      </c>
      <c r="FS67" s="21">
        <f>EXP(-LN(2)/2)*FS66+(1-EXP(-LN(2)/2))/(LN(2)/2)*FM67*FP67*VLOOKUP('Données projet'!$B$16,Paramètres!$A$1:$I$89,3,0)*0.475*44/12</f>
        <v>6.4054328404375099E-5</v>
      </c>
      <c r="FT67" s="22">
        <f t="shared" si="24"/>
        <v>2.8465408204325224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4.0999999999999996</v>
      </c>
      <c r="FZ67" s="12">
        <f>IF('Données projet'!$A$244&gt;35,FZ66+FY67-GH66,IF(A67&lt;'Données projet'!$A$244,$FW$205^A67,IF(A67='Données projet'!$A$244,'Données projet'!$B$244,FZ66+FY67-GH66)))</f>
        <v>249.39999999999972</v>
      </c>
      <c r="GA67" s="17">
        <f>FZ67*VLOOKUP('Données projet'!$B$17,Paramètres!$A$1:$I$89,3,0)*VLOOKUP('Données projet'!$B$17,Paramètres!$A$1:$I$89,5,0)</f>
        <v>198.4226399999998</v>
      </c>
      <c r="GB67" s="13">
        <f t="shared" si="49"/>
        <v>49.397352151183213</v>
      </c>
      <c r="GC67" s="20">
        <f t="shared" si="25"/>
        <v>431.61981966331041</v>
      </c>
      <c r="GD67" s="59">
        <f t="shared" si="26"/>
        <v>724.95315299664367</v>
      </c>
      <c r="GE67" s="59">
        <f ca="1">AVERAGE(OFFSET($GD$3,0,0,'Données projet'!$E$17+1,1))-AVERAGE(OFFSET($H$3,0,0,'Données projet'!$E$17+1,1))</f>
        <v>199.58763537752952</v>
      </c>
      <c r="GF67" s="59">
        <f t="shared" si="50"/>
        <v>242.62852778451929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4.0060655192240358</v>
      </c>
      <c r="GN67" s="21">
        <f>EXP(-LN(2)/2)*GN66+(1-EXP(-LN(2)/2))/(LN(2)/2)*GH67*GK67*VLOOKUP('Données projet'!$B$17,Paramètres!$A$1:$I$89,3,0)*0.475*44/12</f>
        <v>8.2104174752961883E-5</v>
      </c>
      <c r="GO67" s="21">
        <f t="shared" si="27"/>
        <v>4.0061476233987889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5.9431089743589762</v>
      </c>
      <c r="N68" s="13">
        <f>IF('Données projet'!$A$36&gt;35,N67+M68-V67,IF(A68&lt;'Données projet'!$A$36,$K$205^A68,IF(A68='Données projet'!$A$36,'Données projet'!$B$36,N67+M68-V67)))</f>
        <v>155.97275641025641</v>
      </c>
      <c r="O68" s="13">
        <f>N68*VLOOKUP('Données projet'!$B$9,Paramètres!$A$1:$I$89,3,0)*VLOOKUP('Données projet'!$B$9,Paramètres!$A$1:$I$89,5,0)</f>
        <v>141.12414999999999</v>
      </c>
      <c r="P68" s="13">
        <f t="shared" si="33"/>
        <v>36.554412483418083</v>
      </c>
      <c r="Q68" s="20">
        <f t="shared" si="54"/>
        <v>309.45682965861977</v>
      </c>
      <c r="R68" s="59">
        <f t="shared" si="55"/>
        <v>602.79016299195314</v>
      </c>
      <c r="S68" s="59">
        <f ca="1">AVERAGE(OFFSET($R$3,0,0,'Données projet'!$E$9+1,1))-AVERAGE(OFFSET($H$3,0,0,'Données projet'!$E$9+1,1))</f>
        <v>153.45079678708987</v>
      </c>
      <c r="T68" s="59">
        <f t="shared" si="34"/>
        <v>115.4217868409637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158.15637500000003</v>
      </c>
      <c r="AK68" s="13">
        <f t="shared" si="35"/>
        <v>40.426400572135641</v>
      </c>
      <c r="AL68" s="20">
        <f t="shared" ref="AL68:AL131" si="58">(AJ68+AK68)*0.475*44/12</f>
        <v>345.86500078813629</v>
      </c>
      <c r="AM68" s="59">
        <f t="shared" ref="AM68:AM131" si="59">AL68+(AD68+AE68)*44/12</f>
        <v>639.19833412146954</v>
      </c>
      <c r="AN68" s="59">
        <f ca="1">AVERAGE(OFFSET($AM$3,0,0,'Données projet'!$E$10+1,1))-AVERAGE(OFFSET($H$3,0,0,'Données projet'!$E$10+1,1))</f>
        <v>190.21499310415584</v>
      </c>
      <c r="AO68" s="59">
        <f t="shared" si="36"/>
        <v>136.15730566500173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14.1</v>
      </c>
      <c r="BD68" s="12">
        <f>IF('Données projet'!$A$88&gt;35,BD67+BC68-BL67,IF(A68&lt;'Données projet'!$A$88,$BA$205^A68,IF(A68='Données projet'!$A$88,'Données projet'!$B$88,BD67+BC68-BL67)))</f>
        <v>427.50000000000017</v>
      </c>
      <c r="BE68" s="13">
        <f>BD68*VLOOKUP('Données projet'!$B$11,Paramètres!$A$1:$I$89,3,0)*VLOOKUP('Données projet'!$B$11,Paramètres!$A$1:$I$89,5,0)</f>
        <v>255.64500000000012</v>
      </c>
      <c r="BF68" s="13">
        <f t="shared" si="37"/>
        <v>61.793157291319226</v>
      </c>
      <c r="BG68" s="20">
        <f t="shared" ref="BG68:BG131" si="61">(BE68+BF68)*0.475*44/12</f>
        <v>552.87145728238113</v>
      </c>
      <c r="BH68" s="59">
        <f t="shared" ref="BH68:BH131" si="62">BG68+(AY68+AZ68)*44/12</f>
        <v>846.2047906157145</v>
      </c>
      <c r="BI68" s="59">
        <f ca="1">AVERAGE(OFFSET($BH$3,0,0,'Données projet'!$E$11+1,1))-AVERAGE(OFFSET($H$3,0,0,'Données projet'!$E$11+1,1))</f>
        <v>270.30888762640245</v>
      </c>
      <c r="BJ68" s="59">
        <f t="shared" si="38"/>
        <v>202.23783851977691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1.0709354848763399</v>
      </c>
      <c r="BQ68" s="21">
        <f>EXP(-LN(2)/25)*BQ67+(1-EXP(-LN(2)/25))/(LN(2)/25)*Calculateur!BL68*Calculateur!BN68*VLOOKUP('Données projet'!$B$11,Paramètres!$A$1:$I$89,3,0)*0.475*44/12</f>
        <v>4.6590126788398321</v>
      </c>
      <c r="BR68" s="21">
        <f>EXP(-LN(2)/2)*BR67+(1-EXP(-LN(2)/2))/(LN(2)/2)*BL68*BO68*VLOOKUP('Données projet'!$B$11,Paramètres!$A$1:$I$89,3,0)*0.475*44/12</f>
        <v>9.9763862101106784E-5</v>
      </c>
      <c r="BS68" s="22">
        <f t="shared" ref="BS68:BS131" si="63">SUM(BP68:BR68)</f>
        <v>5.7300479275782727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14.1</v>
      </c>
      <c r="BY68" s="12">
        <f>IF('Données projet'!$A$114&gt;35,BY67+BX68-CG67,IF(A68&lt;'Données projet'!$A$114,$BV$205^A68,IF(A68='Données projet'!$A$114,'Données projet'!$B$114,BY67+BX68-CG67)))</f>
        <v>427.50000000000017</v>
      </c>
      <c r="BZ68" s="13">
        <f>BY68*VLOOKUP('Données projet'!$B$12,Paramètres!$A$1:$I$89,3,0)*VLOOKUP('Données projet'!$B$12,Paramètres!$A$1:$I$89,5,0)</f>
        <v>255.64500000000012</v>
      </c>
      <c r="CA68" s="13">
        <f t="shared" si="39"/>
        <v>61.793157291319226</v>
      </c>
      <c r="CB68" s="20">
        <f t="shared" ref="CB68:CB131" si="64">(BZ68+CA68)*0.475*44/12</f>
        <v>552.87145728238113</v>
      </c>
      <c r="CC68" s="59">
        <f t="shared" ref="CC68:CC131" si="65">CB68+(BT68+BU68)*44/12</f>
        <v>846.2047906157145</v>
      </c>
      <c r="CD68" s="59">
        <f ca="1">AVERAGE(OFFSET($CC$3,0,0,'Données projet'!$E$12+1,1))-AVERAGE(OFFSET($H$3,0,0,'Données projet'!$E$12+1,1))</f>
        <v>270.30888762640245</v>
      </c>
      <c r="CE68" s="59">
        <f t="shared" si="40"/>
        <v>202.23783851977691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1.0709354848763399</v>
      </c>
      <c r="CL68" s="21">
        <f>EXP(-LN(2)/25)*CL67+(1-EXP(-LN(2)/25))/(LN(2)/25)*Calculateur!CG68*Calculateur!CI68*VLOOKUP('Données projet'!$B$12,Paramètres!$A$1:$I$89,3,0)*0.475*44/12</f>
        <v>4.6590126788398321</v>
      </c>
      <c r="CM68" s="21">
        <f>EXP(-LN(2)/2)*CM67+(1-EXP(-LN(2)/2))/(LN(2)/2)*CG68*CJ68*VLOOKUP('Données projet'!$B$12,Paramètres!$A$1:$I$89,3,0)*0.475*44/12</f>
        <v>9.9763862101106784E-5</v>
      </c>
      <c r="CN68" s="22">
        <f t="shared" ref="CN68:CN131" si="66">SUM(CK68:CM68)</f>
        <v>5.7300479275782727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13.737499999999997</v>
      </c>
      <c r="CT68" s="12">
        <f>IF('Données projet'!$A$140&gt;35,CT67+CS68-DB67,IF(A68&lt;'Données projet'!$A$140,$CQ$205^A68,IF(A68='Données projet'!$A$140,'Données projet'!$B$140,CT67+CS68-DB67)))</f>
        <v>331.52884615384613</v>
      </c>
      <c r="CU68" s="17">
        <f>CT68*VLOOKUP('Données projet'!$B$13,Paramètres!$A$1:$I$89,3,0)*VLOOKUP('Données projet'!$B$13,Paramètres!$A$1:$I$89,5,0)</f>
        <v>155.15549999999999</v>
      </c>
      <c r="CV68" s="13">
        <f t="shared" si="41"/>
        <v>39.74787733410745</v>
      </c>
      <c r="CW68" s="20">
        <f t="shared" ref="CW68:CW131" si="67">(CU68+CV68)*0.475*44/12</f>
        <v>339.45671552357044</v>
      </c>
      <c r="CX68" s="59">
        <f t="shared" ref="CX68:CX131" si="68">CW68+(CO68+CP68)*44/12</f>
        <v>632.7900488569037</v>
      </c>
      <c r="CY68" s="59">
        <f ca="1">AVERAGE(OFFSET($CX$3,0,0,'Données projet'!$E$13+1,1))-AVERAGE(OFFSET($H$3,0,0,'Données projet'!$E$13+1,1))</f>
        <v>158.58786357608489</v>
      </c>
      <c r="CZ68" s="59">
        <f t="shared" si="42"/>
        <v>163.20074068819849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4.0999999999999996</v>
      </c>
      <c r="DO68" s="12">
        <f>IF('Données projet'!$A$166&gt;35,DO67+DN68-DW67,IF(A68&lt;'Données projet'!$A$166,$DL$205^A68,IF(A68='Données projet'!$A$166,'Données projet'!$B$166,DO67+DN68-DW67)))</f>
        <v>253.49999999999972</v>
      </c>
      <c r="DP68" s="17">
        <f>DO68*VLOOKUP('Données projet'!$B$14,Paramètres!$A$1:$I$89,3,0)*VLOOKUP('Données projet'!$B$14,Paramètres!$A$1:$I$89,5,0)</f>
        <v>170.04779999999982</v>
      </c>
      <c r="DQ68" s="13">
        <f t="shared" si="43"/>
        <v>43.100729020040831</v>
      </c>
      <c r="DR68" s="20">
        <f t="shared" ref="DR68:DR131" si="70">(DP68+DQ68)*0.475*44/12</f>
        <v>371.23368804323746</v>
      </c>
      <c r="DS68" s="59">
        <f t="shared" ref="DS68:DS131" si="71">DR68+(DJ68+DK68)*44/12</f>
        <v>664.56702137657078</v>
      </c>
      <c r="DT68" s="59">
        <f ca="1">AVERAGE(OFFSET($DS$3,0,0,'Données projet'!$E$14+1,1))-AVERAGE(OFFSET($H$3,0,0,'Données projet'!$E$14+1,1))</f>
        <v>156.63226020379989</v>
      </c>
      <c r="DU68" s="59">
        <f t="shared" si="44"/>
        <v>196.0481096619543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3.2853007101575322</v>
      </c>
      <c r="EC68" s="21">
        <f>EXP(-LN(2)/2)*EC67+(1-EXP(-LN(2)/2))/(LN(2)/2)*DW68*DZ68*VLOOKUP('Données projet'!$B$14,Paramètres!$A$1:$I$89,3,0)*0.475*44/12</f>
        <v>4.894952951875331E-5</v>
      </c>
      <c r="ED68" s="22">
        <f t="shared" ref="ED68:ED131" si="72">SUM(EA68:EC68)</f>
        <v>3.2853496596870508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5.9431089743589762</v>
      </c>
      <c r="EJ68" s="12">
        <f>IF('Données projet'!$A$192&gt;35,EJ67+EI68-ER67,IF(A68&lt;'Données projet'!$A$192,$EG$205^A68,IF(A68='Données projet'!$A$192,'Données projet'!$B$192,EJ67+EI68-ER67)))</f>
        <v>155.97275641025641</v>
      </c>
      <c r="EK68" s="17">
        <f>EJ68*VLOOKUP('Données projet'!$B$15,Paramètres!$A$1:$I$89,3,0)*VLOOKUP('Données projet'!$B$15,Paramètres!$A$1:$I$89,5,0)</f>
        <v>167.88907499999999</v>
      </c>
      <c r="EL68" s="13">
        <f t="shared" si="45"/>
        <v>42.616903350229627</v>
      </c>
      <c r="EM68" s="20">
        <f t="shared" ref="EM68:EM131" si="73">(EK68+EL68)*0.475*44/12</f>
        <v>366.6312456266499</v>
      </c>
      <c r="EN68" s="59">
        <f t="shared" ref="EN68:EN131" si="74">EM68+(EE68+EF68)*44/12</f>
        <v>659.96457895998321</v>
      </c>
      <c r="EO68" s="59">
        <f ca="1">AVERAGE(OFFSET($EN$3,0,0,'Données projet'!$E$15+1,1))-AVERAGE(OFFSET($H$3,0,0,'Données projet'!$E$15+1,1))</f>
        <v>211.18501783767226</v>
      </c>
      <c r="EP68" s="59">
        <f t="shared" si="46"/>
        <v>147.98306963466246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13</v>
      </c>
      <c r="FE68" s="12">
        <f>IF('Données projet'!$A$218&gt;35,FE67+FD68-FM67,IF(A68&lt;'Données projet'!$A$218,$FB$205^A68,IF(A68='Données projet'!$A$218,'Données projet'!$B$218,FE67+FD68-FM67)))</f>
        <v>357.99999999999966</v>
      </c>
      <c r="FF68" s="17">
        <f>FE68*VLOOKUP('Données projet'!$B$16,Paramètres!$A$1:$I$89,3,0)*VLOOKUP('Données projet'!$B$16,Paramètres!$A$1:$I$89,5,0)</f>
        <v>214.0839999999998</v>
      </c>
      <c r="FG68" s="13">
        <f t="shared" si="47"/>
        <v>52.827039557879765</v>
      </c>
      <c r="FH68" s="20">
        <f t="shared" ref="FH68:FH131" si="76">(FF68+FG68)*0.475*44/12</f>
        <v>464.87006056330688</v>
      </c>
      <c r="FI68" s="59">
        <f t="shared" ref="FI68:FI131" si="77">FH68+(EZ68+FA68)*44/12</f>
        <v>758.20339389664014</v>
      </c>
      <c r="FJ68" s="59">
        <f ca="1">AVERAGE(OFFSET($FI$3,0,0,'Données projet'!$E$16+1,1))-AVERAGE(OFFSET($H$3,0,0,'Données projet'!$E$16+1,1))</f>
        <v>232.26937455765062</v>
      </c>
      <c r="FK68" s="59">
        <f t="shared" si="48"/>
        <v>115.80853281120301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1.1066333343722177</v>
      </c>
      <c r="FR68" s="21">
        <f>EXP(-LN(2)/25)*FR67+(1-EXP(-LN(2)/25))/(LN(2)/25)*Calculateur!FM68*Calculateur!FO68*VLOOKUP('Données projet'!$B$16,Paramètres!$A$1:$I$89,3,0)*0.475*44/12</f>
        <v>1.6707381415072935</v>
      </c>
      <c r="FS68" s="21">
        <f>EXP(-LN(2)/2)*FS67+(1-EXP(-LN(2)/2))/(LN(2)/2)*FM68*FP68*VLOOKUP('Données projet'!$B$16,Paramètres!$A$1:$I$89,3,0)*0.475*44/12</f>
        <v>4.5293249979083719E-5</v>
      </c>
      <c r="FT68" s="22">
        <f t="shared" ref="FT68:FT131" si="78">SUM(FQ68:FS68)</f>
        <v>2.7774167691294904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4.0999999999999996</v>
      </c>
      <c r="FZ68" s="12">
        <f>IF('Données projet'!$A$244&gt;35,FZ67+FY68-GH67,IF(A68&lt;'Données projet'!$A$244,$FW$205^A68,IF(A68='Données projet'!$A$244,'Données projet'!$B$244,FZ67+FY68-GH67)))</f>
        <v>253.49999999999972</v>
      </c>
      <c r="GA68" s="17">
        <f>FZ68*VLOOKUP('Données projet'!$B$17,Paramètres!$A$1:$I$89,3,0)*VLOOKUP('Données projet'!$B$17,Paramètres!$A$1:$I$89,5,0)</f>
        <v>201.68459999999979</v>
      </c>
      <c r="GB68" s="13">
        <f t="shared" si="49"/>
        <v>50.114210893233739</v>
      </c>
      <c r="GC68" s="20">
        <f t="shared" ref="GC68:GC131" si="79">(GA68+GB68)*0.475*44/12</f>
        <v>438.54959563904839</v>
      </c>
      <c r="GD68" s="59">
        <f t="shared" ref="GD68:GD131" si="80">GC68+(FU68+FV68)*44/12</f>
        <v>731.88292897238171</v>
      </c>
      <c r="GE68" s="59">
        <f ca="1">AVERAGE(OFFSET($GD$3,0,0,'Données projet'!$E$17+1,1))-AVERAGE(OFFSET($H$3,0,0,'Données projet'!$E$17+1,1))</f>
        <v>199.58763537752952</v>
      </c>
      <c r="GF68" s="59">
        <f t="shared" si="50"/>
        <v>242.62852778451929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3.8965194469310247</v>
      </c>
      <c r="GN68" s="21">
        <f>EXP(-LN(2)/2)*GN67+(1-EXP(-LN(2)/2))/(LN(2)/2)*GH68*GK68*VLOOKUP('Données projet'!$B$17,Paramètres!$A$1:$I$89,3,0)*0.475*44/12</f>
        <v>5.8056418731544678E-5</v>
      </c>
      <c r="GO68" s="21">
        <f t="shared" ref="GO68:GO131" si="81">SUM(GL68:GN68)</f>
        <v>3.8965775033497563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5.9431089743589762</v>
      </c>
      <c r="N69" s="13">
        <f>IF('Données projet'!$A$36&gt;35,N68+M69-V68,IF(A69&lt;'Données projet'!$A$36,$K$205^A69,IF(A69='Données projet'!$A$36,'Données projet'!$B$36,N68+M69-V68)))</f>
        <v>161.91586538461539</v>
      </c>
      <c r="O69" s="13">
        <f>N69*VLOOKUP('Données projet'!$B$9,Paramètres!$A$1:$I$89,3,0)*VLOOKUP('Données projet'!$B$9,Paramètres!$A$1:$I$89,5,0)</f>
        <v>146.501475</v>
      </c>
      <c r="P69" s="13">
        <f t="shared" ref="P69:P132" si="87">EXP(-1.0587+0.8836*LN(O69)+0.284)</f>
        <v>37.782444550133206</v>
      </c>
      <c r="Q69" s="20">
        <f t="shared" si="54"/>
        <v>320.96115988314858</v>
      </c>
      <c r="R69" s="59">
        <f t="shared" si="55"/>
        <v>614.2944932164819</v>
      </c>
      <c r="S69" s="59">
        <f ca="1">AVERAGE(OFFSET($R$3,0,0,'Données projet'!$E$9+1,1))-AVERAGE(OFFSET($H$3,0,0,'Données projet'!$E$9+1,1))</f>
        <v>153.45079678708987</v>
      </c>
      <c r="T69" s="59">
        <f t="shared" ref="T69:T132" si="88">$T$3</f>
        <v>115.4217868409637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164.18268750000001</v>
      </c>
      <c r="AK69" s="13">
        <f t="shared" ref="AK69:AK132" si="89">EXP(-1.0587+0.8836*LN(AJ69)+0.284)</f>
        <v>41.784510657121224</v>
      </c>
      <c r="AL69" s="20">
        <f t="shared" si="58"/>
        <v>358.72620345698607</v>
      </c>
      <c r="AM69" s="59">
        <f t="shared" si="59"/>
        <v>652.05953679031938</v>
      </c>
      <c r="AN69" s="59">
        <f ca="1">AVERAGE(OFFSET($AM$3,0,0,'Données projet'!$E$10+1,1))-AVERAGE(OFFSET($H$3,0,0,'Données projet'!$E$10+1,1))</f>
        <v>190.21499310415584</v>
      </c>
      <c r="AO69" s="59">
        <f t="shared" ref="AO69:AO132" si="90">$AO$3</f>
        <v>136.15730566500173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14.1</v>
      </c>
      <c r="BD69" s="12">
        <f>IF('Données projet'!$A$88&gt;35,BD68+BC69-BL68,IF(A69&lt;'Données projet'!$A$88,$BA$205^A69,IF(A69='Données projet'!$A$88,'Données projet'!$B$88,BD68+BC69-BL68)))</f>
        <v>441.60000000000019</v>
      </c>
      <c r="BE69" s="13">
        <f>BD69*VLOOKUP('Données projet'!$B$11,Paramètres!$A$1:$I$89,3,0)*VLOOKUP('Données projet'!$B$11,Paramètres!$A$1:$I$89,5,0)</f>
        <v>264.07680000000016</v>
      </c>
      <c r="BF69" s="13">
        <f t="shared" ref="BF69:BF132" si="91">EXP(-1.0587+0.8836*LN(BE69)+0.284)</f>
        <v>63.590598521565674</v>
      </c>
      <c r="BG69" s="20">
        <f t="shared" si="61"/>
        <v>570.6873857583937</v>
      </c>
      <c r="BH69" s="59">
        <f t="shared" si="62"/>
        <v>864.02071909172696</v>
      </c>
      <c r="BI69" s="59">
        <f ca="1">AVERAGE(OFFSET($BH$3,0,0,'Données projet'!$E$11+1,1))-AVERAGE(OFFSET($H$3,0,0,'Données projet'!$E$11+1,1))</f>
        <v>270.30888762640245</v>
      </c>
      <c r="BJ69" s="59">
        <f t="shared" ref="BJ69:BJ132" si="92">$BJ$3</f>
        <v>202.23783851977691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1.0499350932240619</v>
      </c>
      <c r="BQ69" s="21">
        <f>EXP(-LN(2)/25)*BQ68+(1-EXP(-LN(2)/25))/(LN(2)/25)*Calculateur!BL69*Calculateur!BN69*VLOOKUP('Données projet'!$B$11,Paramètres!$A$1:$I$89,3,0)*0.475*44/12</f>
        <v>4.5316117321301288</v>
      </c>
      <c r="BR69" s="21">
        <f>EXP(-LN(2)/2)*BR68+(1-EXP(-LN(2)/2))/(LN(2)/2)*BL69*BO69*VLOOKUP('Données projet'!$B$11,Paramètres!$A$1:$I$89,3,0)*0.475*44/12</f>
        <v>7.0543703409052216E-5</v>
      </c>
      <c r="BS69" s="22">
        <f t="shared" si="63"/>
        <v>5.5816173690576001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14.1</v>
      </c>
      <c r="BY69" s="12">
        <f>IF('Données projet'!$A$114&gt;35,BY68+BX69-CG68,IF(A69&lt;'Données projet'!$A$114,$BV$205^A69,IF(A69='Données projet'!$A$114,'Données projet'!$B$114,BY68+BX69-CG68)))</f>
        <v>441.60000000000019</v>
      </c>
      <c r="BZ69" s="13">
        <f>BY69*VLOOKUP('Données projet'!$B$12,Paramètres!$A$1:$I$89,3,0)*VLOOKUP('Données projet'!$B$12,Paramètres!$A$1:$I$89,5,0)</f>
        <v>264.07680000000016</v>
      </c>
      <c r="CA69" s="13">
        <f t="shared" ref="CA69:CA132" si="93">EXP(-1.0587+0.8836*LN(BZ69)+0.284)</f>
        <v>63.590598521565674</v>
      </c>
      <c r="CB69" s="20">
        <f t="shared" si="64"/>
        <v>570.6873857583937</v>
      </c>
      <c r="CC69" s="59">
        <f t="shared" si="65"/>
        <v>864.02071909172696</v>
      </c>
      <c r="CD69" s="59">
        <f ca="1">AVERAGE(OFFSET($CC$3,0,0,'Données projet'!$E$12+1,1))-AVERAGE(OFFSET($H$3,0,0,'Données projet'!$E$12+1,1))</f>
        <v>270.30888762640245</v>
      </c>
      <c r="CE69" s="59">
        <f t="shared" ref="CE69:CE132" si="94">$CE$3</f>
        <v>202.23783851977691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1.0499350932240619</v>
      </c>
      <c r="CL69" s="21">
        <f>EXP(-LN(2)/25)*CL68+(1-EXP(-LN(2)/25))/(LN(2)/25)*Calculateur!CG69*Calculateur!CI69*VLOOKUP('Données projet'!$B$12,Paramètres!$A$1:$I$89,3,0)*0.475*44/12</f>
        <v>4.5316117321301288</v>
      </c>
      <c r="CM69" s="21">
        <f>EXP(-LN(2)/2)*CM68+(1-EXP(-LN(2)/2))/(LN(2)/2)*CG69*CJ69*VLOOKUP('Données projet'!$B$12,Paramètres!$A$1:$I$89,3,0)*0.475*44/12</f>
        <v>7.0543703409052216E-5</v>
      </c>
      <c r="CN69" s="22">
        <f t="shared" si="66"/>
        <v>5.5816173690576001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13.737499999999997</v>
      </c>
      <c r="CT69" s="12">
        <f>IF('Données projet'!$A$140&gt;35,CT68+CS69-DB68,IF(A69&lt;'Données projet'!$A$140,$CQ$205^A69,IF(A69='Données projet'!$A$140,'Données projet'!$B$140,CT68+CS69-DB68)))</f>
        <v>345.26634615384614</v>
      </c>
      <c r="CU69" s="17">
        <f>CT69*VLOOKUP('Données projet'!$B$13,Paramètres!$A$1:$I$89,3,0)*VLOOKUP('Données projet'!$B$13,Paramètres!$A$1:$I$89,5,0)</f>
        <v>161.58464999999998</v>
      </c>
      <c r="CV69" s="13">
        <f t="shared" ref="CV69:CV132" si="95">EXP(-1.0587+0.8836*LN(CU69)+0.284)</f>
        <v>41.199732368807574</v>
      </c>
      <c r="CW69" s="20">
        <f t="shared" si="67"/>
        <v>353.18279929233978</v>
      </c>
      <c r="CX69" s="59">
        <f t="shared" si="68"/>
        <v>646.51613262567309</v>
      </c>
      <c r="CY69" s="59">
        <f ca="1">AVERAGE(OFFSET($CX$3,0,0,'Données projet'!$E$13+1,1))-AVERAGE(OFFSET($H$3,0,0,'Données projet'!$E$13+1,1))</f>
        <v>158.58786357608489</v>
      </c>
      <c r="CZ69" s="59">
        <f t="shared" ref="CZ69:CZ132" si="96">$CZ$3</f>
        <v>163.20074068819849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4.0999999999999996</v>
      </c>
      <c r="DO69" s="12">
        <f>IF('Données projet'!$A$166&gt;35,DO68+DN69-DW68,IF(A69&lt;'Données projet'!$A$166,$DL$205^A69,IF(A69='Données projet'!$A$166,'Données projet'!$B$166,DO68+DN69-DW68)))</f>
        <v>257.59999999999974</v>
      </c>
      <c r="DP69" s="17">
        <f>DO69*VLOOKUP('Données projet'!$B$14,Paramètres!$A$1:$I$89,3,0)*VLOOKUP('Données projet'!$B$14,Paramètres!$A$1:$I$89,5,0)</f>
        <v>172.79807999999983</v>
      </c>
      <c r="DQ69" s="13">
        <f t="shared" ref="DQ69:DQ132" si="97">EXP(-1.0587+0.8836*LN(DP69)+0.284)</f>
        <v>43.716103757502381</v>
      </c>
      <c r="DR69" s="20">
        <f t="shared" si="70"/>
        <v>377.09553671098297</v>
      </c>
      <c r="DS69" s="59">
        <f t="shared" si="71"/>
        <v>670.42887004431623</v>
      </c>
      <c r="DT69" s="59">
        <f ca="1">AVERAGE(OFFSET($DS$3,0,0,'Données projet'!$E$14+1,1))-AVERAGE(OFFSET($H$3,0,0,'Données projet'!$E$14+1,1))</f>
        <v>156.63226020379989</v>
      </c>
      <c r="DU69" s="59">
        <f t="shared" ref="DU69:DU132" si="98">$DU$3</f>
        <v>196.0481096619543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3.1954639894718189</v>
      </c>
      <c r="EC69" s="21">
        <f>EXP(-LN(2)/2)*EC68+(1-EXP(-LN(2)/2))/(LN(2)/2)*DW69*DZ69*VLOOKUP('Données projet'!$B$14,Paramètres!$A$1:$I$89,3,0)*0.475*44/12</f>
        <v>3.4612544258601545E-5</v>
      </c>
      <c r="ED69" s="22">
        <f t="shared" si="72"/>
        <v>3.1954986020160776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5.9431089743589762</v>
      </c>
      <c r="EJ69" s="12">
        <f>IF('Données projet'!$A$192&gt;35,EJ68+EI69-ER68,IF(A69&lt;'Données projet'!$A$192,$EG$205^A69,IF(A69='Données projet'!$A$192,'Données projet'!$B$192,EJ68+EI69-ER68)))</f>
        <v>161.91586538461539</v>
      </c>
      <c r="EK69" s="17">
        <f>EJ69*VLOOKUP('Données projet'!$B$15,Paramètres!$A$1:$I$89,3,0)*VLOOKUP('Données projet'!$B$15,Paramètres!$A$1:$I$89,5,0)</f>
        <v>174.2862375</v>
      </c>
      <c r="EL69" s="13">
        <f t="shared" ref="EL69:EL132" si="99">EXP(-1.0587+0.8836*LN(EK69)+0.284)</f>
        <v>44.048602571819437</v>
      </c>
      <c r="EM69" s="20">
        <f t="shared" si="73"/>
        <v>380.26651312508551</v>
      </c>
      <c r="EN69" s="59">
        <f t="shared" si="74"/>
        <v>673.59984645841882</v>
      </c>
      <c r="EO69" s="59">
        <f ca="1">AVERAGE(OFFSET($EN$3,0,0,'Données projet'!$E$15+1,1))-AVERAGE(OFFSET($H$3,0,0,'Données projet'!$E$15+1,1))</f>
        <v>211.18501783767226</v>
      </c>
      <c r="EP69" s="59">
        <f t="shared" ref="EP69:EP132" si="100">$EP$3</f>
        <v>147.98306963466246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13</v>
      </c>
      <c r="FE69" s="12">
        <f>IF('Données projet'!$A$218&gt;35,FE68+FD69-FM68,IF(A69&lt;'Données projet'!$A$218,$FB$205^A69,IF(A69='Données projet'!$A$218,'Données projet'!$B$218,FE68+FD69-FM68)))</f>
        <v>370.99999999999966</v>
      </c>
      <c r="FF69" s="17">
        <f>FE69*VLOOKUP('Données projet'!$B$16,Paramètres!$A$1:$I$89,3,0)*VLOOKUP('Données projet'!$B$16,Paramètres!$A$1:$I$89,5,0)</f>
        <v>221.85799999999981</v>
      </c>
      <c r="FG69" s="13">
        <f t="shared" ref="FG69:FG132" si="101">EXP(-1.0587+0.8836*LN(FF69)+0.284)</f>
        <v>54.518514970322492</v>
      </c>
      <c r="FH69" s="20">
        <f t="shared" si="76"/>
        <v>481.35576357331138</v>
      </c>
      <c r="FI69" s="59">
        <f t="shared" si="77"/>
        <v>774.68909690664464</v>
      </c>
      <c r="FJ69" s="59">
        <f ca="1">AVERAGE(OFFSET($FI$3,0,0,'Données projet'!$E$16+1,1))-AVERAGE(OFFSET($H$3,0,0,'Données projet'!$E$16+1,1))</f>
        <v>232.26937455765062</v>
      </c>
      <c r="FK69" s="59">
        <f t="shared" ref="FK69:FK132" si="102">$FK$3</f>
        <v>115.80853281120301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1.0849329296648638</v>
      </c>
      <c r="FR69" s="21">
        <f>EXP(-LN(2)/25)*FR68+(1-EXP(-LN(2)/25))/(LN(2)/25)*Calculateur!FM69*Calculateur!FO69*VLOOKUP('Données projet'!$B$16,Paramètres!$A$1:$I$89,3,0)*0.475*44/12</f>
        <v>1.6250517191674763</v>
      </c>
      <c r="FS69" s="21">
        <f>EXP(-LN(2)/2)*FS68+(1-EXP(-LN(2)/2))/(LN(2)/2)*FM69*FP69*VLOOKUP('Données projet'!$B$16,Paramètres!$A$1:$I$89,3,0)*0.475*44/12</f>
        <v>3.2027164202187549E-5</v>
      </c>
      <c r="FT69" s="22">
        <f t="shared" si="78"/>
        <v>2.7100166759965423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4.0999999999999996</v>
      </c>
      <c r="FZ69" s="12">
        <f>IF('Données projet'!$A$244&gt;35,FZ68+FY69-GH68,IF(A69&lt;'Données projet'!$A$244,$FW$205^A69,IF(A69='Données projet'!$A$244,'Données projet'!$B$244,FZ68+FY69-GH68)))</f>
        <v>257.59999999999974</v>
      </c>
      <c r="GA69" s="17">
        <f>FZ69*VLOOKUP('Données projet'!$B$17,Paramètres!$A$1:$I$89,3,0)*VLOOKUP('Données projet'!$B$17,Paramètres!$A$1:$I$89,5,0)</f>
        <v>204.94655999999981</v>
      </c>
      <c r="GB69" s="13">
        <f t="shared" ref="GB69:GB132" si="103">EXP(-1.0587+0.8836*LN(GA69)+0.284)</f>
        <v>50.829721281867194</v>
      </c>
      <c r="GC69" s="20">
        <f t="shared" si="79"/>
        <v>445.477023232585</v>
      </c>
      <c r="GD69" s="59">
        <f t="shared" si="80"/>
        <v>738.81035656591826</v>
      </c>
      <c r="GE69" s="59">
        <f ca="1">AVERAGE(OFFSET($GD$3,0,0,'Données projet'!$E$17+1,1))-AVERAGE(OFFSET($H$3,0,0,'Données projet'!$E$17+1,1))</f>
        <v>199.58763537752952</v>
      </c>
      <c r="GF69" s="59">
        <f t="shared" ref="GF69:GF132" si="104">$GF$3</f>
        <v>242.62852778451929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3.7899689177456439</v>
      </c>
      <c r="GN69" s="21">
        <f>EXP(-LN(2)/2)*GN68+(1-EXP(-LN(2)/2))/(LN(2)/2)*GH69*GK69*VLOOKUP('Données projet'!$B$17,Paramètres!$A$1:$I$89,3,0)*0.475*44/12</f>
        <v>4.1052087376480941E-5</v>
      </c>
      <c r="GO69" s="21">
        <f t="shared" si="81"/>
        <v>3.7900099698330205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167.85897435897436</v>
      </c>
      <c r="L70" s="12">
        <f>VLOOKUP(A70,'Données projet'!$A$35:$I$55,9,0)</f>
        <v>5.9431089743589762</v>
      </c>
      <c r="M70" s="12">
        <f t="array" ref="M70">INDEX(L:L,MIN(IF(ISNUMBER(L70:L266),ROW(L70:L266),"")))</f>
        <v>5.9431089743589762</v>
      </c>
      <c r="N70" s="13">
        <f>IF('Données projet'!$A$36&gt;35,N69+M70-V69,IF(A70&lt;'Données projet'!$A$36,$K$205^A70,IF(A70='Données projet'!$A$36,'Données projet'!$B$36,N69+M70-V69)))</f>
        <v>167.85897435897436</v>
      </c>
      <c r="O70" s="13">
        <f>N70*VLOOKUP('Données projet'!$B$9,Paramètres!$A$1:$I$89,3,0)*VLOOKUP('Données projet'!$B$9,Paramètres!$A$1:$I$89,5,0)</f>
        <v>151.87880000000001</v>
      </c>
      <c r="P70" s="13">
        <f t="shared" si="87"/>
        <v>39.005239858021888</v>
      </c>
      <c r="Q70" s="20">
        <f t="shared" si="54"/>
        <v>332.45636941938818</v>
      </c>
      <c r="R70" s="59">
        <f t="shared" si="55"/>
        <v>625.7897027527215</v>
      </c>
      <c r="S70" s="59">
        <f ca="1">AVERAGE(OFFSET($R$3,0,0,'Données projet'!$E$9+1,1))-AVERAGE(OFFSET($H$3,0,0,'Données projet'!$E$9+1,1))</f>
        <v>153.45079678708987</v>
      </c>
      <c r="T70" s="59">
        <f t="shared" si="88"/>
        <v>115.4217868409637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31.993589743589741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170.209</v>
      </c>
      <c r="AK70" s="13">
        <f t="shared" si="89"/>
        <v>43.136829285053246</v>
      </c>
      <c r="AL70" s="20">
        <f t="shared" si="58"/>
        <v>371.57731933813437</v>
      </c>
      <c r="AM70" s="59">
        <f t="shared" si="59"/>
        <v>664.91065267146769</v>
      </c>
      <c r="AN70" s="59">
        <f ca="1">AVERAGE(OFFSET($AM$3,0,0,'Données projet'!$E$10+1,1))-AVERAGE(OFFSET($H$3,0,0,'Données projet'!$E$10+1,1))</f>
        <v>190.21499310415584</v>
      </c>
      <c r="AO70" s="59">
        <f t="shared" si="90"/>
        <v>136.15730566500173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14.1</v>
      </c>
      <c r="BD70" s="12">
        <f>IF('Données projet'!$A$88&gt;35,BD69+BC70-BL69,IF(A70&lt;'Données projet'!$A$88,$BA$205^A70,IF(A70='Données projet'!$A$88,'Données projet'!$B$88,BD69+BC70-BL69)))</f>
        <v>455.70000000000022</v>
      </c>
      <c r="BE70" s="13">
        <f>BD70*VLOOKUP('Données projet'!$B$11,Paramètres!$A$1:$I$89,3,0)*VLOOKUP('Données projet'!$B$11,Paramètres!$A$1:$I$89,5,0)</f>
        <v>272.50860000000011</v>
      </c>
      <c r="BF70" s="13">
        <f t="shared" si="91"/>
        <v>65.381370626128245</v>
      </c>
      <c r="BG70" s="20">
        <f t="shared" si="61"/>
        <v>588.49169884050696</v>
      </c>
      <c r="BH70" s="59">
        <f t="shared" si="62"/>
        <v>881.82503217384033</v>
      </c>
      <c r="BI70" s="59">
        <f ca="1">AVERAGE(OFFSET($BH$3,0,0,'Données projet'!$E$11+1,1))-AVERAGE(OFFSET($H$3,0,0,'Données projet'!$E$11+1,1))</f>
        <v>270.30888762640245</v>
      </c>
      <c r="BJ70" s="59">
        <f t="shared" si="92"/>
        <v>202.23783851977691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1.0293465064431109</v>
      </c>
      <c r="BQ70" s="21">
        <f>EXP(-LN(2)/25)*BQ69+(1-EXP(-LN(2)/25))/(LN(2)/25)*Calculateur!BL70*Calculateur!BN70*VLOOKUP('Données projet'!$B$11,Paramètres!$A$1:$I$89,3,0)*0.475*44/12</f>
        <v>4.4076945710079265</v>
      </c>
      <c r="BR70" s="21">
        <f>EXP(-LN(2)/2)*BR69+(1-EXP(-LN(2)/2))/(LN(2)/2)*BL70*BO70*VLOOKUP('Données projet'!$B$11,Paramètres!$A$1:$I$89,3,0)*0.475*44/12</f>
        <v>4.9881931050553392E-5</v>
      </c>
      <c r="BS70" s="22">
        <f t="shared" si="63"/>
        <v>5.437090959382088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14.1</v>
      </c>
      <c r="BY70" s="12">
        <f>IF('Données projet'!$A$114&gt;35,BY69+BX70-CG69,IF(A70&lt;'Données projet'!$A$114,$BV$205^A70,IF(A70='Données projet'!$A$114,'Données projet'!$B$114,BY69+BX70-CG69)))</f>
        <v>455.70000000000022</v>
      </c>
      <c r="BZ70" s="13">
        <f>BY70*VLOOKUP('Données projet'!$B$12,Paramètres!$A$1:$I$89,3,0)*VLOOKUP('Données projet'!$B$12,Paramètres!$A$1:$I$89,5,0)</f>
        <v>272.50860000000011</v>
      </c>
      <c r="CA70" s="13">
        <f t="shared" si="93"/>
        <v>65.381370626128245</v>
      </c>
      <c r="CB70" s="20">
        <f t="shared" si="64"/>
        <v>588.49169884050696</v>
      </c>
      <c r="CC70" s="59">
        <f t="shared" si="65"/>
        <v>881.82503217384033</v>
      </c>
      <c r="CD70" s="59">
        <f ca="1">AVERAGE(OFFSET($CC$3,0,0,'Données projet'!$E$12+1,1))-AVERAGE(OFFSET($H$3,0,0,'Données projet'!$E$12+1,1))</f>
        <v>270.30888762640245</v>
      </c>
      <c r="CE70" s="59">
        <f t="shared" si="94"/>
        <v>202.23783851977691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1.0293465064431109</v>
      </c>
      <c r="CL70" s="21">
        <f>EXP(-LN(2)/25)*CL69+(1-EXP(-LN(2)/25))/(LN(2)/25)*Calculateur!CG70*Calculateur!CI70*VLOOKUP('Données projet'!$B$12,Paramètres!$A$1:$I$89,3,0)*0.475*44/12</f>
        <v>4.4076945710079265</v>
      </c>
      <c r="CM70" s="21">
        <f>EXP(-LN(2)/2)*CM69+(1-EXP(-LN(2)/2))/(LN(2)/2)*CG70*CJ70*VLOOKUP('Données projet'!$B$12,Paramètres!$A$1:$I$89,3,0)*0.475*44/12</f>
        <v>4.9881931050553392E-5</v>
      </c>
      <c r="CN70" s="22">
        <f t="shared" si="66"/>
        <v>5.437090959382088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13.737499999999997</v>
      </c>
      <c r="CT70" s="12">
        <f>IF('Données projet'!$A$140&gt;35,CT69+CS70-DB69,IF(A70&lt;'Données projet'!$A$140,$CQ$205^A70,IF(A70='Données projet'!$A$140,'Données projet'!$B$140,CT69+CS70-DB69)))</f>
        <v>359.00384615384615</v>
      </c>
      <c r="CU70" s="17">
        <f>CT70*VLOOKUP('Données projet'!$B$13,Paramètres!$A$1:$I$89,3,0)*VLOOKUP('Données projet'!$B$13,Paramètres!$A$1:$I$89,5,0)</f>
        <v>168.0138</v>
      </c>
      <c r="CV70" s="13">
        <f t="shared" si="95"/>
        <v>42.644877049412187</v>
      </c>
      <c r="CW70" s="20">
        <f t="shared" si="67"/>
        <v>366.89719586105952</v>
      </c>
      <c r="CX70" s="59">
        <f t="shared" si="68"/>
        <v>660.23052919439283</v>
      </c>
      <c r="CY70" s="59">
        <f ca="1">AVERAGE(OFFSET($CX$3,0,0,'Données projet'!$E$13+1,1))-AVERAGE(OFFSET($H$3,0,0,'Données projet'!$E$13+1,1))</f>
        <v>158.58786357608489</v>
      </c>
      <c r="CZ70" s="59">
        <f t="shared" si="96"/>
        <v>163.20074068819849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4.0999999999999996</v>
      </c>
      <c r="DO70" s="12">
        <f>IF('Données projet'!$A$166&gt;35,DO69+DN70-DW69,IF(A70&lt;'Données projet'!$A$166,$DL$205^A70,IF(A70='Données projet'!$A$166,'Données projet'!$B$166,DO69+DN70-DW69)))</f>
        <v>261.69999999999976</v>
      </c>
      <c r="DP70" s="17">
        <f>DO70*VLOOKUP('Données projet'!$B$14,Paramètres!$A$1:$I$89,3,0)*VLOOKUP('Données projet'!$B$14,Paramètres!$A$1:$I$89,5,0)</f>
        <v>175.54835999999983</v>
      </c>
      <c r="DQ70" s="13">
        <f t="shared" si="97"/>
        <v>44.330339431831803</v>
      </c>
      <c r="DR70" s="20">
        <f t="shared" si="70"/>
        <v>382.95540151044014</v>
      </c>
      <c r="DS70" s="59">
        <f t="shared" si="71"/>
        <v>676.28873484377345</v>
      </c>
      <c r="DT70" s="59">
        <f ca="1">AVERAGE(OFFSET($DS$3,0,0,'Données projet'!$E$14+1,1))-AVERAGE(OFFSET($H$3,0,0,'Données projet'!$E$14+1,1))</f>
        <v>156.63226020379989</v>
      </c>
      <c r="DU70" s="59">
        <f t="shared" si="98"/>
        <v>196.0481096619543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3.1080838586375643</v>
      </c>
      <c r="EC70" s="21">
        <f>EXP(-LN(2)/2)*EC69+(1-EXP(-LN(2)/2))/(LN(2)/2)*DW70*DZ70*VLOOKUP('Données projet'!$B$14,Paramètres!$A$1:$I$89,3,0)*0.475*44/12</f>
        <v>2.4474764759376655E-5</v>
      </c>
      <c r="ED70" s="22">
        <f t="shared" si="72"/>
        <v>3.1081083334023236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167.85897435897436</v>
      </c>
      <c r="EH70" s="12">
        <f>VLOOKUP(A70,'Données projet'!$A$191:$I$211,9,0)</f>
        <v>5.9431089743589762</v>
      </c>
      <c r="EI70" s="12">
        <f t="array" ref="EI70">INDEX(EH:EH,MIN(IF(ISNUMBER(EH70:EH266),ROW(EH70:EH266),"")))</f>
        <v>5.9431089743589762</v>
      </c>
      <c r="EJ70" s="12">
        <f>IF('Données projet'!$A$192&gt;35,EJ69+EI70-ER69,IF(A70&lt;'Données projet'!$A$192,$EG$205^A70,IF(A70='Données projet'!$A$192,'Données projet'!$B$192,EJ69+EI70-ER69)))</f>
        <v>167.85897435897436</v>
      </c>
      <c r="EK70" s="17">
        <f>EJ70*VLOOKUP('Données projet'!$B$15,Paramètres!$A$1:$I$89,3,0)*VLOOKUP('Données projet'!$B$15,Paramètres!$A$1:$I$89,5,0)</f>
        <v>180.68340000000001</v>
      </c>
      <c r="EL70" s="13">
        <f t="shared" si="99"/>
        <v>45.474196526503945</v>
      </c>
      <c r="EM70" s="20">
        <f t="shared" si="73"/>
        <v>393.89114728366098</v>
      </c>
      <c r="EN70" s="59">
        <f t="shared" si="74"/>
        <v>687.22448061699424</v>
      </c>
      <c r="EO70" s="59">
        <f ca="1">AVERAGE(OFFSET($EN$3,0,0,'Données projet'!$E$15+1,1))-AVERAGE(OFFSET($H$3,0,0,'Données projet'!$E$15+1,1))</f>
        <v>211.18501783767226</v>
      </c>
      <c r="EP70" s="59">
        <f t="shared" si="100"/>
        <v>147.98306963466246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31.993589743589741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13</v>
      </c>
      <c r="FE70" s="12">
        <f>IF('Données projet'!$A$218&gt;35,FE69+FD70-FM69,IF(A70&lt;'Données projet'!$A$218,$FB$205^A70,IF(A70='Données projet'!$A$218,'Données projet'!$B$218,FE69+FD70-FM69)))</f>
        <v>383.99999999999966</v>
      </c>
      <c r="FF70" s="17">
        <f>FE70*VLOOKUP('Données projet'!$B$16,Paramètres!$A$1:$I$89,3,0)*VLOOKUP('Données projet'!$B$16,Paramètres!$A$1:$I$89,5,0)</f>
        <v>229.63199999999981</v>
      </c>
      <c r="FG70" s="13">
        <f t="shared" si="101"/>
        <v>56.20310391330662</v>
      </c>
      <c r="FH70" s="20">
        <f t="shared" si="76"/>
        <v>497.82947264900855</v>
      </c>
      <c r="FI70" s="59">
        <f t="shared" si="77"/>
        <v>791.16280598234187</v>
      </c>
      <c r="FJ70" s="59">
        <f ca="1">AVERAGE(OFFSET($FI$3,0,0,'Données projet'!$E$16+1,1))-AVERAGE(OFFSET($H$3,0,0,'Données projet'!$E$16+1,1))</f>
        <v>232.26937455765062</v>
      </c>
      <c r="FK70" s="59">
        <f t="shared" si="102"/>
        <v>115.80853281120301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1.063658056657881</v>
      </c>
      <c r="FR70" s="21">
        <f>EXP(-LN(2)/25)*FR69+(1-EXP(-LN(2)/25))/(LN(2)/25)*Calculateur!FM70*Calculateur!FO70*VLOOKUP('Données projet'!$B$16,Paramètres!$A$1:$I$89,3,0)*0.475*44/12</f>
        <v>1.5806145944490859</v>
      </c>
      <c r="FS70" s="21">
        <f>EXP(-LN(2)/2)*FS69+(1-EXP(-LN(2)/2))/(LN(2)/2)*FM70*FP70*VLOOKUP('Données projet'!$B$16,Paramètres!$A$1:$I$89,3,0)*0.475*44/12</f>
        <v>2.264662498954186E-5</v>
      </c>
      <c r="FT70" s="22">
        <f t="shared" si="78"/>
        <v>2.6442952977319565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4.0999999999999996</v>
      </c>
      <c r="FZ70" s="12">
        <f>IF('Données projet'!$A$244&gt;35,FZ69+FY70-GH69,IF(A70&lt;'Données projet'!$A$244,$FW$205^A70,IF(A70='Données projet'!$A$244,'Données projet'!$B$244,FZ69+FY70-GH69)))</f>
        <v>261.69999999999976</v>
      </c>
      <c r="GA70" s="17">
        <f>FZ70*VLOOKUP('Données projet'!$B$17,Paramètres!$A$1:$I$89,3,0)*VLOOKUP('Données projet'!$B$17,Paramètres!$A$1:$I$89,5,0)</f>
        <v>208.20851999999979</v>
      </c>
      <c r="GB70" s="13">
        <f t="shared" si="103"/>
        <v>51.543907255547111</v>
      </c>
      <c r="GC70" s="20">
        <f t="shared" si="79"/>
        <v>452.40214413674408</v>
      </c>
      <c r="GD70" s="59">
        <f t="shared" si="80"/>
        <v>745.7354774700774</v>
      </c>
      <c r="GE70" s="59">
        <f ca="1">AVERAGE(OFFSET($GD$3,0,0,'Données projet'!$E$17+1,1))-AVERAGE(OFFSET($H$3,0,0,'Données projet'!$E$17+1,1))</f>
        <v>199.58763537752952</v>
      </c>
      <c r="GF70" s="59">
        <f t="shared" si="104"/>
        <v>242.62852778451929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3.686332018384086</v>
      </c>
      <c r="GN70" s="21">
        <f>EXP(-LN(2)/2)*GN69+(1-EXP(-LN(2)/2))/(LN(2)/2)*GH70*GK70*VLOOKUP('Données projet'!$B$17,Paramètres!$A$1:$I$89,3,0)*0.475*44/12</f>
        <v>2.9028209365772339E-5</v>
      </c>
      <c r="GO70" s="21">
        <f t="shared" si="81"/>
        <v>3.6863610465934515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5.6899038461538431</v>
      </c>
      <c r="N71" s="13">
        <f>IF('Données projet'!$A$36&gt;35,N70+M71-V70,IF(A71&lt;'Données projet'!$A$36,$K$205^A71,IF(A71='Données projet'!$A$36,'Données projet'!$B$36,N70+M71-V70)))</f>
        <v>141.55528846153845</v>
      </c>
      <c r="O71" s="13">
        <f>N71*VLOOKUP('Données projet'!$B$9,Paramètres!$A$1:$I$89,3,0)*VLOOKUP('Données projet'!$B$9,Paramètres!$A$1:$I$89,5,0)</f>
        <v>128.07922499999998</v>
      </c>
      <c r="P71" s="13">
        <f t="shared" si="87"/>
        <v>33.552140849481908</v>
      </c>
      <c r="Q71" s="20">
        <f t="shared" si="54"/>
        <v>281.50796218784762</v>
      </c>
      <c r="R71" s="59">
        <f t="shared" si="55"/>
        <v>574.84129552118088</v>
      </c>
      <c r="S71" s="59">
        <f ca="1">AVERAGE(OFFSET($R$3,0,0,'Données projet'!$E$9+1,1))-AVERAGE(OFFSET($H$3,0,0,'Données projet'!$E$9+1,1))</f>
        <v>153.45079678708987</v>
      </c>
      <c r="T71" s="59">
        <f t="shared" si="88"/>
        <v>115.4217868409637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143.53706249999999</v>
      </c>
      <c r="AK71" s="13">
        <f t="shared" si="89"/>
        <v>37.106116440776098</v>
      </c>
      <c r="AL71" s="20">
        <f t="shared" si="58"/>
        <v>314.62020332185165</v>
      </c>
      <c r="AM71" s="59">
        <f t="shared" si="59"/>
        <v>607.95353665518496</v>
      </c>
      <c r="AN71" s="59">
        <f ca="1">AVERAGE(OFFSET($AM$3,0,0,'Données projet'!$E$10+1,1))-AVERAGE(OFFSET($H$3,0,0,'Données projet'!$E$10+1,1))</f>
        <v>190.21499310415584</v>
      </c>
      <c r="AO71" s="59">
        <f t="shared" si="90"/>
        <v>136.15730566500173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14.1</v>
      </c>
      <c r="BD71" s="12">
        <f>IF('Données projet'!$A$88&gt;35,BD70+BC71-BL70,IF(A71&lt;'Données projet'!$A$88,$BA$205^A71,IF(A71='Données projet'!$A$88,'Données projet'!$B$88,BD70+BC71-BL70)))</f>
        <v>469.80000000000024</v>
      </c>
      <c r="BE71" s="13">
        <f>BD71*VLOOKUP('Données projet'!$B$11,Paramètres!$A$1:$I$89,3,0)*VLOOKUP('Données projet'!$B$11,Paramètres!$A$1:$I$89,5,0)</f>
        <v>280.94040000000018</v>
      </c>
      <c r="BF71" s="13">
        <f t="shared" si="91"/>
        <v>67.165703636653262</v>
      </c>
      <c r="BG71" s="20">
        <f t="shared" si="61"/>
        <v>606.2847971671714</v>
      </c>
      <c r="BH71" s="59">
        <f t="shared" si="62"/>
        <v>899.61813050050478</v>
      </c>
      <c r="BI71" s="59">
        <f ca="1">AVERAGE(OFFSET($BH$3,0,0,'Données projet'!$E$11+1,1))-AVERAGE(OFFSET($H$3,0,0,'Données projet'!$E$11+1,1))</f>
        <v>270.30888762640245</v>
      </c>
      <c r="BJ71" s="59">
        <f t="shared" si="92"/>
        <v>202.23783851977691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1.0091616492911364</v>
      </c>
      <c r="BQ71" s="21">
        <f>EXP(-LN(2)/25)*BQ70+(1-EXP(-LN(2)/25))/(LN(2)/25)*Calculateur!BL71*Calculateur!BN71*VLOOKUP('Données projet'!$B$11,Paramètres!$A$1:$I$89,3,0)*0.475*44/12</f>
        <v>4.2871659311731314</v>
      </c>
      <c r="BR71" s="21">
        <f>EXP(-LN(2)/2)*BR70+(1-EXP(-LN(2)/2))/(LN(2)/2)*BL71*BO71*VLOOKUP('Données projet'!$B$11,Paramètres!$A$1:$I$89,3,0)*0.475*44/12</f>
        <v>3.5271851704526108E-5</v>
      </c>
      <c r="BS71" s="22">
        <f t="shared" si="63"/>
        <v>5.2963628523159718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14.1</v>
      </c>
      <c r="BY71" s="12">
        <f>IF('Données projet'!$A$114&gt;35,BY70+BX71-CG70,IF(A71&lt;'Données projet'!$A$114,$BV$205^A71,IF(A71='Données projet'!$A$114,'Données projet'!$B$114,BY70+BX71-CG70)))</f>
        <v>469.80000000000024</v>
      </c>
      <c r="BZ71" s="13">
        <f>BY71*VLOOKUP('Données projet'!$B$12,Paramètres!$A$1:$I$89,3,0)*VLOOKUP('Données projet'!$B$12,Paramètres!$A$1:$I$89,5,0)</f>
        <v>280.94040000000018</v>
      </c>
      <c r="CA71" s="13">
        <f t="shared" si="93"/>
        <v>67.165703636653262</v>
      </c>
      <c r="CB71" s="20">
        <f t="shared" si="64"/>
        <v>606.2847971671714</v>
      </c>
      <c r="CC71" s="59">
        <f t="shared" si="65"/>
        <v>899.61813050050478</v>
      </c>
      <c r="CD71" s="59">
        <f ca="1">AVERAGE(OFFSET($CC$3,0,0,'Données projet'!$E$12+1,1))-AVERAGE(OFFSET($H$3,0,0,'Données projet'!$E$12+1,1))</f>
        <v>270.30888762640245</v>
      </c>
      <c r="CE71" s="59">
        <f t="shared" si="94"/>
        <v>202.23783851977691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1.0091616492911364</v>
      </c>
      <c r="CL71" s="21">
        <f>EXP(-LN(2)/25)*CL70+(1-EXP(-LN(2)/25))/(LN(2)/25)*Calculateur!CG71*Calculateur!CI71*VLOOKUP('Données projet'!$B$12,Paramètres!$A$1:$I$89,3,0)*0.475*44/12</f>
        <v>4.2871659311731314</v>
      </c>
      <c r="CM71" s="21">
        <f>EXP(-LN(2)/2)*CM70+(1-EXP(-LN(2)/2))/(LN(2)/2)*CG71*CJ71*VLOOKUP('Données projet'!$B$12,Paramètres!$A$1:$I$89,3,0)*0.475*44/12</f>
        <v>3.5271851704526108E-5</v>
      </c>
      <c r="CN71" s="22">
        <f t="shared" si="66"/>
        <v>5.2963628523159718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13.737499999999997</v>
      </c>
      <c r="CT71" s="12">
        <f>IF('Données projet'!$A$140&gt;35,CT70+CS71-DB70,IF(A71&lt;'Données projet'!$A$140,$CQ$205^A71,IF(A71='Données projet'!$A$140,'Données projet'!$B$140,CT70+CS71-DB70)))</f>
        <v>372.74134615384617</v>
      </c>
      <c r="CU71" s="17">
        <f>CT71*VLOOKUP('Données projet'!$B$13,Paramètres!$A$1:$I$89,3,0)*VLOOKUP('Données projet'!$B$13,Paramètres!$A$1:$I$89,5,0)</f>
        <v>174.44295000000002</v>
      </c>
      <c r="CV71" s="13">
        <f t="shared" si="95"/>
        <v>44.083597545116064</v>
      </c>
      <c r="CW71" s="20">
        <f t="shared" si="67"/>
        <v>380.60040364107721</v>
      </c>
      <c r="CX71" s="59">
        <f t="shared" si="68"/>
        <v>673.93373697441052</v>
      </c>
      <c r="CY71" s="59">
        <f ca="1">AVERAGE(OFFSET($CX$3,0,0,'Données projet'!$E$13+1,1))-AVERAGE(OFFSET($H$3,0,0,'Données projet'!$E$13+1,1))</f>
        <v>158.58786357608489</v>
      </c>
      <c r="CZ71" s="59">
        <f t="shared" si="96"/>
        <v>163.20074068819849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4.0999999999999996</v>
      </c>
      <c r="DO71" s="12">
        <f>IF('Données projet'!$A$166&gt;35,DO70+DN71-DW70,IF(A71&lt;'Données projet'!$A$166,$DL$205^A71,IF(A71='Données projet'!$A$166,'Données projet'!$B$166,DO70+DN71-DW70)))</f>
        <v>265.79999999999978</v>
      </c>
      <c r="DP71" s="17">
        <f>DO71*VLOOKUP('Données projet'!$B$14,Paramètres!$A$1:$I$89,3,0)*VLOOKUP('Données projet'!$B$14,Paramètres!$A$1:$I$89,5,0)</f>
        <v>178.29863999999986</v>
      </c>
      <c r="DQ71" s="13">
        <f t="shared" si="97"/>
        <v>44.943455949194529</v>
      </c>
      <c r="DR71" s="20">
        <f t="shared" si="70"/>
        <v>388.81331711151353</v>
      </c>
      <c r="DS71" s="59">
        <f t="shared" si="71"/>
        <v>682.14665044484684</v>
      </c>
      <c r="DT71" s="59">
        <f ca="1">AVERAGE(OFFSET($DS$3,0,0,'Données projet'!$E$14+1,1))-AVERAGE(OFFSET($H$3,0,0,'Données projet'!$E$14+1,1))</f>
        <v>156.63226020379989</v>
      </c>
      <c r="DU71" s="59">
        <f t="shared" si="98"/>
        <v>196.0481096619543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3.0230931420760938</v>
      </c>
      <c r="EC71" s="21">
        <f>EXP(-LN(2)/2)*EC70+(1-EXP(-LN(2)/2))/(LN(2)/2)*DW71*DZ71*VLOOKUP('Données projet'!$B$14,Paramètres!$A$1:$I$89,3,0)*0.475*44/12</f>
        <v>1.7306272129300773E-5</v>
      </c>
      <c r="ED71" s="22">
        <f t="shared" si="72"/>
        <v>3.023110448348223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5.6899038461538431</v>
      </c>
      <c r="EJ71" s="12">
        <f>IF('Données projet'!$A$192&gt;35,EJ70+EI71-ER70,IF(A71&lt;'Données projet'!$A$192,$EG$205^A71,IF(A71='Données projet'!$A$192,'Données projet'!$B$192,EJ70+EI71-ER70)))</f>
        <v>141.55528846153845</v>
      </c>
      <c r="EK71" s="17">
        <f>EJ71*VLOOKUP('Données projet'!$B$15,Paramètres!$A$1:$I$89,3,0)*VLOOKUP('Données projet'!$B$15,Paramètres!$A$1:$I$89,5,0)</f>
        <v>152.3701125</v>
      </c>
      <c r="EL71" s="13">
        <f t="shared" si="99"/>
        <v>39.116709765867299</v>
      </c>
      <c r="EM71" s="20">
        <f t="shared" si="73"/>
        <v>333.50621544638557</v>
      </c>
      <c r="EN71" s="59">
        <f t="shared" si="74"/>
        <v>626.83954877971883</v>
      </c>
      <c r="EO71" s="59">
        <f ca="1">AVERAGE(OFFSET($EN$3,0,0,'Données projet'!$E$15+1,1))-AVERAGE(OFFSET($H$3,0,0,'Données projet'!$E$15+1,1))</f>
        <v>211.18501783767226</v>
      </c>
      <c r="EP71" s="59">
        <f t="shared" si="100"/>
        <v>147.98306963466246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13</v>
      </c>
      <c r="FE71" s="12">
        <f>IF('Données projet'!$A$218&gt;35,FE70+FD71-FM70,IF(A71&lt;'Données projet'!$A$218,$FB$205^A71,IF(A71='Données projet'!$A$218,'Données projet'!$B$218,FE70+FD71-FM70)))</f>
        <v>396.99999999999966</v>
      </c>
      <c r="FF71" s="17">
        <f>FE71*VLOOKUP('Données projet'!$B$16,Paramètres!$A$1:$I$89,3,0)*VLOOKUP('Données projet'!$B$16,Paramètres!$A$1:$I$89,5,0)</f>
        <v>237.40599999999984</v>
      </c>
      <c r="FG71" s="13">
        <f t="shared" si="101"/>
        <v>57.881066248213493</v>
      </c>
      <c r="FH71" s="20">
        <f t="shared" si="76"/>
        <v>514.29164038230488</v>
      </c>
      <c r="FI71" s="59">
        <f t="shared" si="77"/>
        <v>807.62497371563813</v>
      </c>
      <c r="FJ71" s="59">
        <f ca="1">AVERAGE(OFFSET($FI$3,0,0,'Données projet'!$E$16+1,1))-AVERAGE(OFFSET($H$3,0,0,'Données projet'!$E$16+1,1))</f>
        <v>232.26937455765062</v>
      </c>
      <c r="FK71" s="59">
        <f t="shared" si="102"/>
        <v>115.80853281120301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1.0428003709341742</v>
      </c>
      <c r="FR71" s="21">
        <f>EXP(-LN(2)/25)*FR70+(1-EXP(-LN(2)/25))/(LN(2)/25)*Calculateur!FM71*Calculateur!FO71*VLOOKUP('Données projet'!$B$16,Paramètres!$A$1:$I$89,3,0)*0.475*44/12</f>
        <v>1.5373926052429667</v>
      </c>
      <c r="FS71" s="21">
        <f>EXP(-LN(2)/2)*FS70+(1-EXP(-LN(2)/2))/(LN(2)/2)*FM71*FP71*VLOOKUP('Données projet'!$B$16,Paramètres!$A$1:$I$89,3,0)*0.475*44/12</f>
        <v>1.6013582101093775E-5</v>
      </c>
      <c r="FT71" s="22">
        <f t="shared" si="78"/>
        <v>2.5802089897592424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4.0999999999999996</v>
      </c>
      <c r="FZ71" s="12">
        <f>IF('Données projet'!$A$244&gt;35,FZ70+FY71-GH70,IF(A71&lt;'Données projet'!$A$244,$FW$205^A71,IF(A71='Données projet'!$A$244,'Données projet'!$B$244,FZ70+FY71-GH70)))</f>
        <v>265.79999999999978</v>
      </c>
      <c r="GA71" s="17">
        <f>FZ71*VLOOKUP('Données projet'!$B$17,Paramètres!$A$1:$I$89,3,0)*VLOOKUP('Données projet'!$B$17,Paramètres!$A$1:$I$89,5,0)</f>
        <v>211.47047999999981</v>
      </c>
      <c r="GB71" s="13">
        <f t="shared" si="103"/>
        <v>52.256791959630746</v>
      </c>
      <c r="GC71" s="20">
        <f t="shared" si="79"/>
        <v>459.32499866302322</v>
      </c>
      <c r="GD71" s="59">
        <f t="shared" si="80"/>
        <v>752.65833199635654</v>
      </c>
      <c r="GE71" s="59">
        <f ca="1">AVERAGE(OFFSET($GD$3,0,0,'Données projet'!$E$17+1,1))-AVERAGE(OFFSET($H$3,0,0,'Données projet'!$E$17+1,1))</f>
        <v>199.58763537752952</v>
      </c>
      <c r="GF71" s="59">
        <f t="shared" si="104"/>
        <v>242.62852778451929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3.5855290754855975</v>
      </c>
      <c r="GN71" s="21">
        <f>EXP(-LN(2)/2)*GN70+(1-EXP(-LN(2)/2))/(LN(2)/2)*GH71*GK71*VLOOKUP('Données projet'!$B$17,Paramètres!$A$1:$I$89,3,0)*0.475*44/12</f>
        <v>2.0526043688240471E-5</v>
      </c>
      <c r="GO71" s="21">
        <f t="shared" si="81"/>
        <v>3.5855496015292858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5.6899038461538431</v>
      </c>
      <c r="N72" s="13">
        <f>IF('Données projet'!$A$36&gt;35,N71+M72-V71,IF(A72&lt;'Données projet'!$A$36,$K$205^A72,IF(A72='Données projet'!$A$36,'Données projet'!$B$36,N71+M72-V71)))</f>
        <v>147.24519230769229</v>
      </c>
      <c r="O72" s="13">
        <f>N72*VLOOKUP('Données projet'!$B$9,Paramètres!$A$1:$I$89,3,0)*VLOOKUP('Données projet'!$B$9,Paramètres!$A$1:$I$89,5,0)</f>
        <v>133.22744999999998</v>
      </c>
      <c r="P72" s="13">
        <f t="shared" si="87"/>
        <v>34.741060528773644</v>
      </c>
      <c r="Q72" s="20">
        <f t="shared" si="54"/>
        <v>292.545155837614</v>
      </c>
      <c r="R72" s="59">
        <f t="shared" si="55"/>
        <v>585.87848917094732</v>
      </c>
      <c r="S72" s="59">
        <f ca="1">AVERAGE(OFFSET($R$3,0,0,'Données projet'!$E$9+1,1))-AVERAGE(OFFSET($H$3,0,0,'Données projet'!$E$9+1,1))</f>
        <v>153.45079678708987</v>
      </c>
      <c r="T72" s="59">
        <f t="shared" si="88"/>
        <v>115.4217868409637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149.306625</v>
      </c>
      <c r="AK72" s="13">
        <f t="shared" si="89"/>
        <v>38.420971199416954</v>
      </c>
      <c r="AL72" s="20">
        <f t="shared" si="58"/>
        <v>326.95889671398453</v>
      </c>
      <c r="AM72" s="59">
        <f t="shared" si="59"/>
        <v>620.29223004731784</v>
      </c>
      <c r="AN72" s="59">
        <f ca="1">AVERAGE(OFFSET($AM$3,0,0,'Données projet'!$E$10+1,1))-AVERAGE(OFFSET($H$3,0,0,'Données projet'!$E$10+1,1))</f>
        <v>190.21499310415584</v>
      </c>
      <c r="AO72" s="59">
        <f t="shared" si="90"/>
        <v>136.15730566500173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14.1</v>
      </c>
      <c r="BD72" s="12">
        <f>IF('Données projet'!$A$88&gt;35,BD71+BC72-BL71,IF(A72&lt;'Données projet'!$A$88,$BA$205^A72,IF(A72='Données projet'!$A$88,'Données projet'!$B$88,BD71+BC72-BL71)))</f>
        <v>483.90000000000026</v>
      </c>
      <c r="BE72" s="13">
        <f>BD72*VLOOKUP('Données projet'!$B$11,Paramètres!$A$1:$I$89,3,0)*VLOOKUP('Données projet'!$B$11,Paramètres!$A$1:$I$89,5,0)</f>
        <v>289.37220000000019</v>
      </c>
      <c r="BF72" s="13">
        <f t="shared" si="91"/>
        <v>68.943812992253996</v>
      </c>
      <c r="BG72" s="20">
        <f t="shared" si="61"/>
        <v>624.06705596150925</v>
      </c>
      <c r="BH72" s="59">
        <f t="shared" si="62"/>
        <v>917.40038929484263</v>
      </c>
      <c r="BI72" s="59">
        <f ca="1">AVERAGE(OFFSET($BH$3,0,0,'Données projet'!$E$11+1,1))-AVERAGE(OFFSET($H$3,0,0,'Données projet'!$E$11+1,1))</f>
        <v>270.30888762640245</v>
      </c>
      <c r="BJ72" s="59">
        <f t="shared" si="92"/>
        <v>202.23783851977691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0.98937260487636491</v>
      </c>
      <c r="BQ72" s="21">
        <f>EXP(-LN(2)/25)*BQ71+(1-EXP(-LN(2)/25))/(LN(2)/25)*Calculateur!BL72*Calculateur!BN72*VLOOKUP('Données projet'!$B$11,Paramètres!$A$1:$I$89,3,0)*0.475*44/12</f>
        <v>4.169933153332944</v>
      </c>
      <c r="BR72" s="21">
        <f>EXP(-LN(2)/2)*BR71+(1-EXP(-LN(2)/2))/(LN(2)/2)*BL72*BO72*VLOOKUP('Données projet'!$B$11,Paramètres!$A$1:$I$89,3,0)*0.475*44/12</f>
        <v>2.4940965525276696E-5</v>
      </c>
      <c r="BS72" s="22">
        <f t="shared" si="63"/>
        <v>5.1593306991748333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14.1</v>
      </c>
      <c r="BY72" s="12">
        <f>IF('Données projet'!$A$114&gt;35,BY71+BX72-CG71,IF(A72&lt;'Données projet'!$A$114,$BV$205^A72,IF(A72='Données projet'!$A$114,'Données projet'!$B$114,BY71+BX72-CG71)))</f>
        <v>483.90000000000026</v>
      </c>
      <c r="BZ72" s="13">
        <f>BY72*VLOOKUP('Données projet'!$B$12,Paramètres!$A$1:$I$89,3,0)*VLOOKUP('Données projet'!$B$12,Paramètres!$A$1:$I$89,5,0)</f>
        <v>289.37220000000019</v>
      </c>
      <c r="CA72" s="13">
        <f t="shared" si="93"/>
        <v>68.943812992253996</v>
      </c>
      <c r="CB72" s="20">
        <f t="shared" si="64"/>
        <v>624.06705596150925</v>
      </c>
      <c r="CC72" s="59">
        <f t="shared" si="65"/>
        <v>917.40038929484263</v>
      </c>
      <c r="CD72" s="59">
        <f ca="1">AVERAGE(OFFSET($CC$3,0,0,'Données projet'!$E$12+1,1))-AVERAGE(OFFSET($H$3,0,0,'Données projet'!$E$12+1,1))</f>
        <v>270.30888762640245</v>
      </c>
      <c r="CE72" s="59">
        <f t="shared" si="94"/>
        <v>202.23783851977691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0.98937260487636491</v>
      </c>
      <c r="CL72" s="21">
        <f>EXP(-LN(2)/25)*CL71+(1-EXP(-LN(2)/25))/(LN(2)/25)*Calculateur!CG72*Calculateur!CI72*VLOOKUP('Données projet'!$B$12,Paramètres!$A$1:$I$89,3,0)*0.475*44/12</f>
        <v>4.169933153332944</v>
      </c>
      <c r="CM72" s="21">
        <f>EXP(-LN(2)/2)*CM71+(1-EXP(-LN(2)/2))/(LN(2)/2)*CG72*CJ72*VLOOKUP('Données projet'!$B$12,Paramètres!$A$1:$I$89,3,0)*0.475*44/12</f>
        <v>2.4940965525276696E-5</v>
      </c>
      <c r="CN72" s="22">
        <f t="shared" si="66"/>
        <v>5.1593306991748333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13.737499999999997</v>
      </c>
      <c r="CT72" s="12">
        <f>IF('Données projet'!$A$140&gt;35,CT71+CS72-DB71,IF(A72&lt;'Données projet'!$A$140,$CQ$205^A72,IF(A72='Données projet'!$A$140,'Données projet'!$B$140,CT71+CS72-DB71)))</f>
        <v>386.47884615384618</v>
      </c>
      <c r="CU72" s="17">
        <f>CT72*VLOOKUP('Données projet'!$B$13,Paramètres!$A$1:$I$89,3,0)*VLOOKUP('Données projet'!$B$13,Paramètres!$A$1:$I$89,5,0)</f>
        <v>180.87209999999999</v>
      </c>
      <c r="CV72" s="13">
        <f t="shared" si="95"/>
        <v>45.516157736157588</v>
      </c>
      <c r="CW72" s="20">
        <f t="shared" si="67"/>
        <v>394.29288222380774</v>
      </c>
      <c r="CX72" s="59">
        <f t="shared" si="68"/>
        <v>687.62621555714099</v>
      </c>
      <c r="CY72" s="59">
        <f ca="1">AVERAGE(OFFSET($CX$3,0,0,'Données projet'!$E$13+1,1))-AVERAGE(OFFSET($H$3,0,0,'Données projet'!$E$13+1,1))</f>
        <v>158.58786357608489</v>
      </c>
      <c r="CZ72" s="59">
        <f t="shared" si="96"/>
        <v>163.20074068819849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4.0999999999999996</v>
      </c>
      <c r="DO72" s="12">
        <f>IF('Données projet'!$A$166&gt;35,DO71+DN72-DW71,IF(A72&lt;'Données projet'!$A$166,$DL$205^A72,IF(A72='Données projet'!$A$166,'Données projet'!$B$166,DO71+DN72-DW71)))</f>
        <v>269.89999999999981</v>
      </c>
      <c r="DP72" s="17">
        <f>DO72*VLOOKUP('Données projet'!$B$14,Paramètres!$A$1:$I$89,3,0)*VLOOKUP('Données projet'!$B$14,Paramètres!$A$1:$I$89,5,0)</f>
        <v>181.04891999999987</v>
      </c>
      <c r="DQ72" s="13">
        <f t="shared" si="97"/>
        <v>45.55547256641065</v>
      </c>
      <c r="DR72" s="20">
        <f t="shared" si="70"/>
        <v>394.669317053165</v>
      </c>
      <c r="DS72" s="59">
        <f t="shared" si="71"/>
        <v>688.00265038649832</v>
      </c>
      <c r="DT72" s="59">
        <f ca="1">AVERAGE(OFFSET($DS$3,0,0,'Données projet'!$E$14+1,1))-AVERAGE(OFFSET($H$3,0,0,'Données projet'!$E$14+1,1))</f>
        <v>156.63226020379989</v>
      </c>
      <c r="DU72" s="59">
        <f t="shared" si="98"/>
        <v>196.0481096619543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2.940426501128464</v>
      </c>
      <c r="EC72" s="21">
        <f>EXP(-LN(2)/2)*EC71+(1-EXP(-LN(2)/2))/(LN(2)/2)*DW72*DZ72*VLOOKUP('Données projet'!$B$14,Paramètres!$A$1:$I$89,3,0)*0.475*44/12</f>
        <v>1.2237382379688327E-5</v>
      </c>
      <c r="ED72" s="22">
        <f t="shared" si="72"/>
        <v>2.9404387385108439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5.6899038461538431</v>
      </c>
      <c r="EJ72" s="12">
        <f>IF('Données projet'!$A$192&gt;35,EJ71+EI72-ER71,IF(A72&lt;'Données projet'!$A$192,$EG$205^A72,IF(A72='Données projet'!$A$192,'Données projet'!$B$192,EJ71+EI72-ER71)))</f>
        <v>147.24519230769229</v>
      </c>
      <c r="EK72" s="17">
        <f>EJ72*VLOOKUP('Données projet'!$B$15,Paramètres!$A$1:$I$89,3,0)*VLOOKUP('Données projet'!$B$15,Paramètres!$A$1:$I$89,5,0)</f>
        <v>158.49472499999999</v>
      </c>
      <c r="EL72" s="13">
        <f t="shared" si="99"/>
        <v>40.502809873112795</v>
      </c>
      <c r="EM72" s="20">
        <f t="shared" si="73"/>
        <v>346.58737323733811</v>
      </c>
      <c r="EN72" s="59">
        <f t="shared" si="74"/>
        <v>639.92070657067143</v>
      </c>
      <c r="EO72" s="59">
        <f ca="1">AVERAGE(OFFSET($EN$3,0,0,'Données projet'!$E$15+1,1))-AVERAGE(OFFSET($H$3,0,0,'Données projet'!$E$15+1,1))</f>
        <v>211.18501783767226</v>
      </c>
      <c r="EP72" s="59">
        <f t="shared" si="100"/>
        <v>147.98306963466246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13</v>
      </c>
      <c r="FE72" s="12">
        <f>IF('Données projet'!$A$218&gt;35,FE71+FD72-FM71,IF(A72&lt;'Données projet'!$A$218,$FB$205^A72,IF(A72='Données projet'!$A$218,'Données projet'!$B$218,FE71+FD72-FM71)))</f>
        <v>409.99999999999966</v>
      </c>
      <c r="FF72" s="17">
        <f>FE72*VLOOKUP('Données projet'!$B$16,Paramètres!$A$1:$I$89,3,0)*VLOOKUP('Données projet'!$B$16,Paramètres!$A$1:$I$89,5,0)</f>
        <v>245.17999999999981</v>
      </c>
      <c r="FG72" s="13">
        <f t="shared" si="101"/>
        <v>59.552643851821436</v>
      </c>
      <c r="FH72" s="20">
        <f t="shared" si="76"/>
        <v>530.74268804192195</v>
      </c>
      <c r="FI72" s="59">
        <f t="shared" si="77"/>
        <v>824.07602137525532</v>
      </c>
      <c r="FJ72" s="59">
        <f ca="1">AVERAGE(OFFSET($FI$3,0,0,'Données projet'!$E$16+1,1))-AVERAGE(OFFSET($H$3,0,0,'Données projet'!$E$16+1,1))</f>
        <v>232.26937455765062</v>
      </c>
      <c r="FK72" s="59">
        <f t="shared" si="102"/>
        <v>115.80853281120301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1.022351691705577</v>
      </c>
      <c r="FR72" s="21">
        <f>EXP(-LN(2)/25)*FR71+(1-EXP(-LN(2)/25))/(LN(2)/25)*Calculateur!FM72*Calculateur!FO72*VLOOKUP('Données projet'!$B$16,Paramètres!$A$1:$I$89,3,0)*0.475*44/12</f>
        <v>1.4953525236046346</v>
      </c>
      <c r="FS72" s="21">
        <f>EXP(-LN(2)/2)*FS71+(1-EXP(-LN(2)/2))/(LN(2)/2)*FM72*FP72*VLOOKUP('Données projet'!$B$16,Paramètres!$A$1:$I$89,3,0)*0.475*44/12</f>
        <v>1.132331249477093E-5</v>
      </c>
      <c r="FT72" s="22">
        <f t="shared" si="78"/>
        <v>2.5177155386227064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4.0999999999999996</v>
      </c>
      <c r="FZ72" s="12">
        <f>IF('Données projet'!$A$244&gt;35,FZ71+FY72-GH71,IF(A72&lt;'Données projet'!$A$244,$FW$205^A72,IF(A72='Données projet'!$A$244,'Données projet'!$B$244,FZ71+FY72-GH71)))</f>
        <v>269.89999999999981</v>
      </c>
      <c r="GA72" s="17">
        <f>FZ72*VLOOKUP('Données projet'!$B$17,Paramètres!$A$1:$I$89,3,0)*VLOOKUP('Données projet'!$B$17,Paramètres!$A$1:$I$89,5,0)</f>
        <v>214.73243999999988</v>
      </c>
      <c r="GB72" s="13">
        <f t="shared" si="103"/>
        <v>52.968397784466582</v>
      </c>
      <c r="GC72" s="20">
        <f t="shared" si="79"/>
        <v>466.24562580794571</v>
      </c>
      <c r="GD72" s="59">
        <f t="shared" si="80"/>
        <v>759.57895914127903</v>
      </c>
      <c r="GE72" s="59">
        <f ca="1">AVERAGE(OFFSET($GD$3,0,0,'Données projet'!$E$17+1,1))-AVERAGE(OFFSET($H$3,0,0,'Données projet'!$E$17+1,1))</f>
        <v>199.58763537752952</v>
      </c>
      <c r="GF72" s="59">
        <f t="shared" si="104"/>
        <v>242.62852778451929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3.4874825943616647</v>
      </c>
      <c r="GN72" s="21">
        <f>EXP(-LN(2)/2)*GN71+(1-EXP(-LN(2)/2))/(LN(2)/2)*GH72*GK72*VLOOKUP('Données projet'!$B$17,Paramètres!$A$1:$I$89,3,0)*0.475*44/12</f>
        <v>1.451410468288617E-5</v>
      </c>
      <c r="GO72" s="21">
        <f t="shared" si="81"/>
        <v>3.4874971084663478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5.6899038461538431</v>
      </c>
      <c r="N73" s="13">
        <f>IF('Données projet'!$A$36&gt;35,N72+M73-V72,IF(A73&lt;'Données projet'!$A$36,$K$205^A73,IF(A73='Données projet'!$A$36,'Données projet'!$B$36,N72+M73-V72)))</f>
        <v>152.93509615384613</v>
      </c>
      <c r="O73" s="13">
        <f>N73*VLOOKUP('Données projet'!$B$9,Paramètres!$A$1:$I$89,3,0)*VLOOKUP('Données projet'!$B$9,Paramètres!$A$1:$I$89,5,0)</f>
        <v>138.37567499999997</v>
      </c>
      <c r="P73" s="13">
        <f t="shared" si="87"/>
        <v>35.924643086227974</v>
      </c>
      <c r="Q73" s="20">
        <f t="shared" si="54"/>
        <v>303.57305400018032</v>
      </c>
      <c r="R73" s="59">
        <f t="shared" si="55"/>
        <v>596.90638733351363</v>
      </c>
      <c r="S73" s="59">
        <f ca="1">AVERAGE(OFFSET($R$3,0,0,'Données projet'!$E$9+1,1))-AVERAGE(OFFSET($H$3,0,0,'Données projet'!$E$9+1,1))</f>
        <v>153.45079678708987</v>
      </c>
      <c r="T73" s="59">
        <f t="shared" si="88"/>
        <v>115.4217868409637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155.0761875</v>
      </c>
      <c r="AK73" s="13">
        <f t="shared" si="89"/>
        <v>39.729923507145784</v>
      </c>
      <c r="AL73" s="20">
        <f t="shared" si="58"/>
        <v>339.28731000411216</v>
      </c>
      <c r="AM73" s="59">
        <f t="shared" si="59"/>
        <v>632.62064333744547</v>
      </c>
      <c r="AN73" s="59">
        <f ca="1">AVERAGE(OFFSET($AM$3,0,0,'Données projet'!$E$10+1,1))-AVERAGE(OFFSET($H$3,0,0,'Données projet'!$E$10+1,1))</f>
        <v>190.21499310415584</v>
      </c>
      <c r="AO73" s="59">
        <f t="shared" si="90"/>
        <v>136.15730566500173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498</v>
      </c>
      <c r="BB73" s="12">
        <f>VLOOKUP(A73,'Données projet'!$A$87:$I$107,9,0)</f>
        <v>14.1</v>
      </c>
      <c r="BC73" s="12">
        <f t="array" ref="BC73">INDEX(BB:BB,MIN(IF(ISNUMBER(BB73:BB269),ROW(BB73:BB269),"")))</f>
        <v>14.1</v>
      </c>
      <c r="BD73" s="12">
        <f>IF('Données projet'!$A$88&gt;35,BD72+BC73-BL72,IF(A73&lt;'Données projet'!$A$88,$BA$205^A73,IF(A73='Données projet'!$A$88,'Données projet'!$B$88,BD72+BC73-BL72)))</f>
        <v>498.00000000000028</v>
      </c>
      <c r="BE73" s="13">
        <f>BD73*VLOOKUP('Données projet'!$B$11,Paramètres!$A$1:$I$89,3,0)*VLOOKUP('Données projet'!$B$11,Paramètres!$A$1:$I$89,5,0)</f>
        <v>297.8040000000002</v>
      </c>
      <c r="BF73" s="13">
        <f t="shared" si="91"/>
        <v>70.715900863123025</v>
      </c>
      <c r="BG73" s="20">
        <f t="shared" si="61"/>
        <v>641.8388273366063</v>
      </c>
      <c r="BH73" s="59">
        <f t="shared" si="62"/>
        <v>935.17216066993956</v>
      </c>
      <c r="BI73" s="59">
        <f ca="1">AVERAGE(OFFSET($BH$3,0,0,'Données projet'!$E$11+1,1))-AVERAGE(OFFSET($H$3,0,0,'Données projet'!$E$11+1,1))</f>
        <v>270.30888762640245</v>
      </c>
      <c r="BJ73" s="59">
        <f t="shared" si="92"/>
        <v>202.23783851977691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0.96997161155244183</v>
      </c>
      <c r="BQ73" s="21">
        <f>EXP(-LN(2)/25)*BQ72+(1-EXP(-LN(2)/25))/(LN(2)/25)*Calculateur!BL73*Calculateur!BN73*VLOOKUP('Données projet'!$B$11,Paramètres!$A$1:$I$89,3,0)*0.475*44/12</f>
        <v>4.0559061119678006</v>
      </c>
      <c r="BR73" s="21">
        <f>EXP(-LN(2)/2)*BR72+(1-EXP(-LN(2)/2))/(LN(2)/2)*BL73*BO73*VLOOKUP('Données projet'!$B$11,Paramètres!$A$1:$I$89,3,0)*0.475*44/12</f>
        <v>1.7635925852263054E-5</v>
      </c>
      <c r="BS73" s="22">
        <f t="shared" si="63"/>
        <v>5.0258953594460944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498</v>
      </c>
      <c r="BW73" s="12">
        <f>VLOOKUP(A73,'Données projet'!$A$113:$I$133,9,0)</f>
        <v>14.1</v>
      </c>
      <c r="BX73" s="12">
        <f t="array" ref="BX73">INDEX(BW:BW,MIN(IF(ISNUMBER(BW73:BW269),ROW(BW73:BW269),"")))</f>
        <v>14.1</v>
      </c>
      <c r="BY73" s="12">
        <f>IF('Données projet'!$A$114&gt;35,BY72+BX73-CG72,IF(A73&lt;'Données projet'!$A$114,$BV$205^A73,IF(A73='Données projet'!$A$114,'Données projet'!$B$114,BY72+BX73-CG72)))</f>
        <v>498.00000000000028</v>
      </c>
      <c r="BZ73" s="13">
        <f>BY73*VLOOKUP('Données projet'!$B$12,Paramètres!$A$1:$I$89,3,0)*VLOOKUP('Données projet'!$B$12,Paramètres!$A$1:$I$89,5,0)</f>
        <v>297.8040000000002</v>
      </c>
      <c r="CA73" s="13">
        <f t="shared" si="93"/>
        <v>70.715900863123025</v>
      </c>
      <c r="CB73" s="20">
        <f t="shared" si="64"/>
        <v>641.8388273366063</v>
      </c>
      <c r="CC73" s="59">
        <f t="shared" si="65"/>
        <v>935.17216066993956</v>
      </c>
      <c r="CD73" s="59">
        <f ca="1">AVERAGE(OFFSET($CC$3,0,0,'Données projet'!$E$12+1,1))-AVERAGE(OFFSET($H$3,0,0,'Données projet'!$E$12+1,1))</f>
        <v>270.30888762640245</v>
      </c>
      <c r="CE73" s="59">
        <f t="shared" si="94"/>
        <v>202.23783851977691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0.96997161155244183</v>
      </c>
      <c r="CL73" s="21">
        <f>EXP(-LN(2)/25)*CL72+(1-EXP(-LN(2)/25))/(LN(2)/25)*Calculateur!CG73*Calculateur!CI73*VLOOKUP('Données projet'!$B$12,Paramètres!$A$1:$I$89,3,0)*0.475*44/12</f>
        <v>4.0559061119678006</v>
      </c>
      <c r="CM73" s="21">
        <f>EXP(-LN(2)/2)*CM72+(1-EXP(-LN(2)/2))/(LN(2)/2)*CG73*CJ73*VLOOKUP('Données projet'!$B$12,Paramètres!$A$1:$I$89,3,0)*0.475*44/12</f>
        <v>1.7635925852263054E-5</v>
      </c>
      <c r="CN73" s="22">
        <f t="shared" si="66"/>
        <v>5.0258953594460944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13.737499999999997</v>
      </c>
      <c r="CT73" s="12">
        <f>IF('Données projet'!$A$140&gt;35,CT72+CS73-DB72,IF(A73&lt;'Données projet'!$A$140,$CQ$205^A73,IF(A73='Données projet'!$A$140,'Données projet'!$B$140,CT72+CS73-DB72)))</f>
        <v>400.21634615384619</v>
      </c>
      <c r="CU73" s="17">
        <f>CT73*VLOOKUP('Données projet'!$B$13,Paramètres!$A$1:$I$89,3,0)*VLOOKUP('Données projet'!$B$13,Paramètres!$A$1:$I$89,5,0)</f>
        <v>187.30125000000001</v>
      </c>
      <c r="CV73" s="13">
        <f t="shared" si="95"/>
        <v>46.942801679870392</v>
      </c>
      <c r="CW73" s="20">
        <f t="shared" si="67"/>
        <v>407.97505667577428</v>
      </c>
      <c r="CX73" s="59">
        <f t="shared" si="68"/>
        <v>701.3083900091076</v>
      </c>
      <c r="CY73" s="59">
        <f ca="1">AVERAGE(OFFSET($CX$3,0,0,'Données projet'!$E$13+1,1))-AVERAGE(OFFSET($H$3,0,0,'Données projet'!$E$13+1,1))</f>
        <v>158.58786357608489</v>
      </c>
      <c r="CZ73" s="59">
        <f t="shared" si="96"/>
        <v>163.20074068819849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274</v>
      </c>
      <c r="DM73" s="12">
        <f>VLOOKUP(A73,'Données projet'!$A$165:$I$185,9,0)</f>
        <v>4.0999999999999996</v>
      </c>
      <c r="DN73" s="12">
        <f t="array" ref="DN73">INDEX(DM:DM,MIN(IF(ISNUMBER(DM73:DM269),ROW(DM73:DM269),"")))</f>
        <v>4.0999999999999996</v>
      </c>
      <c r="DO73" s="12">
        <f>IF('Données projet'!$A$166&gt;35,DO72+DN73-DW72,IF(A73&lt;'Données projet'!$A$166,$DL$205^A73,IF(A73='Données projet'!$A$166,'Données projet'!$B$166,DO72+DN73-DW72)))</f>
        <v>273.99999999999983</v>
      </c>
      <c r="DP73" s="17">
        <f>DO73*VLOOKUP('Données projet'!$B$14,Paramètres!$A$1:$I$89,3,0)*VLOOKUP('Données projet'!$B$14,Paramètres!$A$1:$I$89,5,0)</f>
        <v>183.79919999999987</v>
      </c>
      <c r="DQ73" s="13">
        <f t="shared" si="97"/>
        <v>46.166407921672452</v>
      </c>
      <c r="DR73" s="20">
        <f t="shared" si="70"/>
        <v>400.52343379691257</v>
      </c>
      <c r="DS73" s="59">
        <f t="shared" si="71"/>
        <v>693.85676713024588</v>
      </c>
      <c r="DT73" s="59">
        <f ca="1">AVERAGE(OFFSET($DS$3,0,0,'Données projet'!$E$14+1,1))-AVERAGE(OFFSET($H$3,0,0,'Données projet'!$E$14+1,1))</f>
        <v>156.63226020379989</v>
      </c>
      <c r="DU73" s="59">
        <f t="shared" si="98"/>
        <v>196.0481096619543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2.8600203838247968</v>
      </c>
      <c r="EC73" s="21">
        <f>EXP(-LN(2)/2)*EC72+(1-EXP(-LN(2)/2))/(LN(2)/2)*DW73*DZ73*VLOOKUP('Données projet'!$B$14,Paramètres!$A$1:$I$89,3,0)*0.475*44/12</f>
        <v>8.6531360646503864E-6</v>
      </c>
      <c r="ED73" s="22">
        <f t="shared" si="72"/>
        <v>2.8600290369608614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5.6899038461538431</v>
      </c>
      <c r="EJ73" s="12">
        <f>IF('Données projet'!$A$192&gt;35,EJ72+EI73-ER72,IF(A73&lt;'Données projet'!$A$192,$EG$205^A73,IF(A73='Données projet'!$A$192,'Données projet'!$B$192,EJ72+EI73-ER72)))</f>
        <v>152.93509615384613</v>
      </c>
      <c r="EK73" s="17">
        <f>EJ73*VLOOKUP('Données projet'!$B$15,Paramètres!$A$1:$I$89,3,0)*VLOOKUP('Données projet'!$B$15,Paramètres!$A$1:$I$89,5,0)</f>
        <v>164.61933749999997</v>
      </c>
      <c r="EL73" s="13">
        <f t="shared" si="99"/>
        <v>41.882687705397203</v>
      </c>
      <c r="EM73" s="20">
        <f t="shared" si="73"/>
        <v>359.65769389940004</v>
      </c>
      <c r="EN73" s="59">
        <f t="shared" si="74"/>
        <v>652.99102723273336</v>
      </c>
      <c r="EO73" s="59">
        <f ca="1">AVERAGE(OFFSET($EN$3,0,0,'Données projet'!$E$15+1,1))-AVERAGE(OFFSET($H$3,0,0,'Données projet'!$E$15+1,1))</f>
        <v>211.18501783767226</v>
      </c>
      <c r="EP73" s="59">
        <f t="shared" si="100"/>
        <v>147.98306963466246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423</v>
      </c>
      <c r="FC73" s="12">
        <f>VLOOKUP(A73,'Données projet'!$A$217:$I$237,9,0)</f>
        <v>13</v>
      </c>
      <c r="FD73" s="12">
        <f t="array" ref="FD73">INDEX(FC:FC,MIN(IF(ISNUMBER(FC73:FC269),ROW(FC73:FC269),"")))</f>
        <v>13</v>
      </c>
      <c r="FE73" s="12">
        <f>IF('Données projet'!$A$218&gt;35,FE72+FD73-FM72,IF(A73&lt;'Données projet'!$A$218,$FB$205^A73,IF(A73='Données projet'!$A$218,'Données projet'!$B$218,FE72+FD73-FM72)))</f>
        <v>422.99999999999966</v>
      </c>
      <c r="FF73" s="17">
        <f>FE73*VLOOKUP('Données projet'!$B$16,Paramètres!$A$1:$I$89,3,0)*VLOOKUP('Données projet'!$B$16,Paramètres!$A$1:$I$89,5,0)</f>
        <v>252.95399999999981</v>
      </c>
      <c r="FG73" s="13">
        <f t="shared" si="101"/>
        <v>61.218062391350024</v>
      </c>
      <c r="FH73" s="20">
        <f t="shared" si="76"/>
        <v>547.18300866493428</v>
      </c>
      <c r="FI73" s="59">
        <f t="shared" si="77"/>
        <v>840.51634199826754</v>
      </c>
      <c r="FJ73" s="59">
        <f ca="1">AVERAGE(OFFSET($FI$3,0,0,'Données projet'!$E$16+1,1))-AVERAGE(OFFSET($H$3,0,0,'Données projet'!$E$16+1,1))</f>
        <v>232.26937455765062</v>
      </c>
      <c r="FK73" s="59">
        <f t="shared" si="102"/>
        <v>115.80853281120301</v>
      </c>
      <c r="FL73" s="15">
        <f>IF(ISNA(VLOOKUP(A73,'Données projet'!$A$217:$I$237,3,0)),0,VLOOKUP(A73,'Données projet'!$A$217:$I$237,3,0))</f>
        <v>5</v>
      </c>
      <c r="FM73" s="15">
        <f>IF(ISNA(VLOOKUP(A73,'Données projet'!$A$217:$I$237,4,0)),0,VLOOKUP(A73,'Données projet'!$A$217:$I$237,4,0))</f>
        <v>71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1.0023039986041899</v>
      </c>
      <c r="FR73" s="21">
        <f>EXP(-LN(2)/25)*FR72+(1-EXP(-LN(2)/25))/(LN(2)/25)*Calculateur!FM73*Calculateur!FO73*VLOOKUP('Données projet'!$B$16,Paramètres!$A$1:$I$89,3,0)*0.475*44/12</f>
        <v>1.4544620302094944</v>
      </c>
      <c r="FS73" s="21">
        <f>EXP(-LN(2)/2)*FS72+(1-EXP(-LN(2)/2))/(LN(2)/2)*FM73*FP73*VLOOKUP('Données projet'!$B$16,Paramètres!$A$1:$I$89,3,0)*0.475*44/12</f>
        <v>8.0067910505468873E-6</v>
      </c>
      <c r="FT73" s="22">
        <f t="shared" si="78"/>
        <v>2.456774035604735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274</v>
      </c>
      <c r="FX73" s="12">
        <f>VLOOKUP(A73,'Données projet'!$A$243:$I$263,9,0)</f>
        <v>4.0999999999999996</v>
      </c>
      <c r="FY73" s="12">
        <f t="array" ref="FY73">INDEX(FX:FX,MIN(IF(ISNUMBER(FX73:FX269),ROW(FX73:FX269),"")))</f>
        <v>4.0999999999999996</v>
      </c>
      <c r="FZ73" s="12">
        <f>IF('Données projet'!$A$244&gt;35,FZ72+FY73-GH72,IF(A73&lt;'Données projet'!$A$244,$FW$205^A73,IF(A73='Données projet'!$A$244,'Données projet'!$B$244,FZ72+FY73-GH72)))</f>
        <v>273.99999999999983</v>
      </c>
      <c r="GA73" s="17">
        <f>FZ73*VLOOKUP('Données projet'!$B$17,Paramètres!$A$1:$I$89,3,0)*VLOOKUP('Données projet'!$B$17,Paramètres!$A$1:$I$89,5,0)</f>
        <v>217.9943999999999</v>
      </c>
      <c r="GB73" s="13">
        <f t="shared" si="103"/>
        <v>53.678746401110374</v>
      </c>
      <c r="GC73" s="20">
        <f t="shared" si="79"/>
        <v>473.16406331526701</v>
      </c>
      <c r="GD73" s="59">
        <f t="shared" si="80"/>
        <v>766.49739664860033</v>
      </c>
      <c r="GE73" s="59">
        <f ca="1">AVERAGE(OFFSET($GD$3,0,0,'Données projet'!$E$17+1,1))-AVERAGE(OFFSET($H$3,0,0,'Données projet'!$E$17+1,1))</f>
        <v>199.58763537752952</v>
      </c>
      <c r="GF73" s="59">
        <f t="shared" si="104"/>
        <v>242.62852778451929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21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3.392117199420106</v>
      </c>
      <c r="GN73" s="21">
        <f>EXP(-LN(2)/2)*GN72+(1-EXP(-LN(2)/2))/(LN(2)/2)*GH73*GK73*VLOOKUP('Données projet'!$B$17,Paramètres!$A$1:$I$89,3,0)*0.475*44/12</f>
        <v>1.0263021844120235E-5</v>
      </c>
      <c r="GO73" s="21">
        <f t="shared" si="81"/>
        <v>3.39212746244195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5.6899038461538431</v>
      </c>
      <c r="N74" s="13">
        <f>IF('Données projet'!$A$36&gt;35,N73+M74-V73,IF(A74&lt;'Données projet'!$A$36,$K$205^A74,IF(A74='Données projet'!$A$36,'Données projet'!$B$36,N73+M74-V73)))</f>
        <v>158.62499999999997</v>
      </c>
      <c r="O74" s="13">
        <f>N74*VLOOKUP('Données projet'!$B$9,Paramètres!$A$1:$I$89,3,0)*VLOOKUP('Données projet'!$B$9,Paramètres!$A$1:$I$89,5,0)</f>
        <v>143.52389999999997</v>
      </c>
      <c r="P74" s="13">
        <f t="shared" si="87"/>
        <v>37.103109825509961</v>
      </c>
      <c r="Q74" s="20">
        <f t="shared" si="54"/>
        <v>314.59204211276312</v>
      </c>
      <c r="R74" s="59">
        <f t="shared" si="55"/>
        <v>607.9253754460965</v>
      </c>
      <c r="S74" s="59">
        <f ca="1">AVERAGE(OFFSET($R$3,0,0,'Données projet'!$E$9+1,1))-AVERAGE(OFFSET($H$3,0,0,'Données projet'!$E$9+1,1))</f>
        <v>153.45079678708987</v>
      </c>
      <c r="T74" s="59">
        <f t="shared" si="88"/>
        <v>115.4217868409637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160.84574999999998</v>
      </c>
      <c r="AK74" s="13">
        <f t="shared" si="89"/>
        <v>41.033218108988017</v>
      </c>
      <c r="AL74" s="20">
        <f t="shared" si="58"/>
        <v>351.60586945648743</v>
      </c>
      <c r="AM74" s="59">
        <f t="shared" si="59"/>
        <v>644.93920278982068</v>
      </c>
      <c r="AN74" s="59">
        <f ca="1">AVERAGE(OFFSET($AM$3,0,0,'Données projet'!$E$10+1,1))-AVERAGE(OFFSET($H$3,0,0,'Données projet'!$E$10+1,1))</f>
        <v>190.21499310415584</v>
      </c>
      <c r="AO74" s="59">
        <f t="shared" si="90"/>
        <v>136.15730566500173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12.5</v>
      </c>
      <c r="BD74" s="12">
        <f>IF('Données projet'!$A$88&gt;35,BD73+BC74-BL73,IF(A74&lt;'Données projet'!$A$88,$BA$205^A74,IF(A74='Données projet'!$A$88,'Données projet'!$B$88,BD73+BC74-BL73)))</f>
        <v>424.50000000000028</v>
      </c>
      <c r="BE74" s="13">
        <f>BD74*VLOOKUP('Données projet'!$B$11,Paramètres!$A$1:$I$89,3,0)*VLOOKUP('Données projet'!$B$11,Paramètres!$A$1:$I$89,5,0)</f>
        <v>253.8510000000002</v>
      </c>
      <c r="BF74" s="13">
        <f t="shared" si="91"/>
        <v>61.409839451305665</v>
      </c>
      <c r="BG74" s="20">
        <f t="shared" si="61"/>
        <v>549.07929537769098</v>
      </c>
      <c r="BH74" s="59">
        <f t="shared" si="62"/>
        <v>842.41262871102435</v>
      </c>
      <c r="BI74" s="59">
        <f ca="1">AVERAGE(OFFSET($BH$3,0,0,'Données projet'!$E$11+1,1))-AVERAGE(OFFSET($H$3,0,0,'Données projet'!$E$11+1,1))</f>
        <v>270.30888762640245</v>
      </c>
      <c r="BJ74" s="59">
        <f t="shared" si="92"/>
        <v>202.23783851977691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0.9509510598741634</v>
      </c>
      <c r="BQ74" s="21">
        <f>EXP(-LN(2)/25)*BQ73+(1-EXP(-LN(2)/25))/(LN(2)/25)*Calculateur!BL74*Calculateur!BN74*VLOOKUP('Données projet'!$B$11,Paramètres!$A$1:$I$89,3,0)*0.475*44/12</f>
        <v>3.9449971460452087</v>
      </c>
      <c r="BR74" s="21">
        <f>EXP(-LN(2)/2)*BR73+(1-EXP(-LN(2)/2))/(LN(2)/2)*BL74*BO74*VLOOKUP('Données projet'!$B$11,Paramètres!$A$1:$I$89,3,0)*0.475*44/12</f>
        <v>1.2470482762638348E-5</v>
      </c>
      <c r="BS74" s="22">
        <f t="shared" si="63"/>
        <v>4.8959606764021348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12.5</v>
      </c>
      <c r="BY74" s="12">
        <f>IF('Données projet'!$A$114&gt;35,BY73+BX74-CG73,IF(A74&lt;'Données projet'!$A$114,$BV$205^A74,IF(A74='Données projet'!$A$114,'Données projet'!$B$114,BY73+BX74-CG73)))</f>
        <v>424.50000000000028</v>
      </c>
      <c r="BZ74" s="13">
        <f>BY74*VLOOKUP('Données projet'!$B$12,Paramètres!$A$1:$I$89,3,0)*VLOOKUP('Données projet'!$B$12,Paramètres!$A$1:$I$89,5,0)</f>
        <v>253.8510000000002</v>
      </c>
      <c r="CA74" s="13">
        <f t="shared" si="93"/>
        <v>61.409839451305665</v>
      </c>
      <c r="CB74" s="20">
        <f t="shared" si="64"/>
        <v>549.07929537769098</v>
      </c>
      <c r="CC74" s="59">
        <f t="shared" si="65"/>
        <v>842.41262871102435</v>
      </c>
      <c r="CD74" s="59">
        <f ca="1">AVERAGE(OFFSET($CC$3,0,0,'Données projet'!$E$12+1,1))-AVERAGE(OFFSET($H$3,0,0,'Données projet'!$E$12+1,1))</f>
        <v>270.30888762640245</v>
      </c>
      <c r="CE74" s="59">
        <f t="shared" si="94"/>
        <v>202.23783851977691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0.9509510598741634</v>
      </c>
      <c r="CL74" s="21">
        <f>EXP(-LN(2)/25)*CL73+(1-EXP(-LN(2)/25))/(LN(2)/25)*Calculateur!CG74*Calculateur!CI74*VLOOKUP('Données projet'!$B$12,Paramètres!$A$1:$I$89,3,0)*0.475*44/12</f>
        <v>3.9449971460452087</v>
      </c>
      <c r="CM74" s="21">
        <f>EXP(-LN(2)/2)*CM73+(1-EXP(-LN(2)/2))/(LN(2)/2)*CG74*CJ74*VLOOKUP('Données projet'!$B$12,Paramètres!$A$1:$I$89,3,0)*0.475*44/12</f>
        <v>1.2470482762638348E-5</v>
      </c>
      <c r="CN74" s="22">
        <f t="shared" si="66"/>
        <v>4.8959606764021348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413.95384615384614</v>
      </c>
      <c r="CR74" s="12">
        <f>VLOOKUP(A74,'Données projet'!$A$139:$I$159,9,0)</f>
        <v>13.737499999999997</v>
      </c>
      <c r="CS74" s="12">
        <f t="array" ref="CS74">INDEX(CR:CR,MIN(IF(ISNUMBER(CR74:CR270),ROW(CR74:CR270),"")))</f>
        <v>13.737499999999997</v>
      </c>
      <c r="CT74" s="12">
        <f>IF('Données projet'!$A$140&gt;35,CT73+CS74-DB73,IF(A74&lt;'Données projet'!$A$140,$CQ$205^A74,IF(A74='Données projet'!$A$140,'Données projet'!$B$140,CT73+CS74-DB73)))</f>
        <v>413.9538461538462</v>
      </c>
      <c r="CU74" s="17">
        <f>CT74*VLOOKUP('Données projet'!$B$13,Paramètres!$A$1:$I$89,3,0)*VLOOKUP('Données projet'!$B$13,Paramètres!$A$1:$I$89,5,0)</f>
        <v>193.73040000000003</v>
      </c>
      <c r="CV74" s="13">
        <f t="shared" si="95"/>
        <v>48.363755728631737</v>
      </c>
      <c r="CW74" s="20">
        <f t="shared" si="67"/>
        <v>421.647321227367</v>
      </c>
      <c r="CX74" s="59">
        <f t="shared" si="68"/>
        <v>714.98065456070026</v>
      </c>
      <c r="CY74" s="59">
        <f ca="1">AVERAGE(OFFSET($CX$3,0,0,'Données projet'!$E$13+1,1))-AVERAGE(OFFSET($H$3,0,0,'Données projet'!$E$13+1,1))</f>
        <v>158.58786357608489</v>
      </c>
      <c r="CZ74" s="59">
        <f t="shared" si="96"/>
        <v>163.20074068819849</v>
      </c>
      <c r="DA74" s="15">
        <f>IF(ISNA(VLOOKUP(A74,'Données projet'!$A$139:$I$159,3,0)),0,VLOOKUP(A74,'Données projet'!$A$139:$I$159,3,0))</f>
        <v>5</v>
      </c>
      <c r="DB74" s="15">
        <f>IF(ISNA(VLOOKUP(A74,'Données projet'!$A$139:$I$159,4,0)),0,VLOOKUP(A74,'Données projet'!$A$139:$I$159,4,0))</f>
        <v>80.399999999999991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3.1</v>
      </c>
      <c r="DO74" s="12">
        <f>IF('Données projet'!$A$166&gt;35,DO73+DN74-DW73,IF(A74&lt;'Données projet'!$A$166,$DL$205^A74,IF(A74='Données projet'!$A$166,'Données projet'!$B$166,DO73+DN74-DW73)))</f>
        <v>256.09999999999985</v>
      </c>
      <c r="DP74" s="17">
        <f>DO74*VLOOKUP('Données projet'!$B$14,Paramètres!$A$1:$I$89,3,0)*VLOOKUP('Données projet'!$B$14,Paramètres!$A$1:$I$89,5,0)</f>
        <v>171.79187999999991</v>
      </c>
      <c r="DQ74" s="13">
        <f t="shared" si="97"/>
        <v>43.491099864751611</v>
      </c>
      <c r="DR74" s="20">
        <f t="shared" si="70"/>
        <v>374.9511899311089</v>
      </c>
      <c r="DS74" s="59">
        <f t="shared" si="71"/>
        <v>668.28452326444221</v>
      </c>
      <c r="DT74" s="59">
        <f ca="1">AVERAGE(OFFSET($DS$3,0,0,'Données projet'!$E$14+1,1))-AVERAGE(OFFSET($H$3,0,0,'Données projet'!$E$14+1,1))</f>
        <v>156.63226020379989</v>
      </c>
      <c r="DU74" s="59">
        <f t="shared" si="98"/>
        <v>196.0481096619543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2.7818129760271724</v>
      </c>
      <c r="EC74" s="21">
        <f>EXP(-LN(2)/2)*EC73+(1-EXP(-LN(2)/2))/(LN(2)/2)*DW74*DZ74*VLOOKUP('Données projet'!$B$14,Paramètres!$A$1:$I$89,3,0)*0.475*44/12</f>
        <v>6.1186911898441637E-6</v>
      </c>
      <c r="ED74" s="22">
        <f t="shared" si="72"/>
        <v>2.7818190947183621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5.6899038461538431</v>
      </c>
      <c r="EJ74" s="12">
        <f>IF('Données projet'!$A$192&gt;35,EJ73+EI74-ER73,IF(A74&lt;'Données projet'!$A$192,$EG$205^A74,IF(A74='Données projet'!$A$192,'Données projet'!$B$192,EJ73+EI74-ER73)))</f>
        <v>158.62499999999997</v>
      </c>
      <c r="EK74" s="17">
        <f>EJ74*VLOOKUP('Données projet'!$B$15,Paramètres!$A$1:$I$89,3,0)*VLOOKUP('Données projet'!$B$15,Paramètres!$A$1:$I$89,5,0)</f>
        <v>170.74394999999996</v>
      </c>
      <c r="EL74" s="13">
        <f t="shared" si="99"/>
        <v>43.256601269244634</v>
      </c>
      <c r="EM74" s="20">
        <f t="shared" si="73"/>
        <v>372.71762679393436</v>
      </c>
      <c r="EN74" s="59">
        <f t="shared" si="74"/>
        <v>666.05096012726767</v>
      </c>
      <c r="EO74" s="59">
        <f ca="1">AVERAGE(OFFSET($EN$3,0,0,'Données projet'!$E$15+1,1))-AVERAGE(OFFSET($H$3,0,0,'Données projet'!$E$15+1,1))</f>
        <v>211.18501783767226</v>
      </c>
      <c r="EP74" s="59">
        <f t="shared" si="100"/>
        <v>147.98306963466246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12.8</v>
      </c>
      <c r="FE74" s="12">
        <f>IF('Données projet'!$A$218&gt;35,FE73+FD74-FM73,IF(A74&lt;'Données projet'!$A$218,$FB$205^A74,IF(A74='Données projet'!$A$218,'Données projet'!$B$218,FE73+FD74-FM73)))</f>
        <v>364.79999999999967</v>
      </c>
      <c r="FF74" s="17">
        <f>FE74*VLOOKUP('Données projet'!$B$16,Paramètres!$A$1:$I$89,3,0)*VLOOKUP('Données projet'!$B$16,Paramètres!$A$1:$I$89,5,0)</f>
        <v>218.15039999999982</v>
      </c>
      <c r="FG74" s="13">
        <f t="shared" si="101"/>
        <v>53.712686980344614</v>
      </c>
      <c r="FH74" s="20">
        <f t="shared" si="76"/>
        <v>473.49487649076644</v>
      </c>
      <c r="FI74" s="59">
        <f t="shared" si="77"/>
        <v>766.82820982409976</v>
      </c>
      <c r="FJ74" s="59">
        <f ca="1">AVERAGE(OFFSET($FI$3,0,0,'Données projet'!$E$16+1,1))-AVERAGE(OFFSET($H$3,0,0,'Données projet'!$E$16+1,1))</f>
        <v>232.26937455765062</v>
      </c>
      <c r="FK74" s="59">
        <f t="shared" si="102"/>
        <v>115.80853281120301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0.98264942853663562</v>
      </c>
      <c r="FR74" s="21">
        <f>EXP(-LN(2)/25)*FR73+(1-EXP(-LN(2)/25))/(LN(2)/25)*Calculateur!FM74*Calculateur!FO74*VLOOKUP('Données projet'!$B$16,Paramètres!$A$1:$I$89,3,0)*0.475*44/12</f>
        <v>1.4146896895065819</v>
      </c>
      <c r="FS74" s="21">
        <f>EXP(-LN(2)/2)*FS73+(1-EXP(-LN(2)/2))/(LN(2)/2)*FM74*FP74*VLOOKUP('Données projet'!$B$16,Paramètres!$A$1:$I$89,3,0)*0.475*44/12</f>
        <v>5.6616562473854649E-6</v>
      </c>
      <c r="FT74" s="22">
        <f t="shared" si="78"/>
        <v>2.3973447796994649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3.1</v>
      </c>
      <c r="FZ74" s="12">
        <f>IF('Données projet'!$A$244&gt;35,FZ73+FY74-GH73,IF(A74&lt;'Données projet'!$A$244,$FW$205^A74,IF(A74='Données projet'!$A$244,'Données projet'!$B$244,FZ73+FY74-GH73)))</f>
        <v>256.09999999999985</v>
      </c>
      <c r="GA74" s="17">
        <f>FZ74*VLOOKUP('Données projet'!$B$17,Paramètres!$A$1:$I$89,3,0)*VLOOKUP('Données projet'!$B$17,Paramètres!$A$1:$I$89,5,0)</f>
        <v>203.75315999999989</v>
      </c>
      <c r="GB74" s="13">
        <f t="shared" si="103"/>
        <v>50.568104070523326</v>
      </c>
      <c r="GC74" s="20">
        <f t="shared" si="79"/>
        <v>442.94286825616126</v>
      </c>
      <c r="GD74" s="59">
        <f t="shared" si="80"/>
        <v>736.27620158949458</v>
      </c>
      <c r="GE74" s="59">
        <f ca="1">AVERAGE(OFFSET($GD$3,0,0,'Données projet'!$E$17+1,1))-AVERAGE(OFFSET($H$3,0,0,'Données projet'!$E$17+1,1))</f>
        <v>199.58763537752952</v>
      </c>
      <c r="GF74" s="59">
        <f t="shared" si="104"/>
        <v>242.62852778451929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3.2993595762182726</v>
      </c>
      <c r="GN74" s="21">
        <f>EXP(-LN(2)/2)*GN73+(1-EXP(-LN(2)/2))/(LN(2)/2)*GH74*GK74*VLOOKUP('Données projet'!$B$17,Paramètres!$A$1:$I$89,3,0)*0.475*44/12</f>
        <v>7.2570523414430848E-6</v>
      </c>
      <c r="GO74" s="21">
        <f t="shared" si="81"/>
        <v>3.2993668332706139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5.6899038461538431</v>
      </c>
      <c r="N75" s="13">
        <f>IF('Données projet'!$A$36&gt;35,N74+M75-V74,IF(A75&lt;'Données projet'!$A$36,$K$205^A75,IF(A75='Données projet'!$A$36,'Données projet'!$B$36,N74+M75-V74)))</f>
        <v>164.31490384615381</v>
      </c>
      <c r="O75" s="13">
        <f>N75*VLOOKUP('Données projet'!$B$9,Paramètres!$A$1:$I$89,3,0)*VLOOKUP('Données projet'!$B$9,Paramètres!$A$1:$I$89,5,0)</f>
        <v>148.67212499999997</v>
      </c>
      <c r="P75" s="13">
        <f t="shared" si="87"/>
        <v>38.276665273939201</v>
      </c>
      <c r="Q75" s="20">
        <f t="shared" si="54"/>
        <v>325.60247639377735</v>
      </c>
      <c r="R75" s="59">
        <f t="shared" si="55"/>
        <v>618.93580972711061</v>
      </c>
      <c r="S75" s="59">
        <f ca="1">AVERAGE(OFFSET($R$3,0,0,'Données projet'!$E$9+1,1))-AVERAGE(OFFSET($H$3,0,0,'Données projet'!$E$9+1,1))</f>
        <v>153.45079678708987</v>
      </c>
      <c r="T75" s="59">
        <f t="shared" si="88"/>
        <v>115.4217868409637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166.61531249999999</v>
      </c>
      <c r="AK75" s="13">
        <f t="shared" si="89"/>
        <v>42.331081196606618</v>
      </c>
      <c r="AL75" s="20">
        <f t="shared" si="58"/>
        <v>363.9149690215898</v>
      </c>
      <c r="AM75" s="59">
        <f t="shared" si="59"/>
        <v>657.24830235492311</v>
      </c>
      <c r="AN75" s="59">
        <f ca="1">AVERAGE(OFFSET($AM$3,0,0,'Données projet'!$E$10+1,1))-AVERAGE(OFFSET($H$3,0,0,'Données projet'!$E$10+1,1))</f>
        <v>190.21499310415584</v>
      </c>
      <c r="AO75" s="59">
        <f t="shared" si="90"/>
        <v>136.15730566500173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12.5</v>
      </c>
      <c r="BD75" s="12">
        <f>IF('Données projet'!$A$88&gt;35,BD74+BC75-BL74,IF(A75&lt;'Données projet'!$A$88,$BA$205^A75,IF(A75='Données projet'!$A$88,'Données projet'!$B$88,BD74+BC75-BL74)))</f>
        <v>437.00000000000028</v>
      </c>
      <c r="BE75" s="13">
        <f>BD75*VLOOKUP('Données projet'!$B$11,Paramètres!$A$1:$I$89,3,0)*VLOOKUP('Données projet'!$B$11,Paramètres!$A$1:$I$89,5,0)</f>
        <v>261.32600000000019</v>
      </c>
      <c r="BF75" s="13">
        <f t="shared" si="91"/>
        <v>63.004943834026825</v>
      </c>
      <c r="BG75" s="20">
        <f t="shared" si="61"/>
        <v>564.87639384426382</v>
      </c>
      <c r="BH75" s="59">
        <f t="shared" si="62"/>
        <v>858.20972717759719</v>
      </c>
      <c r="BI75" s="59">
        <f ca="1">AVERAGE(OFFSET($BH$3,0,0,'Données projet'!$E$11+1,1))-AVERAGE(OFFSET($H$3,0,0,'Données projet'!$E$11+1,1))</f>
        <v>270.30888762640245</v>
      </c>
      <c r="BJ75" s="59">
        <f t="shared" si="92"/>
        <v>202.23783851977691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0.9323034896129051</v>
      </c>
      <c r="BQ75" s="21">
        <f>EXP(-LN(2)/25)*BQ74+(1-EXP(-LN(2)/25))/(LN(2)/25)*Calculateur!BL75*Calculateur!BN75*VLOOKUP('Données projet'!$B$11,Paramètres!$A$1:$I$89,3,0)*0.475*44/12</f>
        <v>3.8371209916282187</v>
      </c>
      <c r="BR75" s="21">
        <f>EXP(-LN(2)/2)*BR74+(1-EXP(-LN(2)/2))/(LN(2)/2)*BL75*BO75*VLOOKUP('Données projet'!$B$11,Paramètres!$A$1:$I$89,3,0)*0.475*44/12</f>
        <v>8.8179629261315269E-6</v>
      </c>
      <c r="BS75" s="22">
        <f t="shared" si="63"/>
        <v>4.7694332992040502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12.5</v>
      </c>
      <c r="BY75" s="12">
        <f>IF('Données projet'!$A$114&gt;35,BY74+BX75-CG74,IF(A75&lt;'Données projet'!$A$114,$BV$205^A75,IF(A75='Données projet'!$A$114,'Données projet'!$B$114,BY74+BX75-CG74)))</f>
        <v>437.00000000000028</v>
      </c>
      <c r="BZ75" s="13">
        <f>BY75*VLOOKUP('Données projet'!$B$12,Paramètres!$A$1:$I$89,3,0)*VLOOKUP('Données projet'!$B$12,Paramètres!$A$1:$I$89,5,0)</f>
        <v>261.32600000000019</v>
      </c>
      <c r="CA75" s="13">
        <f t="shared" si="93"/>
        <v>63.004943834026825</v>
      </c>
      <c r="CB75" s="20">
        <f t="shared" si="64"/>
        <v>564.87639384426382</v>
      </c>
      <c r="CC75" s="59">
        <f t="shared" si="65"/>
        <v>858.20972717759719</v>
      </c>
      <c r="CD75" s="59">
        <f ca="1">AVERAGE(OFFSET($CC$3,0,0,'Données projet'!$E$12+1,1))-AVERAGE(OFFSET($H$3,0,0,'Données projet'!$E$12+1,1))</f>
        <v>270.30888762640245</v>
      </c>
      <c r="CE75" s="59">
        <f t="shared" si="94"/>
        <v>202.23783851977691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0.9323034896129051</v>
      </c>
      <c r="CL75" s="21">
        <f>EXP(-LN(2)/25)*CL74+(1-EXP(-LN(2)/25))/(LN(2)/25)*Calculateur!CG75*Calculateur!CI75*VLOOKUP('Données projet'!$B$12,Paramètres!$A$1:$I$89,3,0)*0.475*44/12</f>
        <v>3.8371209916282187</v>
      </c>
      <c r="CM75" s="21">
        <f>EXP(-LN(2)/2)*CM74+(1-EXP(-LN(2)/2))/(LN(2)/2)*CG75*CJ75*VLOOKUP('Données projet'!$B$12,Paramètres!$A$1:$I$89,3,0)*0.475*44/12</f>
        <v>8.8179629261315269E-6</v>
      </c>
      <c r="CN75" s="22">
        <f t="shared" si="66"/>
        <v>4.7694332992040502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12.913461538461533</v>
      </c>
      <c r="CT75" s="12">
        <f>IF('Données projet'!$A$140&gt;35,CT74+CS75-DB74,IF(A75&lt;'Données projet'!$A$140,$CQ$205^A75,IF(A75='Données projet'!$A$140,'Données projet'!$B$140,CT74+CS75-DB74)))</f>
        <v>346.46730769230777</v>
      </c>
      <c r="CU75" s="17">
        <f>CT75*VLOOKUP('Données projet'!$B$13,Paramètres!$A$1:$I$89,3,0)*VLOOKUP('Données projet'!$B$13,Paramètres!$A$1:$I$89,5,0)</f>
        <v>162.14670000000004</v>
      </c>
      <c r="CV75" s="13">
        <f t="shared" si="95"/>
        <v>41.326333369414826</v>
      </c>
      <c r="CW75" s="20">
        <f t="shared" si="67"/>
        <v>354.38219978506419</v>
      </c>
      <c r="CX75" s="59">
        <f t="shared" si="68"/>
        <v>647.7155331183975</v>
      </c>
      <c r="CY75" s="59">
        <f ca="1">AVERAGE(OFFSET($CX$3,0,0,'Données projet'!$E$13+1,1))-AVERAGE(OFFSET($H$3,0,0,'Données projet'!$E$13+1,1))</f>
        <v>158.58786357608489</v>
      </c>
      <c r="CZ75" s="59">
        <f t="shared" si="96"/>
        <v>163.20074068819849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3.1</v>
      </c>
      <c r="DO75" s="12">
        <f>IF('Données projet'!$A$166&gt;35,DO74+DN75-DW74,IF(A75&lt;'Données projet'!$A$166,$DL$205^A75,IF(A75='Données projet'!$A$166,'Données projet'!$B$166,DO74+DN75-DW74)))</f>
        <v>259.19999999999987</v>
      </c>
      <c r="DP75" s="17">
        <f>DO75*VLOOKUP('Données projet'!$B$14,Paramètres!$A$1:$I$89,3,0)*VLOOKUP('Données projet'!$B$14,Paramètres!$A$1:$I$89,5,0)</f>
        <v>173.87135999999992</v>
      </c>
      <c r="DQ75" s="13">
        <f t="shared" si="97"/>
        <v>43.955939893839918</v>
      </c>
      <c r="DR75" s="20">
        <f t="shared" si="70"/>
        <v>379.38254731510438</v>
      </c>
      <c r="DS75" s="59">
        <f t="shared" si="71"/>
        <v>672.71588064843763</v>
      </c>
      <c r="DT75" s="59">
        <f ca="1">AVERAGE(OFFSET($DS$3,0,0,'Données projet'!$E$14+1,1))-AVERAGE(OFFSET($H$3,0,0,'Données projet'!$E$14+1,1))</f>
        <v>156.63226020379989</v>
      </c>
      <c r="DU75" s="59">
        <f t="shared" si="98"/>
        <v>196.0481096619543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2.705744153908523</v>
      </c>
      <c r="EC75" s="21">
        <f>EXP(-LN(2)/2)*EC74+(1-EXP(-LN(2)/2))/(LN(2)/2)*DW75*DZ75*VLOOKUP('Données projet'!$B$14,Paramètres!$A$1:$I$89,3,0)*0.475*44/12</f>
        <v>4.3265680323251932E-6</v>
      </c>
      <c r="ED75" s="22">
        <f t="shared" si="72"/>
        <v>2.7057484804765553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5.6899038461538431</v>
      </c>
      <c r="EJ75" s="12">
        <f>IF('Données projet'!$A$192&gt;35,EJ74+EI75-ER74,IF(A75&lt;'Données projet'!$A$192,$EG$205^A75,IF(A75='Données projet'!$A$192,'Données projet'!$B$192,EJ74+EI75-ER74)))</f>
        <v>164.31490384615381</v>
      </c>
      <c r="EK75" s="17">
        <f>EJ75*VLOOKUP('Données projet'!$B$15,Paramètres!$A$1:$I$89,3,0)*VLOOKUP('Données projet'!$B$15,Paramètres!$A$1:$I$89,5,0)</f>
        <v>176.86856249999997</v>
      </c>
      <c r="EL75" s="13">
        <f t="shared" si="99"/>
        <v>44.624789012503541</v>
      </c>
      <c r="EM75" s="20">
        <f t="shared" si="73"/>
        <v>385.76758721761024</v>
      </c>
      <c r="EN75" s="59">
        <f t="shared" si="74"/>
        <v>679.10092055094356</v>
      </c>
      <c r="EO75" s="59">
        <f ca="1">AVERAGE(OFFSET($EN$3,0,0,'Données projet'!$E$15+1,1))-AVERAGE(OFFSET($H$3,0,0,'Données projet'!$E$15+1,1))</f>
        <v>211.18501783767226</v>
      </c>
      <c r="EP75" s="59">
        <f t="shared" si="100"/>
        <v>147.98306963466246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12.8</v>
      </c>
      <c r="FE75" s="12">
        <f>IF('Données projet'!$A$218&gt;35,FE74+FD75-FM74,IF(A75&lt;'Données projet'!$A$218,$FB$205^A75,IF(A75='Données projet'!$A$218,'Données projet'!$B$218,FE74+FD75-FM74)))</f>
        <v>377.59999999999968</v>
      </c>
      <c r="FF75" s="17">
        <f>FE75*VLOOKUP('Données projet'!$B$16,Paramètres!$A$1:$I$89,3,0)*VLOOKUP('Données projet'!$B$16,Paramètres!$A$1:$I$89,5,0)</f>
        <v>225.80479999999983</v>
      </c>
      <c r="FG75" s="13">
        <f t="shared" si="101"/>
        <v>55.374611658647581</v>
      </c>
      <c r="FH75" s="20">
        <f t="shared" si="76"/>
        <v>489.72080863881087</v>
      </c>
      <c r="FI75" s="59">
        <f t="shared" si="77"/>
        <v>783.05414197214418</v>
      </c>
      <c r="FJ75" s="59">
        <f ca="1">AVERAGE(OFFSET($FI$3,0,0,'Données projet'!$E$16+1,1))-AVERAGE(OFFSET($H$3,0,0,'Données projet'!$E$16+1,1))</f>
        <v>232.26937455765062</v>
      </c>
      <c r="FK75" s="59">
        <f t="shared" si="102"/>
        <v>115.80853281120301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0.96338027260000203</v>
      </c>
      <c r="FR75" s="21">
        <f>EXP(-LN(2)/25)*FR74+(1-EXP(-LN(2)/25))/(LN(2)/25)*Calculateur!FM75*Calculateur!FO75*VLOOKUP('Données projet'!$B$16,Paramètres!$A$1:$I$89,3,0)*0.475*44/12</f>
        <v>1.376004925551727</v>
      </c>
      <c r="FS75" s="21">
        <f>EXP(-LN(2)/2)*FS74+(1-EXP(-LN(2)/2))/(LN(2)/2)*FM75*FP75*VLOOKUP('Données projet'!$B$16,Paramètres!$A$1:$I$89,3,0)*0.475*44/12</f>
        <v>4.0033955252734437E-6</v>
      </c>
      <c r="FT75" s="22">
        <f t="shared" si="78"/>
        <v>2.3393892015472542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3.1</v>
      </c>
      <c r="FZ75" s="12">
        <f>IF('Données projet'!$A$244&gt;35,FZ74+FY75-GH74,IF(A75&lt;'Données projet'!$A$244,$FW$205^A75,IF(A75='Données projet'!$A$244,'Données projet'!$B$244,FZ74+FY75-GH74)))</f>
        <v>259.19999999999987</v>
      </c>
      <c r="GA75" s="17">
        <f>FZ75*VLOOKUP('Données projet'!$B$17,Paramètres!$A$1:$I$89,3,0)*VLOOKUP('Données projet'!$B$17,Paramètres!$A$1:$I$89,5,0)</f>
        <v>206.21951999999993</v>
      </c>
      <c r="GB75" s="13">
        <f t="shared" si="103"/>
        <v>51.10858428464028</v>
      </c>
      <c r="GC75" s="20">
        <f t="shared" si="79"/>
        <v>448.17978162908167</v>
      </c>
      <c r="GD75" s="59">
        <f t="shared" si="80"/>
        <v>741.51311496241499</v>
      </c>
      <c r="GE75" s="59">
        <f ca="1">AVERAGE(OFFSET($GD$3,0,0,'Données projet'!$E$17+1,1))-AVERAGE(OFFSET($H$3,0,0,'Données projet'!$E$17+1,1))</f>
        <v>199.58763537752952</v>
      </c>
      <c r="GF75" s="59">
        <f t="shared" si="104"/>
        <v>242.62852778451929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3.2091384151008047</v>
      </c>
      <c r="GN75" s="21">
        <f>EXP(-LN(2)/2)*GN74+(1-EXP(-LN(2)/2))/(LN(2)/2)*GH75*GK75*VLOOKUP('Données projet'!$B$17,Paramètres!$A$1:$I$89,3,0)*0.475*44/12</f>
        <v>5.1315109220601177E-6</v>
      </c>
      <c r="GO75" s="21">
        <f t="shared" si="81"/>
        <v>3.2091435466117266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5.6899038461538431</v>
      </c>
      <c r="N76" s="13">
        <f>IF('Données projet'!$A$36&gt;35,N75+M76-V75,IF(A76&lt;'Données projet'!$A$36,$K$205^A76,IF(A76='Données projet'!$A$36,'Données projet'!$B$36,N75+M76-V75)))</f>
        <v>170.00480769230765</v>
      </c>
      <c r="O76" s="13">
        <f>N76*VLOOKUP('Données projet'!$B$9,Paramètres!$A$1:$I$89,3,0)*VLOOKUP('Données projet'!$B$9,Paramètres!$A$1:$I$89,5,0)</f>
        <v>153.82034999999993</v>
      </c>
      <c r="P76" s="13">
        <f t="shared" si="87"/>
        <v>39.445498990742948</v>
      </c>
      <c r="Q76" s="20">
        <f t="shared" si="54"/>
        <v>336.60468699221047</v>
      </c>
      <c r="R76" s="59">
        <f t="shared" si="55"/>
        <v>629.93802032554379</v>
      </c>
      <c r="S76" s="59">
        <f ca="1">AVERAGE(OFFSET($R$3,0,0,'Données projet'!$E$9+1,1))-AVERAGE(OFFSET($H$3,0,0,'Données projet'!$E$9+1,1))</f>
        <v>153.45079678708987</v>
      </c>
      <c r="T76" s="59">
        <f t="shared" si="88"/>
        <v>115.4217868409637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172.38487499999997</v>
      </c>
      <c r="AK76" s="13">
        <f t="shared" si="89"/>
        <v>43.623722408092668</v>
      </c>
      <c r="AL76" s="20">
        <f t="shared" si="58"/>
        <v>376.21497381909467</v>
      </c>
      <c r="AM76" s="59">
        <f t="shared" si="59"/>
        <v>669.54830715242792</v>
      </c>
      <c r="AN76" s="59">
        <f ca="1">AVERAGE(OFFSET($AM$3,0,0,'Données projet'!$E$10+1,1))-AVERAGE(OFFSET($H$3,0,0,'Données projet'!$E$10+1,1))</f>
        <v>190.21499310415584</v>
      </c>
      <c r="AO76" s="59">
        <f t="shared" si="90"/>
        <v>136.15730566500173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12.5</v>
      </c>
      <c r="BD76" s="12">
        <f>IF('Données projet'!$A$88&gt;35,BD75+BC76-BL75,IF(A76&lt;'Données projet'!$A$88,$BA$205^A76,IF(A76='Données projet'!$A$88,'Données projet'!$B$88,BD75+BC76-BL75)))</f>
        <v>449.50000000000028</v>
      </c>
      <c r="BE76" s="13">
        <f>BD76*VLOOKUP('Données projet'!$B$11,Paramètres!$A$1:$I$89,3,0)*VLOOKUP('Données projet'!$B$11,Paramètres!$A$1:$I$89,5,0)</f>
        <v>268.80100000000022</v>
      </c>
      <c r="BF76" s="13">
        <f t="shared" si="91"/>
        <v>64.594745353205028</v>
      </c>
      <c r="BG76" s="20">
        <f t="shared" si="61"/>
        <v>580.66425649016571</v>
      </c>
      <c r="BH76" s="59">
        <f t="shared" si="62"/>
        <v>873.99758982349908</v>
      </c>
      <c r="BI76" s="59">
        <f ca="1">AVERAGE(OFFSET($BH$3,0,0,'Données projet'!$E$11+1,1))-AVERAGE(OFFSET($H$3,0,0,'Données projet'!$E$11+1,1))</f>
        <v>270.30888762640245</v>
      </c>
      <c r="BJ76" s="59">
        <f t="shared" si="92"/>
        <v>202.23783851977691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0.91402158683057533</v>
      </c>
      <c r="BQ76" s="21">
        <f>EXP(-LN(2)/25)*BQ75+(1-EXP(-LN(2)/25))/(LN(2)/25)*Calculateur!BL76*Calculateur!BN76*VLOOKUP('Données projet'!$B$11,Paramètres!$A$1:$I$89,3,0)*0.475*44/12</f>
        <v>3.7321947163267222</v>
      </c>
      <c r="BR76" s="21">
        <f>EXP(-LN(2)/2)*BR75+(1-EXP(-LN(2)/2))/(LN(2)/2)*BL76*BO76*VLOOKUP('Données projet'!$B$11,Paramètres!$A$1:$I$89,3,0)*0.475*44/12</f>
        <v>6.235241381319174E-6</v>
      </c>
      <c r="BS76" s="22">
        <f t="shared" si="63"/>
        <v>4.6462225383986784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12.5</v>
      </c>
      <c r="BY76" s="12">
        <f>IF('Données projet'!$A$114&gt;35,BY75+BX76-CG75,IF(A76&lt;'Données projet'!$A$114,$BV$205^A76,IF(A76='Données projet'!$A$114,'Données projet'!$B$114,BY75+BX76-CG75)))</f>
        <v>449.50000000000028</v>
      </c>
      <c r="BZ76" s="13">
        <f>BY76*VLOOKUP('Données projet'!$B$12,Paramètres!$A$1:$I$89,3,0)*VLOOKUP('Données projet'!$B$12,Paramètres!$A$1:$I$89,5,0)</f>
        <v>268.80100000000022</v>
      </c>
      <c r="CA76" s="13">
        <f t="shared" si="93"/>
        <v>64.594745353205028</v>
      </c>
      <c r="CB76" s="20">
        <f t="shared" si="64"/>
        <v>580.66425649016571</v>
      </c>
      <c r="CC76" s="59">
        <f t="shared" si="65"/>
        <v>873.99758982349908</v>
      </c>
      <c r="CD76" s="59">
        <f ca="1">AVERAGE(OFFSET($CC$3,0,0,'Données projet'!$E$12+1,1))-AVERAGE(OFFSET($H$3,0,0,'Données projet'!$E$12+1,1))</f>
        <v>270.30888762640245</v>
      </c>
      <c r="CE76" s="59">
        <f t="shared" si="94"/>
        <v>202.23783851977691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0.91402158683057533</v>
      </c>
      <c r="CL76" s="21">
        <f>EXP(-LN(2)/25)*CL75+(1-EXP(-LN(2)/25))/(LN(2)/25)*Calculateur!CG76*Calculateur!CI76*VLOOKUP('Données projet'!$B$12,Paramètres!$A$1:$I$89,3,0)*0.475*44/12</f>
        <v>3.7321947163267222</v>
      </c>
      <c r="CM76" s="21">
        <f>EXP(-LN(2)/2)*CM75+(1-EXP(-LN(2)/2))/(LN(2)/2)*CG76*CJ76*VLOOKUP('Données projet'!$B$12,Paramètres!$A$1:$I$89,3,0)*0.475*44/12</f>
        <v>6.235241381319174E-6</v>
      </c>
      <c r="CN76" s="22">
        <f t="shared" si="66"/>
        <v>4.6462225383986784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12.913461538461533</v>
      </c>
      <c r="CT76" s="12">
        <f>IF('Données projet'!$A$140&gt;35,CT75+CS76-DB75,IF(A76&lt;'Données projet'!$A$140,$CQ$205^A76,IF(A76='Données projet'!$A$140,'Données projet'!$B$140,CT75+CS76-DB75)))</f>
        <v>359.38076923076932</v>
      </c>
      <c r="CU76" s="17">
        <f>CT76*VLOOKUP('Données projet'!$B$13,Paramètres!$A$1:$I$89,3,0)*VLOOKUP('Données projet'!$B$13,Paramètres!$A$1:$I$89,5,0)</f>
        <v>168.19020000000003</v>
      </c>
      <c r="CV76" s="13">
        <f t="shared" si="95"/>
        <v>42.684436447240749</v>
      </c>
      <c r="CW76" s="20">
        <f t="shared" si="67"/>
        <v>367.27332514561107</v>
      </c>
      <c r="CX76" s="59">
        <f t="shared" si="68"/>
        <v>660.60665847894438</v>
      </c>
      <c r="CY76" s="59">
        <f ca="1">AVERAGE(OFFSET($CX$3,0,0,'Données projet'!$E$13+1,1))-AVERAGE(OFFSET($H$3,0,0,'Données projet'!$E$13+1,1))</f>
        <v>158.58786357608489</v>
      </c>
      <c r="CZ76" s="59">
        <f t="shared" si="96"/>
        <v>163.20074068819849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3.1</v>
      </c>
      <c r="DO76" s="12">
        <f>IF('Données projet'!$A$166&gt;35,DO75+DN76-DW75,IF(A76&lt;'Données projet'!$A$166,$DL$205^A76,IF(A76='Données projet'!$A$166,'Données projet'!$B$166,DO75+DN76-DW75)))</f>
        <v>262.2999999999999</v>
      </c>
      <c r="DP76" s="17">
        <f>DO76*VLOOKUP('Données projet'!$B$14,Paramètres!$A$1:$I$89,3,0)*VLOOKUP('Données projet'!$B$14,Paramètres!$A$1:$I$89,5,0)</f>
        <v>175.95083999999994</v>
      </c>
      <c r="DQ76" s="13">
        <f t="shared" si="97"/>
        <v>44.420133239274335</v>
      </c>
      <c r="DR76" s="20">
        <f t="shared" si="70"/>
        <v>383.812778391736</v>
      </c>
      <c r="DS76" s="59">
        <f t="shared" si="71"/>
        <v>677.14611172506932</v>
      </c>
      <c r="DT76" s="59">
        <f ca="1">AVERAGE(OFFSET($DS$3,0,0,'Données projet'!$E$14+1,1))-AVERAGE(OFFSET($H$3,0,0,'Données projet'!$E$14+1,1))</f>
        <v>156.63226020379989</v>
      </c>
      <c r="DU76" s="59">
        <f t="shared" si="98"/>
        <v>196.0481096619543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2.6317554377309933</v>
      </c>
      <c r="EC76" s="21">
        <f>EXP(-LN(2)/2)*EC75+(1-EXP(-LN(2)/2))/(LN(2)/2)*DW76*DZ76*VLOOKUP('Données projet'!$B$14,Paramètres!$A$1:$I$89,3,0)*0.475*44/12</f>
        <v>3.0593455949220819E-6</v>
      </c>
      <c r="ED76" s="22">
        <f t="shared" si="72"/>
        <v>2.6317584970765884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5.6899038461538431</v>
      </c>
      <c r="EJ76" s="12">
        <f>IF('Données projet'!$A$192&gt;35,EJ75+EI76-ER75,IF(A76&lt;'Données projet'!$A$192,$EG$205^A76,IF(A76='Données projet'!$A$192,'Données projet'!$B$192,EJ75+EI76-ER75)))</f>
        <v>170.00480769230765</v>
      </c>
      <c r="EK76" s="17">
        <f>EJ76*VLOOKUP('Données projet'!$B$15,Paramètres!$A$1:$I$89,3,0)*VLOOKUP('Données projet'!$B$15,Paramètres!$A$1:$I$89,5,0)</f>
        <v>182.99317499999995</v>
      </c>
      <c r="EL76" s="13">
        <f t="shared" si="99"/>
        <v>45.987471932496092</v>
      </c>
      <c r="EM76" s="20">
        <f t="shared" si="73"/>
        <v>398.80796007409725</v>
      </c>
      <c r="EN76" s="59">
        <f t="shared" si="74"/>
        <v>692.14129340743057</v>
      </c>
      <c r="EO76" s="59">
        <f ca="1">AVERAGE(OFFSET($EN$3,0,0,'Données projet'!$E$15+1,1))-AVERAGE(OFFSET($H$3,0,0,'Données projet'!$E$15+1,1))</f>
        <v>211.18501783767226</v>
      </c>
      <c r="EP76" s="59">
        <f t="shared" si="100"/>
        <v>147.98306963466246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12.8</v>
      </c>
      <c r="FE76" s="12">
        <f>IF('Données projet'!$A$218&gt;35,FE75+FD76-FM75,IF(A76&lt;'Données projet'!$A$218,$FB$205^A76,IF(A76='Données projet'!$A$218,'Données projet'!$B$218,FE75+FD76-FM75)))</f>
        <v>390.39999999999969</v>
      </c>
      <c r="FF76" s="17">
        <f>FE76*VLOOKUP('Données projet'!$B$16,Paramètres!$A$1:$I$89,3,0)*VLOOKUP('Données projet'!$B$16,Paramètres!$A$1:$I$89,5,0)</f>
        <v>233.45919999999984</v>
      </c>
      <c r="FG76" s="13">
        <f t="shared" si="101"/>
        <v>57.029990372442519</v>
      </c>
      <c r="FH76" s="20">
        <f t="shared" si="76"/>
        <v>505.93533989867046</v>
      </c>
      <c r="FI76" s="59">
        <f t="shared" si="77"/>
        <v>799.26867323200372</v>
      </c>
      <c r="FJ76" s="59">
        <f ca="1">AVERAGE(OFFSET($FI$3,0,0,'Données projet'!$E$16+1,1))-AVERAGE(OFFSET($H$3,0,0,'Données projet'!$E$16+1,1))</f>
        <v>232.26937455765062</v>
      </c>
      <c r="FK76" s="59">
        <f t="shared" si="102"/>
        <v>115.80853281120301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0.94448897305826118</v>
      </c>
      <c r="FR76" s="21">
        <f>EXP(-LN(2)/25)*FR75+(1-EXP(-LN(2)/25))/(LN(2)/25)*Calculateur!FM76*Calculateur!FO76*VLOOKUP('Données projet'!$B$16,Paramètres!$A$1:$I$89,3,0)*0.475*44/12</f>
        <v>1.3383779985015609</v>
      </c>
      <c r="FS76" s="21">
        <f>EXP(-LN(2)/2)*FS75+(1-EXP(-LN(2)/2))/(LN(2)/2)*FM76*FP76*VLOOKUP('Données projet'!$B$16,Paramètres!$A$1:$I$89,3,0)*0.475*44/12</f>
        <v>2.8308281236927325E-6</v>
      </c>
      <c r="FT76" s="22">
        <f t="shared" si="78"/>
        <v>2.2828698023879461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3.1</v>
      </c>
      <c r="FZ76" s="12">
        <f>IF('Données projet'!$A$244&gt;35,FZ75+FY76-GH75,IF(A76&lt;'Données projet'!$A$244,$FW$205^A76,IF(A76='Données projet'!$A$244,'Données projet'!$B$244,FZ75+FY76-GH75)))</f>
        <v>262.2999999999999</v>
      </c>
      <c r="GA76" s="17">
        <f>FZ76*VLOOKUP('Données projet'!$B$17,Paramètres!$A$1:$I$89,3,0)*VLOOKUP('Données projet'!$B$17,Paramètres!$A$1:$I$89,5,0)</f>
        <v>208.68587999999991</v>
      </c>
      <c r="GB76" s="13">
        <f t="shared" si="103"/>
        <v>51.648312584769947</v>
      </c>
      <c r="GC76" s="20">
        <f t="shared" si="79"/>
        <v>453.41538541847422</v>
      </c>
      <c r="GD76" s="59">
        <f t="shared" si="80"/>
        <v>746.74871875180747</v>
      </c>
      <c r="GE76" s="59">
        <f ca="1">AVERAGE(OFFSET($GD$3,0,0,'Données projet'!$E$17+1,1))-AVERAGE(OFFSET($H$3,0,0,'Données projet'!$E$17+1,1))</f>
        <v>199.58763537752952</v>
      </c>
      <c r="GF76" s="59">
        <f t="shared" si="104"/>
        <v>242.62852778451929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3.1213843563786186</v>
      </c>
      <c r="GN76" s="21">
        <f>EXP(-LN(2)/2)*GN75+(1-EXP(-LN(2)/2))/(LN(2)/2)*GH76*GK76*VLOOKUP('Données projet'!$B$17,Paramètres!$A$1:$I$89,3,0)*0.475*44/12</f>
        <v>3.6285261707215424E-6</v>
      </c>
      <c r="GO76" s="21">
        <f t="shared" si="81"/>
        <v>3.1213879849047892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5.6899038461538431</v>
      </c>
      <c r="N77" s="13">
        <f>IF('Données projet'!$A$36&gt;35,N76+M77-V76,IF(A77&lt;'Données projet'!$A$36,$K$205^A77,IF(A77='Données projet'!$A$36,'Données projet'!$B$36,N76+M77-V76)))</f>
        <v>175.69471153846149</v>
      </c>
      <c r="O77" s="13">
        <f>N77*VLOOKUP('Données projet'!$B$9,Paramètres!$A$1:$I$89,3,0)*VLOOKUP('Données projet'!$B$9,Paramètres!$A$1:$I$89,5,0)</f>
        <v>158.96857499999996</v>
      </c>
      <c r="P77" s="13">
        <f t="shared" si="87"/>
        <v>40.609787126426944</v>
      </c>
      <c r="Q77" s="20">
        <f t="shared" si="54"/>
        <v>347.59898070352688</v>
      </c>
      <c r="R77" s="59">
        <f t="shared" si="55"/>
        <v>640.93231403686013</v>
      </c>
      <c r="S77" s="59">
        <f ca="1">AVERAGE(OFFSET($R$3,0,0,'Données projet'!$E$9+1,1))-AVERAGE(OFFSET($H$3,0,0,'Données projet'!$E$9+1,1))</f>
        <v>153.45079678708987</v>
      </c>
      <c r="T77" s="59">
        <f t="shared" si="88"/>
        <v>115.4217868409637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178.15443749999994</v>
      </c>
      <c r="AK77" s="13">
        <f t="shared" si="89"/>
        <v>44.911336552510832</v>
      </c>
      <c r="AL77" s="20">
        <f t="shared" si="58"/>
        <v>388.50622314145625</v>
      </c>
      <c r="AM77" s="59">
        <f t="shared" si="59"/>
        <v>681.83955647478956</v>
      </c>
      <c r="AN77" s="59">
        <f ca="1">AVERAGE(OFFSET($AM$3,0,0,'Données projet'!$E$10+1,1))-AVERAGE(OFFSET($H$3,0,0,'Données projet'!$E$10+1,1))</f>
        <v>190.21499310415584</v>
      </c>
      <c r="AO77" s="59">
        <f t="shared" si="90"/>
        <v>136.15730566500173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12.5</v>
      </c>
      <c r="BD77" s="12">
        <f>IF('Données projet'!$A$88&gt;35,BD76+BC77-BL76,IF(A77&lt;'Données projet'!$A$88,$BA$205^A77,IF(A77='Données projet'!$A$88,'Données projet'!$B$88,BD76+BC77-BL76)))</f>
        <v>462.00000000000028</v>
      </c>
      <c r="BE77" s="13">
        <f>BD77*VLOOKUP('Données projet'!$B$11,Paramètres!$A$1:$I$89,3,0)*VLOOKUP('Données projet'!$B$11,Paramètres!$A$1:$I$89,5,0)</f>
        <v>276.27600000000018</v>
      </c>
      <c r="BF77" s="13">
        <f t="shared" si="91"/>
        <v>66.179408416217214</v>
      </c>
      <c r="BG77" s="20">
        <f t="shared" si="61"/>
        <v>596.44316965824521</v>
      </c>
      <c r="BH77" s="59">
        <f t="shared" si="62"/>
        <v>889.77650299157858</v>
      </c>
      <c r="BI77" s="59">
        <f ca="1">AVERAGE(OFFSET($BH$3,0,0,'Données projet'!$E$11+1,1))-AVERAGE(OFFSET($H$3,0,0,'Données projet'!$E$11+1,1))</f>
        <v>270.30888762640245</v>
      </c>
      <c r="BJ77" s="59">
        <f t="shared" si="92"/>
        <v>202.23783851977691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0.89609818101094729</v>
      </c>
      <c r="BQ77" s="21">
        <f>EXP(-LN(2)/25)*BQ76+(1-EXP(-LN(2)/25))/(LN(2)/25)*Calculateur!BL77*Calculateur!BN77*VLOOKUP('Données projet'!$B$11,Paramètres!$A$1:$I$89,3,0)*0.475*44/12</f>
        <v>3.6301376555411777</v>
      </c>
      <c r="BR77" s="21">
        <f>EXP(-LN(2)/2)*BR76+(1-EXP(-LN(2)/2))/(LN(2)/2)*BL77*BO77*VLOOKUP('Données projet'!$B$11,Paramètres!$A$1:$I$89,3,0)*0.475*44/12</f>
        <v>4.4089814630657635E-6</v>
      </c>
      <c r="BS77" s="22">
        <f t="shared" si="63"/>
        <v>4.5262402455335886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12.5</v>
      </c>
      <c r="BY77" s="12">
        <f>IF('Données projet'!$A$114&gt;35,BY76+BX77-CG76,IF(A77&lt;'Données projet'!$A$114,$BV$205^A77,IF(A77='Données projet'!$A$114,'Données projet'!$B$114,BY76+BX77-CG76)))</f>
        <v>462.00000000000028</v>
      </c>
      <c r="BZ77" s="13">
        <f>BY77*VLOOKUP('Données projet'!$B$12,Paramètres!$A$1:$I$89,3,0)*VLOOKUP('Données projet'!$B$12,Paramètres!$A$1:$I$89,5,0)</f>
        <v>276.27600000000018</v>
      </c>
      <c r="CA77" s="13">
        <f t="shared" si="93"/>
        <v>66.179408416217214</v>
      </c>
      <c r="CB77" s="20">
        <f t="shared" si="64"/>
        <v>596.44316965824521</v>
      </c>
      <c r="CC77" s="59">
        <f t="shared" si="65"/>
        <v>889.77650299157858</v>
      </c>
      <c r="CD77" s="59">
        <f ca="1">AVERAGE(OFFSET($CC$3,0,0,'Données projet'!$E$12+1,1))-AVERAGE(OFFSET($H$3,0,0,'Données projet'!$E$12+1,1))</f>
        <v>270.30888762640245</v>
      </c>
      <c r="CE77" s="59">
        <f t="shared" si="94"/>
        <v>202.23783851977691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0.89609818101094729</v>
      </c>
      <c r="CL77" s="21">
        <f>EXP(-LN(2)/25)*CL76+(1-EXP(-LN(2)/25))/(LN(2)/25)*Calculateur!CG77*Calculateur!CI77*VLOOKUP('Données projet'!$B$12,Paramètres!$A$1:$I$89,3,0)*0.475*44/12</f>
        <v>3.6301376555411777</v>
      </c>
      <c r="CM77" s="21">
        <f>EXP(-LN(2)/2)*CM76+(1-EXP(-LN(2)/2))/(LN(2)/2)*CG77*CJ77*VLOOKUP('Données projet'!$B$12,Paramètres!$A$1:$I$89,3,0)*0.475*44/12</f>
        <v>4.4089814630657635E-6</v>
      </c>
      <c r="CN77" s="22">
        <f t="shared" si="66"/>
        <v>4.5262402455335886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12.913461538461533</v>
      </c>
      <c r="CT77" s="12">
        <f>IF('Données projet'!$A$140&gt;35,CT76+CS77-DB76,IF(A77&lt;'Données projet'!$A$140,$CQ$205^A77,IF(A77='Données projet'!$A$140,'Données projet'!$B$140,CT76+CS77-DB76)))</f>
        <v>372.29423076923086</v>
      </c>
      <c r="CU77" s="17">
        <f>CT77*VLOOKUP('Données projet'!$B$13,Paramètres!$A$1:$I$89,3,0)*VLOOKUP('Données projet'!$B$13,Paramètres!$A$1:$I$89,5,0)</f>
        <v>174.23370000000006</v>
      </c>
      <c r="CV77" s="13">
        <f t="shared" si="95"/>
        <v>44.036869769028705</v>
      </c>
      <c r="CW77" s="20">
        <f t="shared" si="67"/>
        <v>380.15457568105836</v>
      </c>
      <c r="CX77" s="59">
        <f t="shared" si="68"/>
        <v>673.48790901439168</v>
      </c>
      <c r="CY77" s="59">
        <f ca="1">AVERAGE(OFFSET($CX$3,0,0,'Données projet'!$E$13+1,1))-AVERAGE(OFFSET($H$3,0,0,'Données projet'!$E$13+1,1))</f>
        <v>158.58786357608489</v>
      </c>
      <c r="CZ77" s="59">
        <f t="shared" si="96"/>
        <v>163.20074068819849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3.1</v>
      </c>
      <c r="DO77" s="12">
        <f>IF('Données projet'!$A$166&gt;35,DO76+DN77-DW76,IF(A77&lt;'Données projet'!$A$166,$DL$205^A77,IF(A77='Données projet'!$A$166,'Données projet'!$B$166,DO76+DN77-DW76)))</f>
        <v>265.39999999999992</v>
      </c>
      <c r="DP77" s="17">
        <f>DO77*VLOOKUP('Données projet'!$B$14,Paramètres!$A$1:$I$89,3,0)*VLOOKUP('Données projet'!$B$14,Paramètres!$A$1:$I$89,5,0)</f>
        <v>178.03031999999993</v>
      </c>
      <c r="DQ77" s="13">
        <f t="shared" si="97"/>
        <v>44.883688428064346</v>
      </c>
      <c r="DR77" s="20">
        <f t="shared" si="70"/>
        <v>388.24189801221195</v>
      </c>
      <c r="DS77" s="59">
        <f t="shared" si="71"/>
        <v>681.57523134554526</v>
      </c>
      <c r="DT77" s="59">
        <f ca="1">AVERAGE(OFFSET($DS$3,0,0,'Données projet'!$E$14+1,1))-AVERAGE(OFFSET($H$3,0,0,'Données projet'!$E$14+1,1))</f>
        <v>156.63226020379989</v>
      </c>
      <c r="DU77" s="59">
        <f t="shared" si="98"/>
        <v>196.0481096619543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2.5597899468882357</v>
      </c>
      <c r="EC77" s="21">
        <f>EXP(-LN(2)/2)*EC76+(1-EXP(-LN(2)/2))/(LN(2)/2)*DW77*DZ77*VLOOKUP('Données projet'!$B$14,Paramètres!$A$1:$I$89,3,0)*0.475*44/12</f>
        <v>2.1632840161625966E-6</v>
      </c>
      <c r="ED77" s="22">
        <f t="shared" si="72"/>
        <v>2.5597921101722521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5.6899038461538431</v>
      </c>
      <c r="EJ77" s="12">
        <f>IF('Données projet'!$A$192&gt;35,EJ76+EI77-ER76,IF(A77&lt;'Données projet'!$A$192,$EG$205^A77,IF(A77='Données projet'!$A$192,'Données projet'!$B$192,EJ76+EI77-ER76)))</f>
        <v>175.69471153846149</v>
      </c>
      <c r="EK77" s="17">
        <f>EJ77*VLOOKUP('Données projet'!$B$15,Paramètres!$A$1:$I$89,3,0)*VLOOKUP('Données projet'!$B$15,Paramètres!$A$1:$I$89,5,0)</f>
        <v>189.11778749999993</v>
      </c>
      <c r="EL77" s="13">
        <f t="shared" si="99"/>
        <v>47.344855394007666</v>
      </c>
      <c r="EM77" s="20">
        <f t="shared" si="73"/>
        <v>411.83910304039659</v>
      </c>
      <c r="EN77" s="59">
        <f t="shared" si="74"/>
        <v>705.17243637372985</v>
      </c>
      <c r="EO77" s="59">
        <f ca="1">AVERAGE(OFFSET($EN$3,0,0,'Données projet'!$E$15+1,1))-AVERAGE(OFFSET($H$3,0,0,'Données projet'!$E$15+1,1))</f>
        <v>211.18501783767226</v>
      </c>
      <c r="EP77" s="59">
        <f t="shared" si="100"/>
        <v>147.98306963466246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12.8</v>
      </c>
      <c r="FE77" s="12">
        <f>IF('Données projet'!$A$218&gt;35,FE76+FD77-FM76,IF(A77&lt;'Données projet'!$A$218,$FB$205^A77,IF(A77='Données projet'!$A$218,'Données projet'!$B$218,FE76+FD77-FM76)))</f>
        <v>403.1999999999997</v>
      </c>
      <c r="FF77" s="17">
        <f>FE77*VLOOKUP('Données projet'!$B$16,Paramètres!$A$1:$I$89,3,0)*VLOOKUP('Données projet'!$B$16,Paramètres!$A$1:$I$89,5,0)</f>
        <v>241.11359999999982</v>
      </c>
      <c r="FG77" s="13">
        <f t="shared" si="101"/>
        <v>58.6790623558988</v>
      </c>
      <c r="FH77" s="20">
        <f t="shared" si="76"/>
        <v>522.13888693652348</v>
      </c>
      <c r="FI77" s="59">
        <f t="shared" si="77"/>
        <v>815.47222026985673</v>
      </c>
      <c r="FJ77" s="59">
        <f ca="1">AVERAGE(OFFSET($FI$3,0,0,'Données projet'!$E$16+1,1))-AVERAGE(OFFSET($H$3,0,0,'Données projet'!$E$16+1,1))</f>
        <v>232.26937455765062</v>
      </c>
      <c r="FK77" s="59">
        <f t="shared" si="102"/>
        <v>115.80853281120301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0.92596812037797893</v>
      </c>
      <c r="FR77" s="21">
        <f>EXP(-LN(2)/25)*FR76+(1-EXP(-LN(2)/25))/(LN(2)/25)*Calculateur!FM77*Calculateur!FO77*VLOOKUP('Données projet'!$B$16,Paramètres!$A$1:$I$89,3,0)*0.475*44/12</f>
        <v>1.3017799817502957</v>
      </c>
      <c r="FS77" s="21">
        <f>EXP(-LN(2)/2)*FS76+(1-EXP(-LN(2)/2))/(LN(2)/2)*FM77*FP77*VLOOKUP('Données projet'!$B$16,Paramètres!$A$1:$I$89,3,0)*0.475*44/12</f>
        <v>2.0016977626367218E-6</v>
      </c>
      <c r="FT77" s="22">
        <f t="shared" si="78"/>
        <v>2.2277501038260374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3.1</v>
      </c>
      <c r="FZ77" s="12">
        <f>IF('Données projet'!$A$244&gt;35,FZ76+FY77-GH76,IF(A77&lt;'Données projet'!$A$244,$FW$205^A77,IF(A77='Données projet'!$A$244,'Données projet'!$B$244,FZ76+FY77-GH76)))</f>
        <v>265.39999999999992</v>
      </c>
      <c r="GA77" s="17">
        <f>FZ77*VLOOKUP('Données projet'!$B$17,Paramètres!$A$1:$I$89,3,0)*VLOOKUP('Données projet'!$B$17,Paramètres!$A$1:$I$89,5,0)</f>
        <v>211.15223999999995</v>
      </c>
      <c r="GB77" s="13">
        <f t="shared" si="103"/>
        <v>52.187298885462759</v>
      </c>
      <c r="GC77" s="20">
        <f t="shared" si="79"/>
        <v>458.64969689218088</v>
      </c>
      <c r="GD77" s="59">
        <f t="shared" si="80"/>
        <v>751.9830302255142</v>
      </c>
      <c r="GE77" s="59">
        <f ca="1">AVERAGE(OFFSET($GD$3,0,0,'Données projet'!$E$17+1,1))-AVERAGE(OFFSET($H$3,0,0,'Données projet'!$E$17+1,1))</f>
        <v>199.58763537752952</v>
      </c>
      <c r="GF77" s="59">
        <f t="shared" si="104"/>
        <v>242.62852778451929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3.0360299370069761</v>
      </c>
      <c r="GN77" s="21">
        <f>EXP(-LN(2)/2)*GN76+(1-EXP(-LN(2)/2))/(LN(2)/2)*GH77*GK77*VLOOKUP('Données projet'!$B$17,Paramètres!$A$1:$I$89,3,0)*0.475*44/12</f>
        <v>2.5657554610300588E-6</v>
      </c>
      <c r="GO77" s="21">
        <f t="shared" si="81"/>
        <v>3.0360325027624371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181.38461538461536</v>
      </c>
      <c r="L78" s="12">
        <f>VLOOKUP(A78,'Données projet'!$A$35:$I$55,9,0)</f>
        <v>5.6899038461538431</v>
      </c>
      <c r="M78" s="12">
        <f t="array" ref="M78">INDEX(L:L,MIN(IF(ISNUMBER(L78:L274),ROW(L78:L274),"")))</f>
        <v>5.6899038461538431</v>
      </c>
      <c r="N78" s="13">
        <f>IF('Données projet'!$A$36&gt;35,N77+M78-V77,IF(A78&lt;'Données projet'!$A$36,$K$205^A78,IF(A78='Données projet'!$A$36,'Données projet'!$B$36,N77+M78-V77)))</f>
        <v>181.38461538461533</v>
      </c>
      <c r="O78" s="13">
        <f>N78*VLOOKUP('Données projet'!$B$9,Paramètres!$A$1:$I$89,3,0)*VLOOKUP('Données projet'!$B$9,Paramètres!$A$1:$I$89,5,0)</f>
        <v>164.11679999999993</v>
      </c>
      <c r="P78" s="13">
        <f t="shared" si="87"/>
        <v>41.769693774469289</v>
      </c>
      <c r="Q78" s="20">
        <f t="shared" si="54"/>
        <v>358.58564332386726</v>
      </c>
      <c r="R78" s="59">
        <f t="shared" si="55"/>
        <v>651.91897665720057</v>
      </c>
      <c r="S78" s="59">
        <f ca="1">AVERAGE(OFFSET($R$3,0,0,'Données projet'!$E$9+1,1))-AVERAGE(OFFSET($H$3,0,0,'Données projet'!$E$9+1,1))</f>
        <v>153.45079678708987</v>
      </c>
      <c r="T78" s="59">
        <f t="shared" si="88"/>
        <v>115.4217868409637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30.916666666666664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183.92399999999995</v>
      </c>
      <c r="AK78" s="13">
        <f t="shared" si="89"/>
        <v>46.194105104770117</v>
      </c>
      <c r="AL78" s="20">
        <f t="shared" si="58"/>
        <v>400.78903305747446</v>
      </c>
      <c r="AM78" s="59">
        <f t="shared" si="59"/>
        <v>694.12236639080777</v>
      </c>
      <c r="AN78" s="59">
        <f ca="1">AVERAGE(OFFSET($AM$3,0,0,'Données projet'!$E$10+1,1))-AVERAGE(OFFSET($H$3,0,0,'Données projet'!$E$10+1,1))</f>
        <v>190.21499310415584</v>
      </c>
      <c r="AO78" s="59">
        <f t="shared" si="90"/>
        <v>136.15730566500173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12.5</v>
      </c>
      <c r="BD78" s="12">
        <f>IF('Données projet'!$A$88&gt;35,BD77+BC78-BL77,IF(A78&lt;'Données projet'!$A$88,$BA$205^A78,IF(A78='Données projet'!$A$88,'Données projet'!$B$88,BD77+BC78-BL77)))</f>
        <v>474.50000000000028</v>
      </c>
      <c r="BE78" s="13">
        <f>BD78*VLOOKUP('Données projet'!$B$11,Paramètres!$A$1:$I$89,3,0)*VLOOKUP('Données projet'!$B$11,Paramètres!$A$1:$I$89,5,0)</f>
        <v>283.7510000000002</v>
      </c>
      <c r="BF78" s="13">
        <f t="shared" si="91"/>
        <v>67.759088027504106</v>
      </c>
      <c r="BG78" s="20">
        <f t="shared" si="61"/>
        <v>612.21340331456997</v>
      </c>
      <c r="BH78" s="59">
        <f t="shared" si="62"/>
        <v>905.54673664790334</v>
      </c>
      <c r="BI78" s="59">
        <f ca="1">AVERAGE(OFFSET($BH$3,0,0,'Données projet'!$E$11+1,1))-AVERAGE(OFFSET($H$3,0,0,'Données projet'!$E$11+1,1))</f>
        <v>270.30888762640245</v>
      </c>
      <c r="BJ78" s="59">
        <f t="shared" si="92"/>
        <v>202.23783851977691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0.87852624224724418</v>
      </c>
      <c r="BQ78" s="21">
        <f>EXP(-LN(2)/25)*BQ77+(1-EXP(-LN(2)/25))/(LN(2)/25)*Calculateur!BL78*Calculateur!BN78*VLOOKUP('Données projet'!$B$11,Paramètres!$A$1:$I$89,3,0)*0.475*44/12</f>
        <v>3.5308713504497615</v>
      </c>
      <c r="BR78" s="21">
        <f>EXP(-LN(2)/2)*BR77+(1-EXP(-LN(2)/2))/(LN(2)/2)*BL78*BO78*VLOOKUP('Données projet'!$B$11,Paramètres!$A$1:$I$89,3,0)*0.475*44/12</f>
        <v>3.117620690659587E-6</v>
      </c>
      <c r="BS78" s="22">
        <f t="shared" si="63"/>
        <v>4.409400710317696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12.5</v>
      </c>
      <c r="BY78" s="12">
        <f>IF('Données projet'!$A$114&gt;35,BY77+BX78-CG77,IF(A78&lt;'Données projet'!$A$114,$BV$205^A78,IF(A78='Données projet'!$A$114,'Données projet'!$B$114,BY77+BX78-CG77)))</f>
        <v>474.50000000000028</v>
      </c>
      <c r="BZ78" s="13">
        <f>BY78*VLOOKUP('Données projet'!$B$12,Paramètres!$A$1:$I$89,3,0)*VLOOKUP('Données projet'!$B$12,Paramètres!$A$1:$I$89,5,0)</f>
        <v>283.7510000000002</v>
      </c>
      <c r="CA78" s="13">
        <f t="shared" si="93"/>
        <v>67.759088027504106</v>
      </c>
      <c r="CB78" s="20">
        <f t="shared" si="64"/>
        <v>612.21340331456997</v>
      </c>
      <c r="CC78" s="59">
        <f t="shared" si="65"/>
        <v>905.54673664790334</v>
      </c>
      <c r="CD78" s="59">
        <f ca="1">AVERAGE(OFFSET($CC$3,0,0,'Données projet'!$E$12+1,1))-AVERAGE(OFFSET($H$3,0,0,'Données projet'!$E$12+1,1))</f>
        <v>270.30888762640245</v>
      </c>
      <c r="CE78" s="59">
        <f t="shared" si="94"/>
        <v>202.23783851977691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0.87852624224724418</v>
      </c>
      <c r="CL78" s="21">
        <f>EXP(-LN(2)/25)*CL77+(1-EXP(-LN(2)/25))/(LN(2)/25)*Calculateur!CG78*Calculateur!CI78*VLOOKUP('Données projet'!$B$12,Paramètres!$A$1:$I$89,3,0)*0.475*44/12</f>
        <v>3.5308713504497615</v>
      </c>
      <c r="CM78" s="21">
        <f>EXP(-LN(2)/2)*CM77+(1-EXP(-LN(2)/2))/(LN(2)/2)*CG78*CJ78*VLOOKUP('Données projet'!$B$12,Paramètres!$A$1:$I$89,3,0)*0.475*44/12</f>
        <v>3.117620690659587E-6</v>
      </c>
      <c r="CN78" s="22">
        <f t="shared" si="66"/>
        <v>4.409400710317696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12.913461538461533</v>
      </c>
      <c r="CT78" s="12">
        <f>IF('Données projet'!$A$140&gt;35,CT77+CS78-DB77,IF(A78&lt;'Données projet'!$A$140,$CQ$205^A78,IF(A78='Données projet'!$A$140,'Données projet'!$B$140,CT77+CS78-DB77)))</f>
        <v>385.20769230769241</v>
      </c>
      <c r="CU78" s="17">
        <f>CT78*VLOOKUP('Données projet'!$B$13,Paramètres!$A$1:$I$89,3,0)*VLOOKUP('Données projet'!$B$13,Paramètres!$A$1:$I$89,5,0)</f>
        <v>180.27720000000005</v>
      </c>
      <c r="CV78" s="13">
        <f t="shared" si="95"/>
        <v>45.383852535093837</v>
      </c>
      <c r="CW78" s="20">
        <f t="shared" si="67"/>
        <v>393.02633316528846</v>
      </c>
      <c r="CX78" s="59">
        <f t="shared" si="68"/>
        <v>686.35966649862178</v>
      </c>
      <c r="CY78" s="59">
        <f ca="1">AVERAGE(OFFSET($CX$3,0,0,'Données projet'!$E$13+1,1))-AVERAGE(OFFSET($H$3,0,0,'Données projet'!$E$13+1,1))</f>
        <v>158.58786357608489</v>
      </c>
      <c r="CZ78" s="59">
        <f t="shared" si="96"/>
        <v>163.20074068819849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3.1</v>
      </c>
      <c r="DO78" s="12">
        <f>IF('Données projet'!$A$166&gt;35,DO77+DN78-DW77,IF(A78&lt;'Données projet'!$A$166,$DL$205^A78,IF(A78='Données projet'!$A$166,'Données projet'!$B$166,DO77+DN78-DW77)))</f>
        <v>268.49999999999994</v>
      </c>
      <c r="DP78" s="17">
        <f>DO78*VLOOKUP('Données projet'!$B$14,Paramètres!$A$1:$I$89,3,0)*VLOOKUP('Données projet'!$B$14,Paramètres!$A$1:$I$89,5,0)</f>
        <v>180.10979999999995</v>
      </c>
      <c r="DQ78" s="13">
        <f t="shared" si="97"/>
        <v>45.346613776556069</v>
      </c>
      <c r="DR78" s="20">
        <f t="shared" si="70"/>
        <v>392.66992066083503</v>
      </c>
      <c r="DS78" s="59">
        <f t="shared" si="71"/>
        <v>686.00325399416829</v>
      </c>
      <c r="DT78" s="59">
        <f ca="1">AVERAGE(OFFSET($DS$3,0,0,'Données projet'!$E$14+1,1))-AVERAGE(OFFSET($H$3,0,0,'Données projet'!$E$14+1,1))</f>
        <v>156.63226020379989</v>
      </c>
      <c r="DU78" s="59">
        <f t="shared" si="98"/>
        <v>196.0481096619543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2.4897923561770741</v>
      </c>
      <c r="EC78" s="21">
        <f>EXP(-LN(2)/2)*EC77+(1-EXP(-LN(2)/2))/(LN(2)/2)*DW78*DZ78*VLOOKUP('Données projet'!$B$14,Paramètres!$A$1:$I$89,3,0)*0.475*44/12</f>
        <v>1.5296727974610409E-6</v>
      </c>
      <c r="ED78" s="22">
        <f t="shared" si="72"/>
        <v>2.4897938858498714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181.38461538461536</v>
      </c>
      <c r="EH78" s="12">
        <f>VLOOKUP(A78,'Données projet'!$A$191:$I$211,9,0)</f>
        <v>5.6899038461538431</v>
      </c>
      <c r="EI78" s="12">
        <f t="array" ref="EI78">INDEX(EH:EH,MIN(IF(ISNUMBER(EH78:EH274),ROW(EH78:EH274),"")))</f>
        <v>5.6899038461538431</v>
      </c>
      <c r="EJ78" s="12">
        <f>IF('Données projet'!$A$192&gt;35,EJ77+EI78-ER77,IF(A78&lt;'Données projet'!$A$192,$EG$205^A78,IF(A78='Données projet'!$A$192,'Données projet'!$B$192,EJ77+EI78-ER77)))</f>
        <v>181.38461538461533</v>
      </c>
      <c r="EK78" s="17">
        <f>EJ78*VLOOKUP('Données projet'!$B$15,Paramètres!$A$1:$I$89,3,0)*VLOOKUP('Données projet'!$B$15,Paramètres!$A$1:$I$89,5,0)</f>
        <v>195.24239999999992</v>
      </c>
      <c r="EL78" s="13">
        <f t="shared" si="99"/>
        <v>48.697130705157342</v>
      </c>
      <c r="EM78" s="20">
        <f t="shared" si="73"/>
        <v>424.86134931148223</v>
      </c>
      <c r="EN78" s="59">
        <f t="shared" si="74"/>
        <v>718.19468264481554</v>
      </c>
      <c r="EO78" s="59">
        <f ca="1">AVERAGE(OFFSET($EN$3,0,0,'Données projet'!$E$15+1,1))-AVERAGE(OFFSET($H$3,0,0,'Données projet'!$E$15+1,1))</f>
        <v>211.18501783767226</v>
      </c>
      <c r="EP78" s="59">
        <f t="shared" si="100"/>
        <v>147.98306963466246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30.916666666666664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12.8</v>
      </c>
      <c r="FE78" s="12">
        <f>IF('Données projet'!$A$218&gt;35,FE77+FD78-FM77,IF(A78&lt;'Données projet'!$A$218,$FB$205^A78,IF(A78='Données projet'!$A$218,'Données projet'!$B$218,FE77+FD78-FM77)))</f>
        <v>415.99999999999972</v>
      </c>
      <c r="FF78" s="17">
        <f>FE78*VLOOKUP('Données projet'!$B$16,Paramètres!$A$1:$I$89,3,0)*VLOOKUP('Données projet'!$B$16,Paramètres!$A$1:$I$89,5,0)</f>
        <v>248.76799999999983</v>
      </c>
      <c r="FG78" s="13">
        <f t="shared" si="101"/>
        <v>60.32205079116369</v>
      </c>
      <c r="FH78" s="20">
        <f t="shared" si="76"/>
        <v>538.33183846127656</v>
      </c>
      <c r="FI78" s="59">
        <f t="shared" si="77"/>
        <v>831.66517179460993</v>
      </c>
      <c r="FJ78" s="59">
        <f ca="1">AVERAGE(OFFSET($FI$3,0,0,'Données projet'!$E$16+1,1))-AVERAGE(OFFSET($H$3,0,0,'Données projet'!$E$16+1,1))</f>
        <v>232.26937455765062</v>
      </c>
      <c r="FK78" s="59">
        <f t="shared" si="102"/>
        <v>115.80853281120301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0.90781045032215235</v>
      </c>
      <c r="FR78" s="21">
        <f>EXP(-LN(2)/25)*FR77+(1-EXP(-LN(2)/25))/(LN(2)/25)*Calculateur!FM78*Calculateur!FO78*VLOOKUP('Données projet'!$B$16,Paramètres!$A$1:$I$89,3,0)*0.475*44/12</f>
        <v>1.2661827396917</v>
      </c>
      <c r="FS78" s="21">
        <f>EXP(-LN(2)/2)*FS77+(1-EXP(-LN(2)/2))/(LN(2)/2)*FM78*FP78*VLOOKUP('Données projet'!$B$16,Paramètres!$A$1:$I$89,3,0)*0.475*44/12</f>
        <v>1.4154140618463662E-6</v>
      </c>
      <c r="FT78" s="22">
        <f t="shared" si="78"/>
        <v>2.1739946054279145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3.1</v>
      </c>
      <c r="FZ78" s="12">
        <f>IF('Données projet'!$A$244&gt;35,FZ77+FY78-GH77,IF(A78&lt;'Données projet'!$A$244,$FW$205^A78,IF(A78='Données projet'!$A$244,'Données projet'!$B$244,FZ77+FY78-GH77)))</f>
        <v>268.49999999999994</v>
      </c>
      <c r="GA78" s="17">
        <f>FZ78*VLOOKUP('Données projet'!$B$17,Paramètres!$A$1:$I$89,3,0)*VLOOKUP('Données projet'!$B$17,Paramètres!$A$1:$I$89,5,0)</f>
        <v>213.61859999999996</v>
      </c>
      <c r="GB78" s="13">
        <f t="shared" si="103"/>
        <v>52.725552856326011</v>
      </c>
      <c r="GC78" s="20">
        <f t="shared" si="79"/>
        <v>463.88273289143444</v>
      </c>
      <c r="GD78" s="59">
        <f t="shared" si="80"/>
        <v>757.2160662247677</v>
      </c>
      <c r="GE78" s="59">
        <f ca="1">AVERAGE(OFFSET($GD$3,0,0,'Données projet'!$E$17+1,1))-AVERAGE(OFFSET($H$3,0,0,'Données projet'!$E$17+1,1))</f>
        <v>199.58763537752952</v>
      </c>
      <c r="GF78" s="59">
        <f t="shared" si="104"/>
        <v>242.62852778451929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2.9530095387216448</v>
      </c>
      <c r="GN78" s="21">
        <f>EXP(-LN(2)/2)*GN77+(1-EXP(-LN(2)/2))/(LN(2)/2)*GH78*GK78*VLOOKUP('Données projet'!$B$17,Paramètres!$A$1:$I$89,3,0)*0.475*44/12</f>
        <v>1.8142630853607712E-6</v>
      </c>
      <c r="GO78" s="21">
        <f t="shared" si="81"/>
        <v>2.9530113529847304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5.5042735042735051</v>
      </c>
      <c r="N79" s="13">
        <f>IF('Données projet'!$A$36&gt;35,N78+M79-V78,IF(A79&lt;'Données projet'!$A$36,$K$205^A79,IF(A79='Données projet'!$A$36,'Données projet'!$B$36,N78+M79-V78)))</f>
        <v>155.97222222222217</v>
      </c>
      <c r="O79" s="13">
        <f>N79*VLOOKUP('Données projet'!$B$9,Paramètres!$A$1:$I$89,3,0)*VLOOKUP('Données projet'!$B$9,Paramètres!$A$1:$I$89,5,0)</f>
        <v>141.12366666666662</v>
      </c>
      <c r="P79" s="13">
        <f t="shared" si="87"/>
        <v>36.554301861544381</v>
      </c>
      <c r="Q79" s="20">
        <f t="shared" si="54"/>
        <v>309.45579518663413</v>
      </c>
      <c r="R79" s="59">
        <f t="shared" si="55"/>
        <v>602.78912851996745</v>
      </c>
      <c r="S79" s="59">
        <f ca="1">AVERAGE(OFFSET($R$3,0,0,'Données projet'!$E$9+1,1))-AVERAGE(OFFSET($H$3,0,0,'Données projet'!$E$9+1,1))</f>
        <v>153.45079678708987</v>
      </c>
      <c r="T79" s="59">
        <f t="shared" si="88"/>
        <v>115.4217868409637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158.15583333333331</v>
      </c>
      <c r="AK79" s="13">
        <f t="shared" si="89"/>
        <v>40.426278232755124</v>
      </c>
      <c r="AL79" s="20">
        <f t="shared" si="58"/>
        <v>345.86384431093734</v>
      </c>
      <c r="AM79" s="59">
        <f t="shared" si="59"/>
        <v>639.1971776442706</v>
      </c>
      <c r="AN79" s="59">
        <f ca="1">AVERAGE(OFFSET($AM$3,0,0,'Données projet'!$E$10+1,1))-AVERAGE(OFFSET($H$3,0,0,'Données projet'!$E$10+1,1))</f>
        <v>190.21499310415584</v>
      </c>
      <c r="AO79" s="59">
        <f t="shared" si="90"/>
        <v>136.15730566500173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12.5</v>
      </c>
      <c r="BD79" s="12">
        <f>IF('Données projet'!$A$88&gt;35,BD78+BC79-BL78,IF(A79&lt;'Données projet'!$A$88,$BA$205^A79,IF(A79='Données projet'!$A$88,'Données projet'!$B$88,BD78+BC79-BL78)))</f>
        <v>487.00000000000028</v>
      </c>
      <c r="BE79" s="13">
        <f>BD79*VLOOKUP('Données projet'!$B$11,Paramètres!$A$1:$I$89,3,0)*VLOOKUP('Données projet'!$B$11,Paramètres!$A$1:$I$89,5,0)</f>
        <v>291.22600000000023</v>
      </c>
      <c r="BF79" s="13">
        <f t="shared" si="91"/>
        <v>69.333930559700164</v>
      </c>
      <c r="BG79" s="20">
        <f t="shared" si="61"/>
        <v>627.97521239147818</v>
      </c>
      <c r="BH79" s="59">
        <f t="shared" si="62"/>
        <v>921.30854572481144</v>
      </c>
      <c r="BI79" s="59">
        <f ca="1">AVERAGE(OFFSET($BH$3,0,0,'Données projet'!$E$11+1,1))-AVERAGE(OFFSET($H$3,0,0,'Données projet'!$E$11+1,1))</f>
        <v>270.30888762640245</v>
      </c>
      <c r="BJ79" s="59">
        <f t="shared" si="92"/>
        <v>202.23783851977691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0.86129887848487285</v>
      </c>
      <c r="BQ79" s="21">
        <f>EXP(-LN(2)/25)*BQ78+(1-EXP(-LN(2)/25))/(LN(2)/25)*Calculateur!BL79*Calculateur!BN79*VLOOKUP('Données projet'!$B$11,Paramètres!$A$1:$I$89,3,0)*0.475*44/12</f>
        <v>3.4343194876912584</v>
      </c>
      <c r="BR79" s="21">
        <f>EXP(-LN(2)/2)*BR78+(1-EXP(-LN(2)/2))/(LN(2)/2)*BL79*BO79*VLOOKUP('Données projet'!$B$11,Paramètres!$A$1:$I$89,3,0)*0.475*44/12</f>
        <v>2.2044907315328817E-6</v>
      </c>
      <c r="BS79" s="22">
        <f t="shared" si="63"/>
        <v>4.2956205706668626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12.5</v>
      </c>
      <c r="BY79" s="12">
        <f>IF('Données projet'!$A$114&gt;35,BY78+BX79-CG78,IF(A79&lt;'Données projet'!$A$114,$BV$205^A79,IF(A79='Données projet'!$A$114,'Données projet'!$B$114,BY78+BX79-CG78)))</f>
        <v>487.00000000000028</v>
      </c>
      <c r="BZ79" s="13">
        <f>BY79*VLOOKUP('Données projet'!$B$12,Paramètres!$A$1:$I$89,3,0)*VLOOKUP('Données projet'!$B$12,Paramètres!$A$1:$I$89,5,0)</f>
        <v>291.22600000000023</v>
      </c>
      <c r="CA79" s="13">
        <f t="shared" si="93"/>
        <v>69.333930559700164</v>
      </c>
      <c r="CB79" s="20">
        <f t="shared" si="64"/>
        <v>627.97521239147818</v>
      </c>
      <c r="CC79" s="59">
        <f t="shared" si="65"/>
        <v>921.30854572481144</v>
      </c>
      <c r="CD79" s="59">
        <f ca="1">AVERAGE(OFFSET($CC$3,0,0,'Données projet'!$E$12+1,1))-AVERAGE(OFFSET($H$3,0,0,'Données projet'!$E$12+1,1))</f>
        <v>270.30888762640245</v>
      </c>
      <c r="CE79" s="59">
        <f t="shared" si="94"/>
        <v>202.23783851977691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0.86129887848487285</v>
      </c>
      <c r="CL79" s="21">
        <f>EXP(-LN(2)/25)*CL78+(1-EXP(-LN(2)/25))/(LN(2)/25)*Calculateur!CG79*Calculateur!CI79*VLOOKUP('Données projet'!$B$12,Paramètres!$A$1:$I$89,3,0)*0.475*44/12</f>
        <v>3.4343194876912584</v>
      </c>
      <c r="CM79" s="21">
        <f>EXP(-LN(2)/2)*CM78+(1-EXP(-LN(2)/2))/(LN(2)/2)*CG79*CJ79*VLOOKUP('Données projet'!$B$12,Paramètres!$A$1:$I$89,3,0)*0.475*44/12</f>
        <v>2.2044907315328817E-6</v>
      </c>
      <c r="CN79" s="22">
        <f t="shared" si="66"/>
        <v>4.2956205706668626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12.913461538461533</v>
      </c>
      <c r="CT79" s="12">
        <f>IF('Données projet'!$A$140&gt;35,CT78+CS79-DB78,IF(A79&lt;'Données projet'!$A$140,$CQ$205^A79,IF(A79='Données projet'!$A$140,'Données projet'!$B$140,CT78+CS79-DB78)))</f>
        <v>398.12115384615396</v>
      </c>
      <c r="CU79" s="17">
        <f>CT79*VLOOKUP('Données projet'!$B$13,Paramètres!$A$1:$I$89,3,0)*VLOOKUP('Données projet'!$B$13,Paramètres!$A$1:$I$89,5,0)</f>
        <v>186.32070000000004</v>
      </c>
      <c r="CV79" s="13">
        <f t="shared" si="95"/>
        <v>46.725588415193215</v>
      </c>
      <c r="CW79" s="20">
        <f t="shared" si="67"/>
        <v>405.88895232312825</v>
      </c>
      <c r="CX79" s="59">
        <f t="shared" si="68"/>
        <v>699.22228565646151</v>
      </c>
      <c r="CY79" s="59">
        <f ca="1">AVERAGE(OFFSET($CX$3,0,0,'Données projet'!$E$13+1,1))-AVERAGE(OFFSET($H$3,0,0,'Données projet'!$E$13+1,1))</f>
        <v>158.58786357608489</v>
      </c>
      <c r="CZ79" s="59">
        <f t="shared" si="96"/>
        <v>163.20074068819849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3.1</v>
      </c>
      <c r="DO79" s="12">
        <f>IF('Données projet'!$A$166&gt;35,DO78+DN79-DW78,IF(A79&lt;'Données projet'!$A$166,$DL$205^A79,IF(A79='Données projet'!$A$166,'Données projet'!$B$166,DO78+DN79-DW78)))</f>
        <v>271.59999999999997</v>
      </c>
      <c r="DP79" s="17">
        <f>DO79*VLOOKUP('Données projet'!$B$14,Paramètres!$A$1:$I$89,3,0)*VLOOKUP('Données projet'!$B$14,Paramètres!$A$1:$I$89,5,0)</f>
        <v>182.18927999999997</v>
      </c>
      <c r="DQ79" s="13">
        <f t="shared" si="97"/>
        <v>45.808917398007317</v>
      </c>
      <c r="DR79" s="20">
        <f t="shared" si="70"/>
        <v>397.09686046819598</v>
      </c>
      <c r="DS79" s="59">
        <f t="shared" si="71"/>
        <v>690.4301938015293</v>
      </c>
      <c r="DT79" s="59">
        <f ca="1">AVERAGE(OFFSET($DS$3,0,0,'Données projet'!$E$14+1,1))-AVERAGE(OFFSET($H$3,0,0,'Données projet'!$E$14+1,1))</f>
        <v>156.63226020379989</v>
      </c>
      <c r="DU79" s="59">
        <f t="shared" si="98"/>
        <v>196.0481096619543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2.4217088532649225</v>
      </c>
      <c r="EC79" s="21">
        <f>EXP(-LN(2)/2)*EC78+(1-EXP(-LN(2)/2))/(LN(2)/2)*DW79*DZ79*VLOOKUP('Données projet'!$B$14,Paramètres!$A$1:$I$89,3,0)*0.475*44/12</f>
        <v>1.0816420080812983E-6</v>
      </c>
      <c r="ED79" s="22">
        <f t="shared" si="72"/>
        <v>2.4217099349069304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5.5042735042735051</v>
      </c>
      <c r="EJ79" s="12">
        <f>IF('Données projet'!$A$192&gt;35,EJ78+EI79-ER78,IF(A79&lt;'Données projet'!$A$192,$EG$205^A79,IF(A79='Données projet'!$A$192,'Données projet'!$B$192,EJ78+EI79-ER78)))</f>
        <v>155.97222222222217</v>
      </c>
      <c r="EK79" s="17">
        <f>EJ79*VLOOKUP('Données projet'!$B$15,Paramètres!$A$1:$I$89,3,0)*VLOOKUP('Données projet'!$B$15,Paramètres!$A$1:$I$89,5,0)</f>
        <v>167.88849999999994</v>
      </c>
      <c r="EL79" s="13">
        <f t="shared" si="99"/>
        <v>42.616774381895034</v>
      </c>
      <c r="EM79" s="20">
        <f t="shared" si="73"/>
        <v>366.63001954846703</v>
      </c>
      <c r="EN79" s="59">
        <f t="shared" si="74"/>
        <v>659.96335288180035</v>
      </c>
      <c r="EO79" s="59">
        <f ca="1">AVERAGE(OFFSET($EN$3,0,0,'Données projet'!$E$15+1,1))-AVERAGE(OFFSET($H$3,0,0,'Données projet'!$E$15+1,1))</f>
        <v>211.18501783767226</v>
      </c>
      <c r="EP79" s="59">
        <f t="shared" si="100"/>
        <v>147.98306963466246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12.8</v>
      </c>
      <c r="FE79" s="12">
        <f>IF('Données projet'!$A$218&gt;35,FE78+FD79-FM78,IF(A79&lt;'Données projet'!$A$218,$FB$205^A79,IF(A79='Données projet'!$A$218,'Données projet'!$B$218,FE78+FD79-FM78)))</f>
        <v>428.79999999999973</v>
      </c>
      <c r="FF79" s="17">
        <f>FE79*VLOOKUP('Données projet'!$B$16,Paramètres!$A$1:$I$89,3,0)*VLOOKUP('Données projet'!$B$16,Paramètres!$A$1:$I$89,5,0)</f>
        <v>256.42239999999987</v>
      </c>
      <c r="FG79" s="13">
        <f t="shared" si="101"/>
        <v>61.959164345812674</v>
      </c>
      <c r="FH79" s="20">
        <f t="shared" si="76"/>
        <v>554.51455790229022</v>
      </c>
      <c r="FI79" s="59">
        <f t="shared" si="77"/>
        <v>847.84789123562359</v>
      </c>
      <c r="FJ79" s="59">
        <f ca="1">AVERAGE(OFFSET($FI$3,0,0,'Données projet'!$E$16+1,1))-AVERAGE(OFFSET($H$3,0,0,'Données projet'!$E$16+1,1))</f>
        <v>232.26937455765062</v>
      </c>
      <c r="FK79" s="59">
        <f t="shared" si="102"/>
        <v>115.80853281120301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0.8900088411010354</v>
      </c>
      <c r="FR79" s="21">
        <f>EXP(-LN(2)/25)*FR78+(1-EXP(-LN(2)/25))/(LN(2)/25)*Calculateur!FM79*Calculateur!FO79*VLOOKUP('Données projet'!$B$16,Paramètres!$A$1:$I$89,3,0)*0.475*44/12</f>
        <v>1.2315589060891741</v>
      </c>
      <c r="FS79" s="21">
        <f>EXP(-LN(2)/2)*FS78+(1-EXP(-LN(2)/2))/(LN(2)/2)*FM79*FP79*VLOOKUP('Données projet'!$B$16,Paramètres!$A$1:$I$89,3,0)*0.475*44/12</f>
        <v>1.0008488813183609E-6</v>
      </c>
      <c r="FT79" s="22">
        <f t="shared" si="78"/>
        <v>2.1215687480390906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3.1</v>
      </c>
      <c r="FZ79" s="12">
        <f>IF('Données projet'!$A$244&gt;35,FZ78+FY79-GH78,IF(A79&lt;'Données projet'!$A$244,$FW$205^A79,IF(A79='Données projet'!$A$244,'Données projet'!$B$244,FZ78+FY79-GH78)))</f>
        <v>271.59999999999997</v>
      </c>
      <c r="GA79" s="17">
        <f>FZ79*VLOOKUP('Données projet'!$B$17,Paramètres!$A$1:$I$89,3,0)*VLOOKUP('Données projet'!$B$17,Paramètres!$A$1:$I$89,5,0)</f>
        <v>216.08496</v>
      </c>
      <c r="GB79" s="13">
        <f t="shared" si="103"/>
        <v>53.26308393083157</v>
      </c>
      <c r="GC79" s="20">
        <f t="shared" si="79"/>
        <v>469.11450984619825</v>
      </c>
      <c r="GD79" s="59">
        <f t="shared" si="80"/>
        <v>762.44784317953156</v>
      </c>
      <c r="GE79" s="59">
        <f ca="1">AVERAGE(OFFSET($GD$3,0,0,'Données projet'!$E$17+1,1))-AVERAGE(OFFSET($H$3,0,0,'Données projet'!$E$17+1,1))</f>
        <v>199.58763537752952</v>
      </c>
      <c r="GF79" s="59">
        <f t="shared" si="104"/>
        <v>242.62852778451929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2.8722593375932792</v>
      </c>
      <c r="GN79" s="21">
        <f>EXP(-LN(2)/2)*GN78+(1-EXP(-LN(2)/2))/(LN(2)/2)*GH79*GK79*VLOOKUP('Données projet'!$B$17,Paramètres!$A$1:$I$89,3,0)*0.475*44/12</f>
        <v>1.2828777305150294E-6</v>
      </c>
      <c r="GO79" s="21">
        <f t="shared" si="81"/>
        <v>2.8722606204710099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5.5042735042735051</v>
      </c>
      <c r="N80" s="13">
        <f>IF('Données projet'!$A$36&gt;35,N79+M80-V79,IF(A80&lt;'Données projet'!$A$36,$K$205^A80,IF(A80='Données projet'!$A$36,'Données projet'!$B$36,N79+M80-V79)))</f>
        <v>161.47649572649567</v>
      </c>
      <c r="O80" s="13">
        <f>N80*VLOOKUP('Données projet'!$B$9,Paramètres!$A$1:$I$89,3,0)*VLOOKUP('Données projet'!$B$9,Paramètres!$A$1:$I$89,5,0)</f>
        <v>146.10393333333329</v>
      </c>
      <c r="P80" s="13">
        <f t="shared" si="87"/>
        <v>37.691838944088502</v>
      </c>
      <c r="Q80" s="20">
        <f t="shared" si="54"/>
        <v>320.11097004984299</v>
      </c>
      <c r="R80" s="59">
        <f t="shared" si="55"/>
        <v>613.44430338317625</v>
      </c>
      <c r="S80" s="59">
        <f ca="1">AVERAGE(OFFSET($R$3,0,0,'Données projet'!$E$9+1,1))-AVERAGE(OFFSET($H$3,0,0,'Données projet'!$E$9+1,1))</f>
        <v>153.45079678708987</v>
      </c>
      <c r="T80" s="59">
        <f t="shared" si="88"/>
        <v>115.4217868409637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163.73716666666661</v>
      </c>
      <c r="AK80" s="13">
        <f t="shared" si="89"/>
        <v>41.68430774657778</v>
      </c>
      <c r="AL80" s="20">
        <f t="shared" si="58"/>
        <v>357.77573460306729</v>
      </c>
      <c r="AM80" s="59">
        <f t="shared" si="59"/>
        <v>651.10906793640061</v>
      </c>
      <c r="AN80" s="59">
        <f ca="1">AVERAGE(OFFSET($AM$3,0,0,'Données projet'!$E$10+1,1))-AVERAGE(OFFSET($H$3,0,0,'Données projet'!$E$10+1,1))</f>
        <v>190.21499310415584</v>
      </c>
      <c r="AO80" s="59">
        <f t="shared" si="90"/>
        <v>136.15730566500173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12.5</v>
      </c>
      <c r="BD80" s="12">
        <f>IF('Données projet'!$A$88&gt;35,BD79+BC80-BL79,IF(A80&lt;'Données projet'!$A$88,$BA$205^A80,IF(A80='Données projet'!$A$88,'Données projet'!$B$88,BD79+BC80-BL79)))</f>
        <v>499.50000000000028</v>
      </c>
      <c r="BE80" s="13">
        <f>BD80*VLOOKUP('Données projet'!$B$11,Paramètres!$A$1:$I$89,3,0)*VLOOKUP('Données projet'!$B$11,Paramètres!$A$1:$I$89,5,0)</f>
        <v>298.70100000000019</v>
      </c>
      <c r="BF80" s="13">
        <f t="shared" si="91"/>
        <v>70.904074443365431</v>
      </c>
      <c r="BG80" s="20">
        <f t="shared" si="61"/>
        <v>643.72883798886176</v>
      </c>
      <c r="BH80" s="59">
        <f t="shared" si="62"/>
        <v>937.06217132219513</v>
      </c>
      <c r="BI80" s="59">
        <f ca="1">AVERAGE(OFFSET($BH$3,0,0,'Données projet'!$E$11+1,1))-AVERAGE(OFFSET($H$3,0,0,'Données projet'!$E$11+1,1))</f>
        <v>270.30888762640245</v>
      </c>
      <c r="BJ80" s="59">
        <f t="shared" si="92"/>
        <v>202.23783851977691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0.84440933281822728</v>
      </c>
      <c r="BQ80" s="21">
        <f>EXP(-LN(2)/25)*BQ79+(1-EXP(-LN(2)/25))/(LN(2)/25)*Calculateur!BL80*Calculateur!BN80*VLOOKUP('Données projet'!$B$11,Paramètres!$A$1:$I$89,3,0)*0.475*44/12</f>
        <v>3.3404078406973281</v>
      </c>
      <c r="BR80" s="21">
        <f>EXP(-LN(2)/2)*BR79+(1-EXP(-LN(2)/2))/(LN(2)/2)*BL80*BO80*VLOOKUP('Données projet'!$B$11,Paramètres!$A$1:$I$89,3,0)*0.475*44/12</f>
        <v>1.5588103453297935E-6</v>
      </c>
      <c r="BS80" s="22">
        <f t="shared" si="63"/>
        <v>4.1848187323259012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12.5</v>
      </c>
      <c r="BY80" s="12">
        <f>IF('Données projet'!$A$114&gt;35,BY79+BX80-CG79,IF(A80&lt;'Données projet'!$A$114,$BV$205^A80,IF(A80='Données projet'!$A$114,'Données projet'!$B$114,BY79+BX80-CG79)))</f>
        <v>499.50000000000028</v>
      </c>
      <c r="BZ80" s="13">
        <f>BY80*VLOOKUP('Données projet'!$B$12,Paramètres!$A$1:$I$89,3,0)*VLOOKUP('Données projet'!$B$12,Paramètres!$A$1:$I$89,5,0)</f>
        <v>298.70100000000019</v>
      </c>
      <c r="CA80" s="13">
        <f t="shared" si="93"/>
        <v>70.904074443365431</v>
      </c>
      <c r="CB80" s="20">
        <f t="shared" si="64"/>
        <v>643.72883798886176</v>
      </c>
      <c r="CC80" s="59">
        <f t="shared" si="65"/>
        <v>937.06217132219513</v>
      </c>
      <c r="CD80" s="59">
        <f ca="1">AVERAGE(OFFSET($CC$3,0,0,'Données projet'!$E$12+1,1))-AVERAGE(OFFSET($H$3,0,0,'Données projet'!$E$12+1,1))</f>
        <v>270.30888762640245</v>
      </c>
      <c r="CE80" s="59">
        <f t="shared" si="94"/>
        <v>202.23783851977691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0.84440933281822728</v>
      </c>
      <c r="CL80" s="21">
        <f>EXP(-LN(2)/25)*CL79+(1-EXP(-LN(2)/25))/(LN(2)/25)*Calculateur!CG80*Calculateur!CI80*VLOOKUP('Données projet'!$B$12,Paramètres!$A$1:$I$89,3,0)*0.475*44/12</f>
        <v>3.3404078406973281</v>
      </c>
      <c r="CM80" s="21">
        <f>EXP(-LN(2)/2)*CM79+(1-EXP(-LN(2)/2))/(LN(2)/2)*CG80*CJ80*VLOOKUP('Données projet'!$B$12,Paramètres!$A$1:$I$89,3,0)*0.475*44/12</f>
        <v>1.5588103453297935E-6</v>
      </c>
      <c r="CN80" s="22">
        <f t="shared" si="66"/>
        <v>4.1848187323259012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12.913461538461533</v>
      </c>
      <c r="CT80" s="12">
        <f>IF('Données projet'!$A$140&gt;35,CT79+CS80-DB79,IF(A80&lt;'Données projet'!$A$140,$CQ$205^A80,IF(A80='Données projet'!$A$140,'Données projet'!$B$140,CT79+CS80-DB79)))</f>
        <v>411.03461538461551</v>
      </c>
      <c r="CU80" s="17">
        <f>CT80*VLOOKUP('Données projet'!$B$13,Paramètres!$A$1:$I$89,3,0)*VLOOKUP('Données projet'!$B$13,Paramètres!$A$1:$I$89,5,0)</f>
        <v>192.36420000000004</v>
      </c>
      <c r="CV80" s="13">
        <f t="shared" si="95"/>
        <v>48.062267116572606</v>
      </c>
      <c r="CW80" s="20">
        <f t="shared" si="67"/>
        <v>418.74276356136397</v>
      </c>
      <c r="CX80" s="59">
        <f t="shared" si="68"/>
        <v>712.07609689469723</v>
      </c>
      <c r="CY80" s="59">
        <f ca="1">AVERAGE(OFFSET($CX$3,0,0,'Données projet'!$E$13+1,1))-AVERAGE(OFFSET($H$3,0,0,'Données projet'!$E$13+1,1))</f>
        <v>158.58786357608489</v>
      </c>
      <c r="CZ80" s="59">
        <f t="shared" si="96"/>
        <v>163.20074068819849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3.1</v>
      </c>
      <c r="DO80" s="12">
        <f>IF('Données projet'!$A$166&gt;35,DO79+DN80-DW79,IF(A80&lt;'Données projet'!$A$166,$DL$205^A80,IF(A80='Données projet'!$A$166,'Données projet'!$B$166,DO79+DN80-DW79)))</f>
        <v>274.7</v>
      </c>
      <c r="DP80" s="17">
        <f>DO80*VLOOKUP('Données projet'!$B$14,Paramètres!$A$1:$I$89,3,0)*VLOOKUP('Données projet'!$B$14,Paramètres!$A$1:$I$89,5,0)</f>
        <v>184.26875999999999</v>
      </c>
      <c r="DQ80" s="13">
        <f t="shared" si="97"/>
        <v>46.270607209807572</v>
      </c>
      <c r="DR80" s="20">
        <f t="shared" si="70"/>
        <v>401.52273122374817</v>
      </c>
      <c r="DS80" s="59">
        <f t="shared" si="71"/>
        <v>694.85606455708148</v>
      </c>
      <c r="DT80" s="59">
        <f ca="1">AVERAGE(OFFSET($DS$3,0,0,'Données projet'!$E$14+1,1))-AVERAGE(OFFSET($H$3,0,0,'Données projet'!$E$14+1,1))</f>
        <v>156.63226020379989</v>
      </c>
      <c r="DU80" s="59">
        <f t="shared" si="98"/>
        <v>196.0481096619543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2.3554870973202595</v>
      </c>
      <c r="EC80" s="21">
        <f>EXP(-LN(2)/2)*EC79+(1-EXP(-LN(2)/2))/(LN(2)/2)*DW80*DZ80*VLOOKUP('Données projet'!$B$14,Paramètres!$A$1:$I$89,3,0)*0.475*44/12</f>
        <v>7.6483639873052046E-7</v>
      </c>
      <c r="ED80" s="22">
        <f t="shared" si="72"/>
        <v>2.3554878621566582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5.5042735042735051</v>
      </c>
      <c r="EJ80" s="12">
        <f>IF('Données projet'!$A$192&gt;35,EJ79+EI80-ER79,IF(A80&lt;'Données projet'!$A$192,$EG$205^A80,IF(A80='Données projet'!$A$192,'Données projet'!$B$192,EJ79+EI80-ER79)))</f>
        <v>161.47649572649567</v>
      </c>
      <c r="EK80" s="17">
        <f>EJ80*VLOOKUP('Données projet'!$B$15,Paramètres!$A$1:$I$89,3,0)*VLOOKUP('Données projet'!$B$15,Paramètres!$A$1:$I$89,5,0)</f>
        <v>173.81329999999994</v>
      </c>
      <c r="EL80" s="13">
        <f t="shared" si="99"/>
        <v>43.94297017087338</v>
      </c>
      <c r="EM80" s="20">
        <f t="shared" si="73"/>
        <v>379.25883721427107</v>
      </c>
      <c r="EN80" s="59">
        <f t="shared" si="74"/>
        <v>672.59217054760438</v>
      </c>
      <c r="EO80" s="59">
        <f ca="1">AVERAGE(OFFSET($EN$3,0,0,'Données projet'!$E$15+1,1))-AVERAGE(OFFSET($H$3,0,0,'Données projet'!$E$15+1,1))</f>
        <v>211.18501783767226</v>
      </c>
      <c r="EP80" s="59">
        <f t="shared" si="100"/>
        <v>147.98306963466246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12.8</v>
      </c>
      <c r="FE80" s="12">
        <f>IF('Données projet'!$A$218&gt;35,FE79+FD80-FM79,IF(A80&lt;'Données projet'!$A$218,$FB$205^A80,IF(A80='Données projet'!$A$218,'Données projet'!$B$218,FE79+FD80-FM79)))</f>
        <v>441.59999999999974</v>
      </c>
      <c r="FF80" s="17">
        <f>FE80*VLOOKUP('Données projet'!$B$16,Paramètres!$A$1:$I$89,3,0)*VLOOKUP('Données projet'!$B$16,Paramètres!$A$1:$I$89,5,0)</f>
        <v>264.07679999999988</v>
      </c>
      <c r="FG80" s="13">
        <f t="shared" si="101"/>
        <v>63.590598521565617</v>
      </c>
      <c r="FH80" s="20">
        <f t="shared" si="76"/>
        <v>570.68738575839313</v>
      </c>
      <c r="FI80" s="59">
        <f t="shared" si="77"/>
        <v>864.02071909172651</v>
      </c>
      <c r="FJ80" s="59">
        <f ca="1">AVERAGE(OFFSET($FI$3,0,0,'Données projet'!$E$16+1,1))-AVERAGE(OFFSET($H$3,0,0,'Données projet'!$E$16+1,1))</f>
        <v>232.26937455765062</v>
      </c>
      <c r="FK80" s="59">
        <f t="shared" si="102"/>
        <v>115.80853281120301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0.87255631057883498</v>
      </c>
      <c r="FR80" s="21">
        <f>EXP(-LN(2)/25)*FR79+(1-EXP(-LN(2)/25))/(LN(2)/25)*Calculateur!FM80*Calculateur!FO80*VLOOKUP('Données projet'!$B$16,Paramètres!$A$1:$I$89,3,0)*0.475*44/12</f>
        <v>1.1978818630372976</v>
      </c>
      <c r="FS80" s="21">
        <f>EXP(-LN(2)/2)*FS79+(1-EXP(-LN(2)/2))/(LN(2)/2)*FM80*FP80*VLOOKUP('Données projet'!$B$16,Paramètres!$A$1:$I$89,3,0)*0.475*44/12</f>
        <v>7.0770703092318312E-7</v>
      </c>
      <c r="FT80" s="22">
        <f t="shared" si="78"/>
        <v>2.0704388813231631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3.1</v>
      </c>
      <c r="FZ80" s="12">
        <f>IF('Données projet'!$A$244&gt;35,FZ79+FY80-GH79,IF(A80&lt;'Données projet'!$A$244,$FW$205^A80,IF(A80='Données projet'!$A$244,'Données projet'!$B$244,FZ79+FY80-GH79)))</f>
        <v>274.7</v>
      </c>
      <c r="GA80" s="17">
        <f>FZ80*VLOOKUP('Données projet'!$B$17,Paramètres!$A$1:$I$89,3,0)*VLOOKUP('Données projet'!$B$17,Paramètres!$A$1:$I$89,5,0)</f>
        <v>218.55132000000003</v>
      </c>
      <c r="GB80" s="13">
        <f t="shared" si="103"/>
        <v>53.79990131471051</v>
      </c>
      <c r="GC80" s="20">
        <f t="shared" si="79"/>
        <v>474.3450437897875</v>
      </c>
      <c r="GD80" s="59">
        <f t="shared" si="80"/>
        <v>767.67837712312075</v>
      </c>
      <c r="GE80" s="59">
        <f ca="1">AVERAGE(OFFSET($GD$3,0,0,'Données projet'!$E$17+1,1))-AVERAGE(OFFSET($H$3,0,0,'Données projet'!$E$17+1,1))</f>
        <v>199.58763537752952</v>
      </c>
      <c r="GF80" s="59">
        <f t="shared" si="104"/>
        <v>242.62852778451929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2.793717254961237</v>
      </c>
      <c r="GN80" s="21">
        <f>EXP(-LN(2)/2)*GN79+(1-EXP(-LN(2)/2))/(LN(2)/2)*GH80*GK80*VLOOKUP('Données projet'!$B$17,Paramètres!$A$1:$I$89,3,0)*0.475*44/12</f>
        <v>9.071315426803856E-7</v>
      </c>
      <c r="GO80" s="21">
        <f t="shared" si="81"/>
        <v>2.7937181620927798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5.5042735042735051</v>
      </c>
      <c r="N81" s="13">
        <f>IF('Données projet'!$A$36&gt;35,N80+M81-V80,IF(A81&lt;'Données projet'!$A$36,$K$205^A81,IF(A81='Données projet'!$A$36,'Données projet'!$B$36,N80+M81-V80)))</f>
        <v>166.98076923076917</v>
      </c>
      <c r="O81" s="13">
        <f>N81*VLOOKUP('Données projet'!$B$9,Paramètres!$A$1:$I$89,3,0)*VLOOKUP('Données projet'!$B$9,Paramètres!$A$1:$I$89,5,0)</f>
        <v>151.08419999999992</v>
      </c>
      <c r="P81" s="13">
        <f t="shared" si="87"/>
        <v>38.824870591002266</v>
      </c>
      <c r="Q81" s="20">
        <f t="shared" si="54"/>
        <v>330.75829794599554</v>
      </c>
      <c r="R81" s="59">
        <f t="shared" si="55"/>
        <v>624.09163127932879</v>
      </c>
      <c r="S81" s="59">
        <f ca="1">AVERAGE(OFFSET($R$3,0,0,'Données projet'!$E$9+1,1))-AVERAGE(OFFSET($H$3,0,0,'Données projet'!$E$9+1,1))</f>
        <v>153.45079678708987</v>
      </c>
      <c r="T81" s="59">
        <f t="shared" si="88"/>
        <v>115.4217868409637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169.31849999999994</v>
      </c>
      <c r="AK81" s="13">
        <f t="shared" si="89"/>
        <v>42.93735459119118</v>
      </c>
      <c r="AL81" s="20">
        <f t="shared" si="58"/>
        <v>369.67894674632447</v>
      </c>
      <c r="AM81" s="59">
        <f t="shared" si="59"/>
        <v>663.01228007965778</v>
      </c>
      <c r="AN81" s="59">
        <f ca="1">AVERAGE(OFFSET($AM$3,0,0,'Données projet'!$E$10+1,1))-AVERAGE(OFFSET($H$3,0,0,'Données projet'!$E$10+1,1))</f>
        <v>190.21499310415584</v>
      </c>
      <c r="AO81" s="59">
        <f t="shared" si="90"/>
        <v>136.15730566500173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12.5</v>
      </c>
      <c r="BD81" s="12">
        <f>IF('Données projet'!$A$88&gt;35,BD80+BC81-BL80,IF(A81&lt;'Données projet'!$A$88,$BA$205^A81,IF(A81='Données projet'!$A$88,'Données projet'!$B$88,BD80+BC81-BL80)))</f>
        <v>512.00000000000023</v>
      </c>
      <c r="BE81" s="13">
        <f>BD81*VLOOKUP('Données projet'!$B$11,Paramètres!$A$1:$I$89,3,0)*VLOOKUP('Données projet'!$B$11,Paramètres!$A$1:$I$89,5,0)</f>
        <v>306.17600000000016</v>
      </c>
      <c r="BF81" s="13">
        <f t="shared" si="91"/>
        <v>72.469650785730451</v>
      </c>
      <c r="BG81" s="20">
        <f t="shared" si="61"/>
        <v>659.47450845181413</v>
      </c>
      <c r="BH81" s="59">
        <f t="shared" si="62"/>
        <v>952.8078417851475</v>
      </c>
      <c r="BI81" s="59">
        <f ca="1">AVERAGE(OFFSET($BH$3,0,0,'Données projet'!$E$11+1,1))-AVERAGE(OFFSET($H$3,0,0,'Données projet'!$E$11+1,1))</f>
        <v>270.30888762640245</v>
      </c>
      <c r="BJ81" s="59">
        <f t="shared" si="92"/>
        <v>202.23783851977691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0.82785098084049902</v>
      </c>
      <c r="BQ81" s="21">
        <f>EXP(-LN(2)/25)*BQ80+(1-EXP(-LN(2)/25))/(LN(2)/25)*Calculateur!BL81*Calculateur!BN81*VLOOKUP('Données projet'!$B$11,Paramètres!$A$1:$I$89,3,0)*0.475*44/12</f>
        <v>3.2490642126290461</v>
      </c>
      <c r="BR81" s="21">
        <f>EXP(-LN(2)/2)*BR80+(1-EXP(-LN(2)/2))/(LN(2)/2)*BL81*BO81*VLOOKUP('Données projet'!$B$11,Paramètres!$A$1:$I$89,3,0)*0.475*44/12</f>
        <v>1.1022453657664409E-6</v>
      </c>
      <c r="BS81" s="22">
        <f t="shared" si="63"/>
        <v>4.076916295714911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12.5</v>
      </c>
      <c r="BY81" s="12">
        <f>IF('Données projet'!$A$114&gt;35,BY80+BX81-CG80,IF(A81&lt;'Données projet'!$A$114,$BV$205^A81,IF(A81='Données projet'!$A$114,'Données projet'!$B$114,BY80+BX81-CG80)))</f>
        <v>512.00000000000023</v>
      </c>
      <c r="BZ81" s="13">
        <f>BY81*VLOOKUP('Données projet'!$B$12,Paramètres!$A$1:$I$89,3,0)*VLOOKUP('Données projet'!$B$12,Paramètres!$A$1:$I$89,5,0)</f>
        <v>306.17600000000016</v>
      </c>
      <c r="CA81" s="13">
        <f t="shared" si="93"/>
        <v>72.469650785730451</v>
      </c>
      <c r="CB81" s="20">
        <f t="shared" si="64"/>
        <v>659.47450845181413</v>
      </c>
      <c r="CC81" s="59">
        <f t="shared" si="65"/>
        <v>952.8078417851475</v>
      </c>
      <c r="CD81" s="59">
        <f ca="1">AVERAGE(OFFSET($CC$3,0,0,'Données projet'!$E$12+1,1))-AVERAGE(OFFSET($H$3,0,0,'Données projet'!$E$12+1,1))</f>
        <v>270.30888762640245</v>
      </c>
      <c r="CE81" s="59">
        <f t="shared" si="94"/>
        <v>202.23783851977691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0.82785098084049902</v>
      </c>
      <c r="CL81" s="21">
        <f>EXP(-LN(2)/25)*CL80+(1-EXP(-LN(2)/25))/(LN(2)/25)*Calculateur!CG81*Calculateur!CI81*VLOOKUP('Données projet'!$B$12,Paramètres!$A$1:$I$89,3,0)*0.475*44/12</f>
        <v>3.2490642126290461</v>
      </c>
      <c r="CM81" s="21">
        <f>EXP(-LN(2)/2)*CM80+(1-EXP(-LN(2)/2))/(LN(2)/2)*CG81*CJ81*VLOOKUP('Données projet'!$B$12,Paramètres!$A$1:$I$89,3,0)*0.475*44/12</f>
        <v>1.1022453657664409E-6</v>
      </c>
      <c r="CN81" s="22">
        <f t="shared" si="66"/>
        <v>4.076916295714911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12.913461538461533</v>
      </c>
      <c r="CT81" s="12">
        <f>IF('Données projet'!$A$140&gt;35,CT80+CS81-DB80,IF(A81&lt;'Données projet'!$A$140,$CQ$205^A81,IF(A81='Données projet'!$A$140,'Données projet'!$B$140,CT80+CS81-DB80)))</f>
        <v>423.94807692307705</v>
      </c>
      <c r="CU81" s="17">
        <f>CT81*VLOOKUP('Données projet'!$B$13,Paramètres!$A$1:$I$89,3,0)*VLOOKUP('Données projet'!$B$13,Paramètres!$A$1:$I$89,5,0)</f>
        <v>198.40770000000006</v>
      </c>
      <c r="CV81" s="13">
        <f t="shared" si="95"/>
        <v>49.394065749424826</v>
      </c>
      <c r="CW81" s="20">
        <f t="shared" si="67"/>
        <v>431.58807534691499</v>
      </c>
      <c r="CX81" s="59">
        <f t="shared" si="68"/>
        <v>724.92140868024831</v>
      </c>
      <c r="CY81" s="59">
        <f ca="1">AVERAGE(OFFSET($CX$3,0,0,'Données projet'!$E$13+1,1))-AVERAGE(OFFSET($H$3,0,0,'Données projet'!$E$13+1,1))</f>
        <v>158.58786357608489</v>
      </c>
      <c r="CZ81" s="59">
        <f t="shared" si="96"/>
        <v>163.20074068819849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3.1</v>
      </c>
      <c r="DO81" s="12">
        <f>IF('Données projet'!$A$166&gt;35,DO80+DN81-DW80,IF(A81&lt;'Données projet'!$A$166,$DL$205^A81,IF(A81='Données projet'!$A$166,'Données projet'!$B$166,DO80+DN81-DW80)))</f>
        <v>277.8</v>
      </c>
      <c r="DP81" s="17">
        <f>DO81*VLOOKUP('Données projet'!$B$14,Paramètres!$A$1:$I$89,3,0)*VLOOKUP('Données projet'!$B$14,Paramètres!$A$1:$I$89,5,0)</f>
        <v>186.34824000000003</v>
      </c>
      <c r="DQ81" s="13">
        <f t="shared" si="97"/>
        <v>46.731690940362157</v>
      </c>
      <c r="DR81" s="20">
        <f t="shared" si="70"/>
        <v>405.9475463877975</v>
      </c>
      <c r="DS81" s="59">
        <f t="shared" si="71"/>
        <v>699.28087972113076</v>
      </c>
      <c r="DT81" s="59">
        <f ca="1">AVERAGE(OFFSET($DS$3,0,0,'Données projet'!$E$14+1,1))-AVERAGE(OFFSET($H$3,0,0,'Données projet'!$E$14+1,1))</f>
        <v>156.63226020379989</v>
      </c>
      <c r="DU81" s="59">
        <f t="shared" si="98"/>
        <v>196.0481096619543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2.2910761787743543</v>
      </c>
      <c r="EC81" s="21">
        <f>EXP(-LN(2)/2)*EC80+(1-EXP(-LN(2)/2))/(LN(2)/2)*DW81*DZ81*VLOOKUP('Données projet'!$B$14,Paramètres!$A$1:$I$89,3,0)*0.475*44/12</f>
        <v>5.4082100404064915E-7</v>
      </c>
      <c r="ED81" s="22">
        <f t="shared" si="72"/>
        <v>2.2910767195953583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5.5042735042735051</v>
      </c>
      <c r="EJ81" s="12">
        <f>IF('Données projet'!$A$192&gt;35,EJ80+EI81-ER80,IF(A81&lt;'Données projet'!$A$192,$EG$205^A81,IF(A81='Données projet'!$A$192,'Données projet'!$B$192,EJ80+EI81-ER80)))</f>
        <v>166.98076923076917</v>
      </c>
      <c r="EK81" s="17">
        <f>EJ81*VLOOKUP('Données projet'!$B$15,Paramètres!$A$1:$I$89,3,0)*VLOOKUP('Données projet'!$B$15,Paramètres!$A$1:$I$89,5,0)</f>
        <v>179.73809999999995</v>
      </c>
      <c r="EL81" s="13">
        <f t="shared" si="99"/>
        <v>45.263913304925367</v>
      </c>
      <c r="EM81" s="20">
        <f t="shared" si="73"/>
        <v>391.87850650607828</v>
      </c>
      <c r="EN81" s="59">
        <f t="shared" si="74"/>
        <v>685.2118398394116</v>
      </c>
      <c r="EO81" s="59">
        <f ca="1">AVERAGE(OFFSET($EN$3,0,0,'Données projet'!$E$15+1,1))-AVERAGE(OFFSET($H$3,0,0,'Données projet'!$E$15+1,1))</f>
        <v>211.18501783767226</v>
      </c>
      <c r="EP81" s="59">
        <f t="shared" si="100"/>
        <v>147.98306963466246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12.8</v>
      </c>
      <c r="FE81" s="12">
        <f>IF('Données projet'!$A$218&gt;35,FE80+FD81-FM80,IF(A81&lt;'Données projet'!$A$218,$FB$205^A81,IF(A81='Données projet'!$A$218,'Données projet'!$B$218,FE80+FD81-FM80)))</f>
        <v>454.39999999999975</v>
      </c>
      <c r="FF81" s="17">
        <f>FE81*VLOOKUP('Données projet'!$B$16,Paramètres!$A$1:$I$89,3,0)*VLOOKUP('Données projet'!$B$16,Paramètres!$A$1:$I$89,5,0)</f>
        <v>271.73119999999989</v>
      </c>
      <c r="FG81" s="13">
        <f t="shared" si="101"/>
        <v>65.216536842235541</v>
      </c>
      <c r="FH81" s="20">
        <f t="shared" si="76"/>
        <v>586.85064166689335</v>
      </c>
      <c r="FI81" s="59">
        <f t="shared" si="77"/>
        <v>880.18397500022661</v>
      </c>
      <c r="FJ81" s="59">
        <f ca="1">AVERAGE(OFFSET($FI$3,0,0,'Données projet'!$E$16+1,1))-AVERAGE(OFFSET($H$3,0,0,'Données projet'!$E$16+1,1))</f>
        <v>232.26937455765062</v>
      </c>
      <c r="FK81" s="59">
        <f t="shared" si="102"/>
        <v>115.80853281120301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0.85544601353518246</v>
      </c>
      <c r="FR81" s="21">
        <f>EXP(-LN(2)/25)*FR80+(1-EXP(-LN(2)/25))/(LN(2)/25)*Calculateur!FM81*Calculateur!FO81*VLOOKUP('Données projet'!$B$16,Paramètres!$A$1:$I$89,3,0)*0.475*44/12</f>
        <v>1.1651257204986734</v>
      </c>
      <c r="FS81" s="21">
        <f>EXP(-LN(2)/2)*FS80+(1-EXP(-LN(2)/2))/(LN(2)/2)*FM81*FP81*VLOOKUP('Données projet'!$B$16,Paramètres!$A$1:$I$89,3,0)*0.475*44/12</f>
        <v>5.0042444065918046E-7</v>
      </c>
      <c r="FT81" s="22">
        <f t="shared" si="78"/>
        <v>2.0205722344582964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3.1</v>
      </c>
      <c r="FZ81" s="12">
        <f>IF('Données projet'!$A$244&gt;35,FZ80+FY81-GH80,IF(A81&lt;'Données projet'!$A$244,$FW$205^A81,IF(A81='Données projet'!$A$244,'Données projet'!$B$244,FZ80+FY81-GH80)))</f>
        <v>277.8</v>
      </c>
      <c r="GA81" s="17">
        <f>FZ81*VLOOKUP('Données projet'!$B$17,Paramètres!$A$1:$I$89,3,0)*VLOOKUP('Données projet'!$B$17,Paramètres!$A$1:$I$89,5,0)</f>
        <v>221.01768000000001</v>
      </c>
      <c r="GB81" s="13">
        <f t="shared" si="103"/>
        <v>54.336013993957934</v>
      </c>
      <c r="GC81" s="20">
        <f t="shared" si="79"/>
        <v>479.5743503728101</v>
      </c>
      <c r="GD81" s="59">
        <f t="shared" si="80"/>
        <v>772.90768370614342</v>
      </c>
      <c r="GE81" s="59">
        <f ca="1">AVERAGE(OFFSET($GD$3,0,0,'Données projet'!$E$17+1,1))-AVERAGE(OFFSET($H$3,0,0,'Données projet'!$E$17+1,1))</f>
        <v>199.58763537752952</v>
      </c>
      <c r="GF81" s="59">
        <f t="shared" si="104"/>
        <v>242.62852778451929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2.7173229097091167</v>
      </c>
      <c r="GN81" s="21">
        <f>EXP(-LN(2)/2)*GN80+(1-EXP(-LN(2)/2))/(LN(2)/2)*GH81*GK81*VLOOKUP('Données projet'!$B$17,Paramètres!$A$1:$I$89,3,0)*0.475*44/12</f>
        <v>6.4143886525751471E-7</v>
      </c>
      <c r="GO81" s="21">
        <f t="shared" si="81"/>
        <v>2.7173235511479819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5.5042735042735051</v>
      </c>
      <c r="N82" s="13">
        <f>IF('Données projet'!$A$36&gt;35,N81+M82-V81,IF(A82&lt;'Données projet'!$A$36,$K$205^A82,IF(A82='Données projet'!$A$36,'Données projet'!$B$36,N81+M82-V81)))</f>
        <v>172.48504273504267</v>
      </c>
      <c r="O82" s="13">
        <f>N82*VLOOKUP('Données projet'!$B$9,Paramètres!$A$1:$I$89,3,0)*VLOOKUP('Données projet'!$B$9,Paramètres!$A$1:$I$89,5,0)</f>
        <v>156.06446666666659</v>
      </c>
      <c r="P82" s="13">
        <f t="shared" si="87"/>
        <v>39.953562347640762</v>
      </c>
      <c r="Q82" s="20">
        <f t="shared" si="54"/>
        <v>341.39806719991861</v>
      </c>
      <c r="R82" s="59">
        <f t="shared" si="55"/>
        <v>634.73140053325187</v>
      </c>
      <c r="S82" s="59">
        <f ca="1">AVERAGE(OFFSET($R$3,0,0,'Données projet'!$E$9+1,1))-AVERAGE(OFFSET($H$3,0,0,'Données projet'!$E$9+1,1))</f>
        <v>153.45079678708987</v>
      </c>
      <c r="T82" s="59">
        <f t="shared" si="88"/>
        <v>115.4217868409637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174.89983333333328</v>
      </c>
      <c r="AK82" s="13">
        <f t="shared" si="89"/>
        <v>44.185601847169707</v>
      </c>
      <c r="AL82" s="20">
        <f t="shared" si="58"/>
        <v>381.57379960604271</v>
      </c>
      <c r="AM82" s="59">
        <f t="shared" si="59"/>
        <v>674.90713293937597</v>
      </c>
      <c r="AN82" s="59">
        <f ca="1">AVERAGE(OFFSET($AM$3,0,0,'Données projet'!$E$10+1,1))-AVERAGE(OFFSET($H$3,0,0,'Données projet'!$E$10+1,1))</f>
        <v>190.21499310415584</v>
      </c>
      <c r="AO82" s="59">
        <f t="shared" si="90"/>
        <v>136.15730566500173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12.5</v>
      </c>
      <c r="BD82" s="12">
        <f>IF('Données projet'!$A$88&gt;35,BD81+BC82-BL81,IF(A82&lt;'Données projet'!$A$88,$BA$205^A82,IF(A82='Données projet'!$A$88,'Données projet'!$B$88,BD81+BC82-BL81)))</f>
        <v>524.50000000000023</v>
      </c>
      <c r="BE82" s="13">
        <f>BD82*VLOOKUP('Données projet'!$B$11,Paramètres!$A$1:$I$89,3,0)*VLOOKUP('Données projet'!$B$11,Paramètres!$A$1:$I$89,5,0)</f>
        <v>313.65100000000018</v>
      </c>
      <c r="BF82" s="13">
        <f t="shared" si="91"/>
        <v>74.030783927316818</v>
      </c>
      <c r="BG82" s="20">
        <f t="shared" si="61"/>
        <v>675.21244034007702</v>
      </c>
      <c r="BH82" s="59">
        <f t="shared" si="62"/>
        <v>968.54577367341039</v>
      </c>
      <c r="BI82" s="59">
        <f ca="1">AVERAGE(OFFSET($BH$3,0,0,'Données projet'!$E$11+1,1))-AVERAGE(OFFSET($H$3,0,0,'Données projet'!$E$11+1,1))</f>
        <v>270.30888762640245</v>
      </c>
      <c r="BJ82" s="59">
        <f t="shared" si="92"/>
        <v>202.23783851977691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0.8116173280454565</v>
      </c>
      <c r="BQ82" s="21">
        <f>EXP(-LN(2)/25)*BQ81+(1-EXP(-LN(2)/25))/(LN(2)/25)*Calculateur!BL82*Calculateur!BN82*VLOOKUP('Données projet'!$B$11,Paramètres!$A$1:$I$89,3,0)*0.475*44/12</f>
        <v>3.1602183808738435</v>
      </c>
      <c r="BR82" s="21">
        <f>EXP(-LN(2)/2)*BR81+(1-EXP(-LN(2)/2))/(LN(2)/2)*BL82*BO82*VLOOKUP('Données projet'!$B$11,Paramètres!$A$1:$I$89,3,0)*0.475*44/12</f>
        <v>7.7940517266489675E-7</v>
      </c>
      <c r="BS82" s="22">
        <f t="shared" si="63"/>
        <v>3.971836488324473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12.5</v>
      </c>
      <c r="BY82" s="12">
        <f>IF('Données projet'!$A$114&gt;35,BY81+BX82-CG81,IF(A82&lt;'Données projet'!$A$114,$BV$205^A82,IF(A82='Données projet'!$A$114,'Données projet'!$B$114,BY81+BX82-CG81)))</f>
        <v>524.50000000000023</v>
      </c>
      <c r="BZ82" s="13">
        <f>BY82*VLOOKUP('Données projet'!$B$12,Paramètres!$A$1:$I$89,3,0)*VLOOKUP('Données projet'!$B$12,Paramètres!$A$1:$I$89,5,0)</f>
        <v>313.65100000000018</v>
      </c>
      <c r="CA82" s="13">
        <f t="shared" si="93"/>
        <v>74.030783927316818</v>
      </c>
      <c r="CB82" s="20">
        <f t="shared" si="64"/>
        <v>675.21244034007702</v>
      </c>
      <c r="CC82" s="59">
        <f t="shared" si="65"/>
        <v>968.54577367341039</v>
      </c>
      <c r="CD82" s="59">
        <f ca="1">AVERAGE(OFFSET($CC$3,0,0,'Données projet'!$E$12+1,1))-AVERAGE(OFFSET($H$3,0,0,'Données projet'!$E$12+1,1))</f>
        <v>270.30888762640245</v>
      </c>
      <c r="CE82" s="59">
        <f t="shared" si="94"/>
        <v>202.23783851977691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0.8116173280454565</v>
      </c>
      <c r="CL82" s="21">
        <f>EXP(-LN(2)/25)*CL81+(1-EXP(-LN(2)/25))/(LN(2)/25)*Calculateur!CG82*Calculateur!CI82*VLOOKUP('Données projet'!$B$12,Paramètres!$A$1:$I$89,3,0)*0.475*44/12</f>
        <v>3.1602183808738435</v>
      </c>
      <c r="CM82" s="21">
        <f>EXP(-LN(2)/2)*CM81+(1-EXP(-LN(2)/2))/(LN(2)/2)*CG82*CJ82*VLOOKUP('Données projet'!$B$12,Paramètres!$A$1:$I$89,3,0)*0.475*44/12</f>
        <v>7.7940517266489675E-7</v>
      </c>
      <c r="CN82" s="22">
        <f t="shared" si="66"/>
        <v>3.971836488324473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>
        <f>VLOOKUP(A82,'Données projet'!$A$139:$I$159,2,0)</f>
        <v>436.86153846153843</v>
      </c>
      <c r="CR82" s="12">
        <f>VLOOKUP(A82,'Données projet'!$A$139:$I$159,9,0)</f>
        <v>12.913461538461533</v>
      </c>
      <c r="CS82" s="12">
        <f t="array" ref="CS82">INDEX(CR:CR,MIN(IF(ISNUMBER(CR82:CR278),ROW(CR82:CR278),"")))</f>
        <v>12.913461538461533</v>
      </c>
      <c r="CT82" s="12">
        <f>IF('Données projet'!$A$140&gt;35,CT81+CS82-DB81,IF(A82&lt;'Données projet'!$A$140,$CQ$205^A82,IF(A82='Données projet'!$A$140,'Données projet'!$B$140,CT81+CS82-DB81)))</f>
        <v>436.8615384615386</v>
      </c>
      <c r="CU82" s="17">
        <f>CT82*VLOOKUP('Données projet'!$B$13,Paramètres!$A$1:$I$89,3,0)*VLOOKUP('Données projet'!$B$13,Paramètres!$A$1:$I$89,5,0)</f>
        <v>204.45120000000009</v>
      </c>
      <c r="CV82" s="13">
        <f t="shared" si="95"/>
        <v>50.721150021305952</v>
      </c>
      <c r="CW82" s="20">
        <f t="shared" si="67"/>
        <v>444.42517628710794</v>
      </c>
      <c r="CX82" s="59">
        <f t="shared" si="68"/>
        <v>737.75850962044126</v>
      </c>
      <c r="CY82" s="59">
        <f ca="1">AVERAGE(OFFSET($CX$3,0,0,'Données projet'!$E$13+1,1))-AVERAGE(OFFSET($H$3,0,0,'Données projet'!$E$13+1,1))</f>
        <v>158.58786357608489</v>
      </c>
      <c r="CZ82" s="59">
        <f t="shared" si="96"/>
        <v>163.20074068819849</v>
      </c>
      <c r="DA82" s="15">
        <f>IF(ISNA(VLOOKUP(A82,'Données projet'!$A$139:$I$159,3,0)),0,VLOOKUP(A82,'Données projet'!$A$139:$I$159,3,0))</f>
        <v>6</v>
      </c>
      <c r="DB82" s="15">
        <f>IF(ISNA(VLOOKUP(A82,'Données projet'!$A$139:$I$159,4,0)),0,VLOOKUP(A82,'Données projet'!$A$139:$I$159,4,0))</f>
        <v>77.338461538461544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3.1</v>
      </c>
      <c r="DO82" s="12">
        <f>IF('Données projet'!$A$166&gt;35,DO81+DN82-DW81,IF(A82&lt;'Données projet'!$A$166,$DL$205^A82,IF(A82='Données projet'!$A$166,'Données projet'!$B$166,DO81+DN82-DW81)))</f>
        <v>280.90000000000003</v>
      </c>
      <c r="DP82" s="17">
        <f>DO82*VLOOKUP('Données projet'!$B$14,Paramètres!$A$1:$I$89,3,0)*VLOOKUP('Données projet'!$B$14,Paramètres!$A$1:$I$89,5,0)</f>
        <v>188.42772000000002</v>
      </c>
      <c r="DQ82" s="13">
        <f t="shared" si="97"/>
        <v>47.192176135661008</v>
      </c>
      <c r="DR82" s="20">
        <f t="shared" si="70"/>
        <v>410.37131910294289</v>
      </c>
      <c r="DS82" s="59">
        <f t="shared" si="71"/>
        <v>703.70465243627621</v>
      </c>
      <c r="DT82" s="59">
        <f ca="1">AVERAGE(OFFSET($DS$3,0,0,'Données projet'!$E$14+1,1))-AVERAGE(OFFSET($H$3,0,0,'Données projet'!$E$14+1,1))</f>
        <v>156.63226020379989</v>
      </c>
      <c r="DU82" s="59">
        <f t="shared" si="98"/>
        <v>196.0481096619543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2.2284265801833096</v>
      </c>
      <c r="EC82" s="21">
        <f>EXP(-LN(2)/2)*EC81+(1-EXP(-LN(2)/2))/(LN(2)/2)*DW82*DZ82*VLOOKUP('Données projet'!$B$14,Paramètres!$A$1:$I$89,3,0)*0.475*44/12</f>
        <v>3.8241819936526023E-7</v>
      </c>
      <c r="ED82" s="22">
        <f t="shared" si="72"/>
        <v>2.228426962601509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5.5042735042735051</v>
      </c>
      <c r="EJ82" s="12">
        <f>IF('Données projet'!$A$192&gt;35,EJ81+EI82-ER81,IF(A82&lt;'Données projet'!$A$192,$EG$205^A82,IF(A82='Données projet'!$A$192,'Données projet'!$B$192,EJ81+EI82-ER81)))</f>
        <v>172.48504273504267</v>
      </c>
      <c r="EK82" s="17">
        <f>EJ82*VLOOKUP('Données projet'!$B$15,Paramètres!$A$1:$I$89,3,0)*VLOOKUP('Données projet'!$B$15,Paramètres!$A$1:$I$89,5,0)</f>
        <v>185.66289999999992</v>
      </c>
      <c r="EL82" s="13">
        <f t="shared" si="99"/>
        <v>46.579796784838557</v>
      </c>
      <c r="EM82" s="20">
        <f t="shared" si="73"/>
        <v>404.48936356692701</v>
      </c>
      <c r="EN82" s="59">
        <f t="shared" si="74"/>
        <v>697.82269690026033</v>
      </c>
      <c r="EO82" s="59">
        <f ca="1">AVERAGE(OFFSET($EN$3,0,0,'Données projet'!$E$15+1,1))-AVERAGE(OFFSET($H$3,0,0,'Données projet'!$E$15+1,1))</f>
        <v>211.18501783767226</v>
      </c>
      <c r="EP82" s="59">
        <f t="shared" si="100"/>
        <v>147.98306963466246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12.8</v>
      </c>
      <c r="FE82" s="12">
        <f>IF('Données projet'!$A$218&gt;35,FE81+FD82-FM81,IF(A82&lt;'Données projet'!$A$218,$FB$205^A82,IF(A82='Données projet'!$A$218,'Données projet'!$B$218,FE81+FD82-FM81)))</f>
        <v>467.19999999999976</v>
      </c>
      <c r="FF82" s="17">
        <f>FE82*VLOOKUP('Données projet'!$B$16,Paramètres!$A$1:$I$89,3,0)*VLOOKUP('Données projet'!$B$16,Paramètres!$A$1:$I$89,5,0)</f>
        <v>279.3855999999999</v>
      </c>
      <c r="FG82" s="13">
        <f t="shared" si="101"/>
        <v>66.837151904061386</v>
      </c>
      <c r="FH82" s="20">
        <f t="shared" si="76"/>
        <v>603.00462623290662</v>
      </c>
      <c r="FI82" s="59">
        <f t="shared" si="77"/>
        <v>896.33795956623999</v>
      </c>
      <c r="FJ82" s="59">
        <f ca="1">AVERAGE(OFFSET($FI$3,0,0,'Données projet'!$E$16+1,1))-AVERAGE(OFFSET($H$3,0,0,'Données projet'!$E$16+1,1))</f>
        <v>232.26937455765062</v>
      </c>
      <c r="FK82" s="59">
        <f t="shared" si="102"/>
        <v>115.80853281120301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0.83867123898030527</v>
      </c>
      <c r="FR82" s="21">
        <f>EXP(-LN(2)/25)*FR81+(1-EXP(-LN(2)/25))/(LN(2)/25)*Calculateur!FM82*Calculateur!FO82*VLOOKUP('Données projet'!$B$16,Paramètres!$A$1:$I$89,3,0)*0.475*44/12</f>
        <v>1.1332652964003385</v>
      </c>
      <c r="FS82" s="21">
        <f>EXP(-LN(2)/2)*FS81+(1-EXP(-LN(2)/2))/(LN(2)/2)*FM82*FP82*VLOOKUP('Données projet'!$B$16,Paramètres!$A$1:$I$89,3,0)*0.475*44/12</f>
        <v>3.5385351546159156E-7</v>
      </c>
      <c r="FT82" s="22">
        <f t="shared" si="78"/>
        <v>1.9719368892341591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3.1</v>
      </c>
      <c r="FZ82" s="12">
        <f>IF('Données projet'!$A$244&gt;35,FZ81+FY82-GH81,IF(A82&lt;'Données projet'!$A$244,$FW$205^A82,IF(A82='Données projet'!$A$244,'Données projet'!$B$244,FZ81+FY82-GH81)))</f>
        <v>280.90000000000003</v>
      </c>
      <c r="GA82" s="17">
        <f>FZ82*VLOOKUP('Données projet'!$B$17,Paramètres!$A$1:$I$89,3,0)*VLOOKUP('Données projet'!$B$17,Paramètres!$A$1:$I$89,5,0)</f>
        <v>223.48404000000002</v>
      </c>
      <c r="GB82" s="13">
        <f t="shared" si="103"/>
        <v>54.871430742470253</v>
      </c>
      <c r="GC82" s="20">
        <f t="shared" si="79"/>
        <v>484.80244487646905</v>
      </c>
      <c r="GD82" s="59">
        <f t="shared" si="80"/>
        <v>778.13577820980231</v>
      </c>
      <c r="GE82" s="59">
        <f ca="1">AVERAGE(OFFSET($GD$3,0,0,'Données projet'!$E$17+1,1))-AVERAGE(OFFSET($H$3,0,0,'Données projet'!$E$17+1,1))</f>
        <v>199.58763537752952</v>
      </c>
      <c r="GF82" s="59">
        <f t="shared" si="104"/>
        <v>242.62852778451929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2.6430175718453195</v>
      </c>
      <c r="GN82" s="21">
        <f>EXP(-LN(2)/2)*GN81+(1-EXP(-LN(2)/2))/(LN(2)/2)*GH82*GK82*VLOOKUP('Données projet'!$B$17,Paramètres!$A$1:$I$89,3,0)*0.475*44/12</f>
        <v>4.535657713401928E-7</v>
      </c>
      <c r="GO82" s="21">
        <f t="shared" si="81"/>
        <v>2.6430180254110907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5.5042735042735051</v>
      </c>
      <c r="N83" s="13">
        <f>IF('Données projet'!$A$36&gt;35,N82+M83-V82,IF(A83&lt;'Données projet'!$A$36,$K$205^A83,IF(A83='Données projet'!$A$36,'Données projet'!$B$36,N82+M83-V82)))</f>
        <v>177.98931623931617</v>
      </c>
      <c r="O83" s="13">
        <f>N83*VLOOKUP('Données projet'!$B$9,Paramètres!$A$1:$I$89,3,0)*VLOOKUP('Données projet'!$B$9,Paramètres!$A$1:$I$89,5,0)</f>
        <v>161.04473333333328</v>
      </c>
      <c r="P83" s="13">
        <f t="shared" si="87"/>
        <v>41.078068593790562</v>
      </c>
      <c r="Q83" s="20">
        <f t="shared" si="54"/>
        <v>352.03054668974067</v>
      </c>
      <c r="R83" s="59">
        <f t="shared" si="55"/>
        <v>645.36388002307399</v>
      </c>
      <c r="S83" s="59">
        <f ca="1">AVERAGE(OFFSET($R$3,0,0,'Données projet'!$E$9+1,1))-AVERAGE(OFFSET($H$3,0,0,'Données projet'!$E$9+1,1))</f>
        <v>153.45079678708987</v>
      </c>
      <c r="T83" s="59">
        <f t="shared" si="88"/>
        <v>115.4217868409637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180.48116666666661</v>
      </c>
      <c r="AK83" s="13">
        <f t="shared" si="89"/>
        <v>45.429220246818225</v>
      </c>
      <c r="AL83" s="20">
        <f t="shared" si="58"/>
        <v>393.46059054098606</v>
      </c>
      <c r="AM83" s="59">
        <f t="shared" si="59"/>
        <v>686.79392387431938</v>
      </c>
      <c r="AN83" s="59">
        <f ca="1">AVERAGE(OFFSET($AM$3,0,0,'Données projet'!$E$10+1,1))-AVERAGE(OFFSET($H$3,0,0,'Données projet'!$E$10+1,1))</f>
        <v>190.21499310415584</v>
      </c>
      <c r="AO83" s="59">
        <f t="shared" si="90"/>
        <v>136.15730566500173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537</v>
      </c>
      <c r="BB83" s="12">
        <f>VLOOKUP(A83,'Données projet'!$A$87:$I$107,9,0)</f>
        <v>12.5</v>
      </c>
      <c r="BC83" s="12">
        <f t="array" ref="BC83">INDEX(BB:BB,MIN(IF(ISNUMBER(BB83:BB279),ROW(BB83:BB279),"")))</f>
        <v>12.5</v>
      </c>
      <c r="BD83" s="12">
        <f>IF('Données projet'!$A$88&gt;35,BD82+BC83-BL82,IF(A83&lt;'Données projet'!$A$88,$BA$205^A83,IF(A83='Données projet'!$A$88,'Données projet'!$B$88,BD82+BC83-BL82)))</f>
        <v>537.00000000000023</v>
      </c>
      <c r="BE83" s="13">
        <f>BD83*VLOOKUP('Données projet'!$B$11,Paramètres!$A$1:$I$89,3,0)*VLOOKUP('Données projet'!$B$11,Paramètres!$A$1:$I$89,5,0)</f>
        <v>321.12600000000015</v>
      </c>
      <c r="BF83" s="13">
        <f t="shared" si="91"/>
        <v>75.587591944000323</v>
      </c>
      <c r="BG83" s="20">
        <f t="shared" si="61"/>
        <v>690.94283930246741</v>
      </c>
      <c r="BH83" s="59">
        <f t="shared" si="62"/>
        <v>984.27617263580078</v>
      </c>
      <c r="BI83" s="59">
        <f ca="1">AVERAGE(OFFSET($BH$3,0,0,'Données projet'!$E$11+1,1))-AVERAGE(OFFSET($H$3,0,0,'Données projet'!$E$11+1,1))</f>
        <v>270.30888762640245</v>
      </c>
      <c r="BJ83" s="59">
        <f t="shared" si="92"/>
        <v>202.23783851977691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78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0.79570200728017426</v>
      </c>
      <c r="BQ83" s="21">
        <f>EXP(-LN(2)/25)*BQ82+(1-EXP(-LN(2)/25))/(LN(2)/25)*Calculateur!BL83*Calculateur!BN83*VLOOKUP('Données projet'!$B$11,Paramètres!$A$1:$I$89,3,0)*0.475*44/12</f>
        <v>3.0738020430601862</v>
      </c>
      <c r="BR83" s="21">
        <f>EXP(-LN(2)/2)*BR82+(1-EXP(-LN(2)/2))/(LN(2)/2)*BL83*BO83*VLOOKUP('Données projet'!$B$11,Paramètres!$A$1:$I$89,3,0)*0.475*44/12</f>
        <v>5.5112268288322043E-7</v>
      </c>
      <c r="BS83" s="22">
        <f t="shared" si="63"/>
        <v>3.8695046014630434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537</v>
      </c>
      <c r="BW83" s="12">
        <f>VLOOKUP(A83,'Données projet'!$A$113:$I$133,9,0)</f>
        <v>12.5</v>
      </c>
      <c r="BX83" s="12">
        <f t="array" ref="BX83">INDEX(BW:BW,MIN(IF(ISNUMBER(BW83:BW279),ROW(BW83:BW279),"")))</f>
        <v>12.5</v>
      </c>
      <c r="BY83" s="12">
        <f>IF('Données projet'!$A$114&gt;35,BY82+BX83-CG82,IF(A83&lt;'Données projet'!$A$114,$BV$205^A83,IF(A83='Données projet'!$A$114,'Données projet'!$B$114,BY82+BX83-CG82)))</f>
        <v>537.00000000000023</v>
      </c>
      <c r="BZ83" s="13">
        <f>BY83*VLOOKUP('Données projet'!$B$12,Paramètres!$A$1:$I$89,3,0)*VLOOKUP('Données projet'!$B$12,Paramètres!$A$1:$I$89,5,0)</f>
        <v>321.12600000000015</v>
      </c>
      <c r="CA83" s="13">
        <f t="shared" si="93"/>
        <v>75.587591944000323</v>
      </c>
      <c r="CB83" s="20">
        <f t="shared" si="64"/>
        <v>690.94283930246741</v>
      </c>
      <c r="CC83" s="59">
        <f t="shared" si="65"/>
        <v>984.27617263580078</v>
      </c>
      <c r="CD83" s="59">
        <f ca="1">AVERAGE(OFFSET($CC$3,0,0,'Données projet'!$E$12+1,1))-AVERAGE(OFFSET($H$3,0,0,'Données projet'!$E$12+1,1))</f>
        <v>270.30888762640245</v>
      </c>
      <c r="CE83" s="59">
        <f t="shared" si="94"/>
        <v>202.23783851977691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78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0.79570200728017426</v>
      </c>
      <c r="CL83" s="21">
        <f>EXP(-LN(2)/25)*CL82+(1-EXP(-LN(2)/25))/(LN(2)/25)*Calculateur!CG83*Calculateur!CI83*VLOOKUP('Données projet'!$B$12,Paramètres!$A$1:$I$89,3,0)*0.475*44/12</f>
        <v>3.0738020430601862</v>
      </c>
      <c r="CM83" s="21">
        <f>EXP(-LN(2)/2)*CM82+(1-EXP(-LN(2)/2))/(LN(2)/2)*CG83*CJ83*VLOOKUP('Données projet'!$B$12,Paramètres!$A$1:$I$89,3,0)*0.475*44/12</f>
        <v>5.5112268288322043E-7</v>
      </c>
      <c r="CN83" s="22">
        <f t="shared" si="66"/>
        <v>3.8695046014630434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12.124038461538468</v>
      </c>
      <c r="CT83" s="12">
        <f>IF('Données projet'!$A$140&gt;35,CT82+CS83-DB82,IF(A83&lt;'Données projet'!$A$140,$CQ$205^A83,IF(A83='Données projet'!$A$140,'Données projet'!$B$140,CT82+CS83-DB82)))</f>
        <v>371.64711538461552</v>
      </c>
      <c r="CU83" s="17">
        <f>CT83*VLOOKUP('Données projet'!$B$13,Paramètres!$A$1:$I$89,3,0)*VLOOKUP('Données projet'!$B$13,Paramètres!$A$1:$I$89,5,0)</f>
        <v>173.93085000000008</v>
      </c>
      <c r="CV83" s="13">
        <f t="shared" si="95"/>
        <v>43.969228534222836</v>
      </c>
      <c r="CW83" s="20">
        <f t="shared" si="67"/>
        <v>379.50930344710491</v>
      </c>
      <c r="CX83" s="59">
        <f t="shared" si="68"/>
        <v>672.84263678043817</v>
      </c>
      <c r="CY83" s="59">
        <f ca="1">AVERAGE(OFFSET($CX$3,0,0,'Données projet'!$E$13+1,1))-AVERAGE(OFFSET($H$3,0,0,'Données projet'!$E$13+1,1))</f>
        <v>158.58786357608489</v>
      </c>
      <c r="CZ83" s="59">
        <f t="shared" si="96"/>
        <v>163.20074068819849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284</v>
      </c>
      <c r="DM83" s="12">
        <f>VLOOKUP(A83,'Données projet'!$A$165:$I$185,9,0)</f>
        <v>3.1</v>
      </c>
      <c r="DN83" s="12">
        <f t="array" ref="DN83">INDEX(DM:DM,MIN(IF(ISNUMBER(DM83:DM279),ROW(DM83:DM279),"")))</f>
        <v>3.1</v>
      </c>
      <c r="DO83" s="12">
        <f>IF('Données projet'!$A$166&gt;35,DO82+DN83-DW82,IF(A83&lt;'Données projet'!$A$166,$DL$205^A83,IF(A83='Données projet'!$A$166,'Données projet'!$B$166,DO82+DN83-DW82)))</f>
        <v>284.00000000000006</v>
      </c>
      <c r="DP83" s="17">
        <f>DO83*VLOOKUP('Données projet'!$B$14,Paramètres!$A$1:$I$89,3,0)*VLOOKUP('Données projet'!$B$14,Paramètres!$A$1:$I$89,5,0)</f>
        <v>190.50720000000004</v>
      </c>
      <c r="DQ83" s="13">
        <f t="shared" si="97"/>
        <v>47.652070165548515</v>
      </c>
      <c r="DR83" s="20">
        <f t="shared" si="70"/>
        <v>414.79406220499703</v>
      </c>
      <c r="DS83" s="59">
        <f t="shared" si="71"/>
        <v>708.12739553833035</v>
      </c>
      <c r="DT83" s="59">
        <f ca="1">AVERAGE(OFFSET($DS$3,0,0,'Données projet'!$E$14+1,1))-AVERAGE(OFFSET($H$3,0,0,'Données projet'!$E$14+1,1))</f>
        <v>156.63226020379989</v>
      </c>
      <c r="DU83" s="59">
        <f t="shared" si="98"/>
        <v>196.0481096619543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284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2.1674901381603364</v>
      </c>
      <c r="EC83" s="21">
        <f>EXP(-LN(2)/2)*EC82+(1-EXP(-LN(2)/2))/(LN(2)/2)*DW83*DZ83*VLOOKUP('Données projet'!$B$14,Paramètres!$A$1:$I$89,3,0)*0.475*44/12</f>
        <v>2.7041050202032457E-7</v>
      </c>
      <c r="ED83" s="22">
        <f t="shared" si="72"/>
        <v>2.1674904085708384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5.5042735042735051</v>
      </c>
      <c r="EJ83" s="12">
        <f>IF('Données projet'!$A$192&gt;35,EJ82+EI83-ER82,IF(A83&lt;'Données projet'!$A$192,$EG$205^A83,IF(A83='Données projet'!$A$192,'Données projet'!$B$192,EJ82+EI83-ER82)))</f>
        <v>177.98931623931617</v>
      </c>
      <c r="EK83" s="17">
        <f>EJ83*VLOOKUP('Données projet'!$B$15,Paramètres!$A$1:$I$89,3,0)*VLOOKUP('Données projet'!$B$15,Paramètres!$A$1:$I$89,5,0)</f>
        <v>191.58769999999993</v>
      </c>
      <c r="EL83" s="13">
        <f t="shared" si="99"/>
        <v>47.890800594040364</v>
      </c>
      <c r="EM83" s="20">
        <f t="shared" si="73"/>
        <v>417.09172186795348</v>
      </c>
      <c r="EN83" s="59">
        <f t="shared" si="74"/>
        <v>710.4250552012868</v>
      </c>
      <c r="EO83" s="59">
        <f ca="1">AVERAGE(OFFSET($EN$3,0,0,'Données projet'!$E$15+1,1))-AVERAGE(OFFSET($H$3,0,0,'Données projet'!$E$15+1,1))</f>
        <v>211.18501783767226</v>
      </c>
      <c r="EP83" s="59">
        <f t="shared" si="100"/>
        <v>147.98306963466246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480</v>
      </c>
      <c r="FC83" s="12">
        <f>VLOOKUP(A83,'Données projet'!$A$217:$I$237,9,0)</f>
        <v>12.8</v>
      </c>
      <c r="FD83" s="12">
        <f t="array" ref="FD83">INDEX(FC:FC,MIN(IF(ISNUMBER(FC83:FC279),ROW(FC83:FC279),"")))</f>
        <v>12.8</v>
      </c>
      <c r="FE83" s="12">
        <f>IF('Données projet'!$A$218&gt;35,FE82+FD83-FM82,IF(A83&lt;'Données projet'!$A$218,$FB$205^A83,IF(A83='Données projet'!$A$218,'Données projet'!$B$218,FE82+FD83-FM82)))</f>
        <v>479.99999999999977</v>
      </c>
      <c r="FF83" s="17">
        <f>FE83*VLOOKUP('Données projet'!$B$16,Paramètres!$A$1:$I$89,3,0)*VLOOKUP('Données projet'!$B$16,Paramètres!$A$1:$I$89,5,0)</f>
        <v>287.03999999999985</v>
      </c>
      <c r="FG83" s="13">
        <f t="shared" si="101"/>
        <v>68.452606307698659</v>
      </c>
      <c r="FH83" s="20">
        <f t="shared" si="76"/>
        <v>619.14962265257475</v>
      </c>
      <c r="FI83" s="59">
        <f t="shared" si="77"/>
        <v>912.48295598590812</v>
      </c>
      <c r="FJ83" s="59">
        <f ca="1">AVERAGE(OFFSET($FI$3,0,0,'Données projet'!$E$16+1,1))-AVERAGE(OFFSET($H$3,0,0,'Données projet'!$E$16+1,1))</f>
        <v>232.26937455765062</v>
      </c>
      <c r="FK83" s="59">
        <f t="shared" si="102"/>
        <v>115.80853281120301</v>
      </c>
      <c r="FL83" s="15">
        <f>IF(ISNA(VLOOKUP(A83,'Données projet'!$A$217:$I$237,3,0)),0,VLOOKUP(A83,'Données projet'!$A$217:$I$237,3,0))</f>
        <v>6</v>
      </c>
      <c r="FM83" s="15">
        <f>IF(ISNA(VLOOKUP(A83,'Données projet'!$A$217:$I$237,4,0)),0,VLOOKUP(A83,'Données projet'!$A$217:$I$237,4,0))</f>
        <v>74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0.82222540752284701</v>
      </c>
      <c r="FR83" s="21">
        <f>EXP(-LN(2)/25)*FR82+(1-EXP(-LN(2)/25))/(LN(2)/25)*Calculateur!FM83*Calculateur!FO83*VLOOKUP('Données projet'!$B$16,Paramètres!$A$1:$I$89,3,0)*0.475*44/12</f>
        <v>1.1022760972744394</v>
      </c>
      <c r="FS83" s="21">
        <f>EXP(-LN(2)/2)*FS82+(1-EXP(-LN(2)/2))/(LN(2)/2)*FM83*FP83*VLOOKUP('Données projet'!$B$16,Paramètres!$A$1:$I$89,3,0)*0.475*44/12</f>
        <v>2.5021222032959023E-7</v>
      </c>
      <c r="FT83" s="22">
        <f t="shared" si="78"/>
        <v>1.9245017550095067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284</v>
      </c>
      <c r="FX83" s="12">
        <f>VLOOKUP(A83,'Données projet'!$A$243:$I$263,9,0)</f>
        <v>3.1</v>
      </c>
      <c r="FY83" s="12">
        <f t="array" ref="FY83">INDEX(FX:FX,MIN(IF(ISNUMBER(FX83:FX279),ROW(FX83:FX279),"")))</f>
        <v>3.1</v>
      </c>
      <c r="FZ83" s="12">
        <f>IF('Données projet'!$A$244&gt;35,FZ82+FY83-GH82,IF(A83&lt;'Données projet'!$A$244,$FW$205^A83,IF(A83='Données projet'!$A$244,'Données projet'!$B$244,FZ82+FY83-GH82)))</f>
        <v>284.00000000000006</v>
      </c>
      <c r="GA83" s="17">
        <f>FZ83*VLOOKUP('Données projet'!$B$17,Paramètres!$A$1:$I$89,3,0)*VLOOKUP('Données projet'!$B$17,Paramètres!$A$1:$I$89,5,0)</f>
        <v>225.95040000000006</v>
      </c>
      <c r="GB83" s="13">
        <f t="shared" si="103"/>
        <v>55.406160129335312</v>
      </c>
      <c r="GC83" s="20">
        <f t="shared" si="79"/>
        <v>490.02934222525914</v>
      </c>
      <c r="GD83" s="59">
        <f t="shared" si="80"/>
        <v>783.3626755585924</v>
      </c>
      <c r="GE83" s="59">
        <f ca="1">AVERAGE(OFFSET($GD$3,0,0,'Données projet'!$E$17+1,1))-AVERAGE(OFFSET($H$3,0,0,'Données projet'!$E$17+1,1))</f>
        <v>199.58763537752952</v>
      </c>
      <c r="GF83" s="59">
        <f t="shared" si="104"/>
        <v>242.62852778451929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284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2.5707441173529557</v>
      </c>
      <c r="GN83" s="21">
        <f>EXP(-LN(2)/2)*GN82+(1-EXP(-LN(2)/2))/(LN(2)/2)*GH83*GK83*VLOOKUP('Données projet'!$B$17,Paramètres!$A$1:$I$89,3,0)*0.475*44/12</f>
        <v>3.2071943262875735E-7</v>
      </c>
      <c r="GO83" s="21">
        <f t="shared" si="81"/>
        <v>2.5707444380723885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5.5042735042735051</v>
      </c>
      <c r="N84" s="13">
        <f>IF('Données projet'!$A$36&gt;35,N83+M84-V83,IF(A84&lt;'Données projet'!$A$36,$K$205^A84,IF(A84='Données projet'!$A$36,'Données projet'!$B$36,N83+M84-V83)))</f>
        <v>183.49358974358967</v>
      </c>
      <c r="O84" s="13">
        <f>N84*VLOOKUP('Données projet'!$B$9,Paramètres!$A$1:$I$89,3,0)*VLOOKUP('Données projet'!$B$9,Paramètres!$A$1:$I$89,5,0)</f>
        <v>166.02499999999992</v>
      </c>
      <c r="P84" s="13">
        <f t="shared" si="87"/>
        <v>42.198533618502132</v>
      </c>
      <c r="Q84" s="20">
        <f t="shared" si="54"/>
        <v>362.65598771889108</v>
      </c>
      <c r="R84" s="59">
        <f t="shared" si="55"/>
        <v>655.98932105222434</v>
      </c>
      <c r="S84" s="59">
        <f ca="1">AVERAGE(OFFSET($R$3,0,0,'Données projet'!$E$9+1,1))-AVERAGE(OFFSET($H$3,0,0,'Données projet'!$E$9+1,1))</f>
        <v>153.45079678708987</v>
      </c>
      <c r="T84" s="59">
        <f t="shared" si="88"/>
        <v>115.4217868409637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186.06249999999994</v>
      </c>
      <c r="AK84" s="13">
        <f t="shared" si="89"/>
        <v>46.668369362854641</v>
      </c>
      <c r="AL84" s="20">
        <f t="shared" si="58"/>
        <v>405.33959747363838</v>
      </c>
      <c r="AM84" s="59">
        <f t="shared" si="59"/>
        <v>698.67293080697164</v>
      </c>
      <c r="AN84" s="59">
        <f ca="1">AVERAGE(OFFSET($AM$3,0,0,'Données projet'!$E$10+1,1))-AVERAGE(OFFSET($H$3,0,0,'Données projet'!$E$10+1,1))</f>
        <v>190.21499310415584</v>
      </c>
      <c r="AO84" s="59">
        <f t="shared" si="90"/>
        <v>136.15730566500173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10.8</v>
      </c>
      <c r="BD84" s="12">
        <f>IF('Données projet'!$A$88&gt;35,BD83+BC84-BL83,IF(A84&lt;'Données projet'!$A$88,$BA$205^A84,IF(A84='Données projet'!$A$88,'Données projet'!$B$88,BD83+BC84-BL83)))</f>
        <v>469.80000000000018</v>
      </c>
      <c r="BE84" s="13">
        <f>BD84*VLOOKUP('Données projet'!$B$11,Paramètres!$A$1:$I$89,3,0)*VLOOKUP('Données projet'!$B$11,Paramètres!$A$1:$I$89,5,0)</f>
        <v>280.94040000000012</v>
      </c>
      <c r="BF84" s="13">
        <f t="shared" si="91"/>
        <v>67.165703636653262</v>
      </c>
      <c r="BG84" s="20">
        <f t="shared" si="61"/>
        <v>606.2847971671714</v>
      </c>
      <c r="BH84" s="59">
        <f t="shared" si="62"/>
        <v>899.61813050050478</v>
      </c>
      <c r="BI84" s="59">
        <f ca="1">AVERAGE(OFFSET($BH$3,0,0,'Données projet'!$E$11+1,1))-AVERAGE(OFFSET($H$3,0,0,'Données projet'!$E$11+1,1))</f>
        <v>270.30888762640245</v>
      </c>
      <c r="BJ84" s="59">
        <f t="shared" si="92"/>
        <v>202.23783851977691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0.78009877624771207</v>
      </c>
      <c r="BQ84" s="21">
        <f>EXP(-LN(2)/25)*BQ83+(1-EXP(-LN(2)/25))/(LN(2)/25)*Calculateur!BL84*Calculateur!BN84*VLOOKUP('Données projet'!$B$11,Paramètres!$A$1:$I$89,3,0)*0.475*44/12</f>
        <v>2.989748764548481</v>
      </c>
      <c r="BR84" s="21">
        <f>EXP(-LN(2)/2)*BR83+(1-EXP(-LN(2)/2))/(LN(2)/2)*BL84*BO84*VLOOKUP('Données projet'!$B$11,Paramètres!$A$1:$I$89,3,0)*0.475*44/12</f>
        <v>3.8970258633244837E-7</v>
      </c>
      <c r="BS84" s="22">
        <f t="shared" si="63"/>
        <v>3.7698479304987793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10.8</v>
      </c>
      <c r="BY84" s="12">
        <f>IF('Données projet'!$A$114&gt;35,BY83+BX84-CG83,IF(A84&lt;'Données projet'!$A$114,$BV$205^A84,IF(A84='Données projet'!$A$114,'Données projet'!$B$114,BY83+BX84-CG83)))</f>
        <v>469.80000000000018</v>
      </c>
      <c r="BZ84" s="13">
        <f>BY84*VLOOKUP('Données projet'!$B$12,Paramètres!$A$1:$I$89,3,0)*VLOOKUP('Données projet'!$B$12,Paramètres!$A$1:$I$89,5,0)</f>
        <v>280.94040000000012</v>
      </c>
      <c r="CA84" s="13">
        <f t="shared" si="93"/>
        <v>67.165703636653262</v>
      </c>
      <c r="CB84" s="20">
        <f t="shared" si="64"/>
        <v>606.2847971671714</v>
      </c>
      <c r="CC84" s="59">
        <f t="shared" si="65"/>
        <v>899.61813050050478</v>
      </c>
      <c r="CD84" s="59">
        <f ca="1">AVERAGE(OFFSET($CC$3,0,0,'Données projet'!$E$12+1,1))-AVERAGE(OFFSET($H$3,0,0,'Données projet'!$E$12+1,1))</f>
        <v>270.30888762640245</v>
      </c>
      <c r="CE84" s="59">
        <f t="shared" si="94"/>
        <v>202.23783851977691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0.78009877624771207</v>
      </c>
      <c r="CL84" s="21">
        <f>EXP(-LN(2)/25)*CL83+(1-EXP(-LN(2)/25))/(LN(2)/25)*Calculateur!CG84*Calculateur!CI84*VLOOKUP('Données projet'!$B$12,Paramètres!$A$1:$I$89,3,0)*0.475*44/12</f>
        <v>2.989748764548481</v>
      </c>
      <c r="CM84" s="21">
        <f>EXP(-LN(2)/2)*CM83+(1-EXP(-LN(2)/2))/(LN(2)/2)*CG84*CJ84*VLOOKUP('Données projet'!$B$12,Paramètres!$A$1:$I$89,3,0)*0.475*44/12</f>
        <v>3.8970258633244837E-7</v>
      </c>
      <c r="CN84" s="22">
        <f t="shared" si="66"/>
        <v>3.7698479304987793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12.124038461538468</v>
      </c>
      <c r="CT84" s="12">
        <f>IF('Données projet'!$A$140&gt;35,CT83+CS84-DB83,IF(A84&lt;'Données projet'!$A$140,$CQ$205^A84,IF(A84='Données projet'!$A$140,'Données projet'!$B$140,CT83+CS84-DB83)))</f>
        <v>383.77115384615399</v>
      </c>
      <c r="CU84" s="17">
        <f>CT84*VLOOKUP('Données projet'!$B$13,Paramètres!$A$1:$I$89,3,0)*VLOOKUP('Données projet'!$B$13,Paramètres!$A$1:$I$89,5,0)</f>
        <v>179.60490000000007</v>
      </c>
      <c r="CV84" s="13">
        <f t="shared" si="95"/>
        <v>45.234272457213635</v>
      </c>
      <c r="CW84" s="20">
        <f t="shared" si="67"/>
        <v>391.59489202964716</v>
      </c>
      <c r="CX84" s="59">
        <f t="shared" si="68"/>
        <v>684.92822536298047</v>
      </c>
      <c r="CY84" s="59">
        <f ca="1">AVERAGE(OFFSET($CX$3,0,0,'Données projet'!$E$13+1,1))-AVERAGE(OFFSET($H$3,0,0,'Données projet'!$E$13+1,1))</f>
        <v>158.58786357608489</v>
      </c>
      <c r="CZ84" s="59">
        <f t="shared" si="96"/>
        <v>163.20074068819849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3.813056537183002E-14</v>
      </c>
      <c r="DQ84" s="13">
        <f t="shared" si="97"/>
        <v>6.4086286045526829E-13</v>
      </c>
      <c r="DR84" s="20">
        <f t="shared" si="70"/>
        <v>1.1825802166488628E-12</v>
      </c>
      <c r="DS84" s="59">
        <f t="shared" si="71"/>
        <v>293.33333333333451</v>
      </c>
      <c r="DT84" s="59">
        <f ca="1">AVERAGE(OFFSET($DS$3,0,0,'Données projet'!$E$14+1,1))-AVERAGE(OFFSET($H$3,0,0,'Données projet'!$E$14+1,1))</f>
        <v>156.63226020379989</v>
      </c>
      <c r="DU84" s="59">
        <f t="shared" si="98"/>
        <v>196.0481096619543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2.1082200063489895</v>
      </c>
      <c r="EC84" s="21">
        <f>EXP(-LN(2)/2)*EC83+(1-EXP(-LN(2)/2))/(LN(2)/2)*DW84*DZ84*VLOOKUP('Données projet'!$B$14,Paramètres!$A$1:$I$89,3,0)*0.475*44/12</f>
        <v>1.9120909968263012E-7</v>
      </c>
      <c r="ED84" s="22">
        <f t="shared" si="72"/>
        <v>2.1082201975580892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5.5042735042735051</v>
      </c>
      <c r="EJ84" s="12">
        <f>IF('Données projet'!$A$192&gt;35,EJ83+EI84-ER83,IF(A84&lt;'Données projet'!$A$192,$EG$205^A84,IF(A84='Données projet'!$A$192,'Données projet'!$B$192,EJ83+EI84-ER83)))</f>
        <v>183.49358974358967</v>
      </c>
      <c r="EK84" s="17">
        <f>EJ84*VLOOKUP('Données projet'!$B$15,Paramètres!$A$1:$I$89,3,0)*VLOOKUP('Données projet'!$B$15,Paramètres!$A$1:$I$89,5,0)</f>
        <v>197.5124999999999</v>
      </c>
      <c r="EL84" s="13">
        <f t="shared" si="99"/>
        <v>49.197092951689569</v>
      </c>
      <c r="EM84" s="20">
        <f t="shared" si="73"/>
        <v>429.68587439085917</v>
      </c>
      <c r="EN84" s="59">
        <f t="shared" si="74"/>
        <v>723.01920772419248</v>
      </c>
      <c r="EO84" s="59">
        <f ca="1">AVERAGE(OFFSET($EN$3,0,0,'Données projet'!$E$15+1,1))-AVERAGE(OFFSET($H$3,0,0,'Données projet'!$E$15+1,1))</f>
        <v>211.18501783767226</v>
      </c>
      <c r="EP84" s="59">
        <f t="shared" si="100"/>
        <v>147.98306963466246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12.2</v>
      </c>
      <c r="FE84" s="12">
        <f>IF('Données projet'!$A$218&gt;35,FE83+FD84-FM83,IF(A84&lt;'Données projet'!$A$218,$FB$205^A84,IF(A84='Données projet'!$A$218,'Données projet'!$B$218,FE83+FD84-FM83)))</f>
        <v>418.19999999999976</v>
      </c>
      <c r="FF84" s="17">
        <f>FE84*VLOOKUP('Données projet'!$B$16,Paramètres!$A$1:$I$89,3,0)*VLOOKUP('Données projet'!$B$16,Paramètres!$A$1:$I$89,5,0)</f>
        <v>250.08359999999988</v>
      </c>
      <c r="FG84" s="13">
        <f t="shared" si="101"/>
        <v>60.603842185749649</v>
      </c>
      <c r="FH84" s="20">
        <f t="shared" si="76"/>
        <v>541.11396180684699</v>
      </c>
      <c r="FI84" s="59">
        <f t="shared" si="77"/>
        <v>834.44729514018036</v>
      </c>
      <c r="FJ84" s="59">
        <f ca="1">AVERAGE(OFFSET($FI$3,0,0,'Données projet'!$E$16+1,1))-AVERAGE(OFFSET($H$3,0,0,'Données projet'!$E$16+1,1))</f>
        <v>232.26937455765062</v>
      </c>
      <c r="FK84" s="59">
        <f t="shared" si="102"/>
        <v>115.80853281120301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0.80610206878930279</v>
      </c>
      <c r="FR84" s="21">
        <f>EXP(-LN(2)/25)*FR83+(1-EXP(-LN(2)/25))/(LN(2)/25)*Calculateur!FM84*Calculateur!FO84*VLOOKUP('Données projet'!$B$16,Paramètres!$A$1:$I$89,3,0)*0.475*44/12</f>
        <v>1.0721342994282892</v>
      </c>
      <c r="FS84" s="21">
        <f>EXP(-LN(2)/2)*FS83+(1-EXP(-LN(2)/2))/(LN(2)/2)*FM84*FP84*VLOOKUP('Données projet'!$B$16,Paramètres!$A$1:$I$89,3,0)*0.475*44/12</f>
        <v>1.7692675773079578E-7</v>
      </c>
      <c r="FT84" s="22">
        <f t="shared" si="78"/>
        <v>1.8782365451443497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5.6843418860808015E-14</v>
      </c>
      <c r="GA84" s="17">
        <f>FZ84*VLOOKUP('Données projet'!$B$17,Paramètres!$A$1:$I$89,3,0)*VLOOKUP('Données projet'!$B$17,Paramètres!$A$1:$I$89,5,0)</f>
        <v>4.5224624045658861E-14</v>
      </c>
      <c r="GB84" s="13">
        <f t="shared" si="103"/>
        <v>7.4514601661523691E-13</v>
      </c>
      <c r="GC84" s="20">
        <f t="shared" si="79"/>
        <v>1.3765621991510601E-12</v>
      </c>
      <c r="GD84" s="59">
        <f t="shared" si="80"/>
        <v>293.33333333333468</v>
      </c>
      <c r="GE84" s="59">
        <f ca="1">AVERAGE(OFFSET($GD$3,0,0,'Données projet'!$E$17+1,1))-AVERAGE(OFFSET($H$3,0,0,'Données projet'!$E$17+1,1))</f>
        <v>199.58763537752952</v>
      </c>
      <c r="GF84" s="59">
        <f t="shared" si="104"/>
        <v>242.62852778451929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2.5004469842743817</v>
      </c>
      <c r="GN84" s="21">
        <f>EXP(-LN(2)/2)*GN83+(1-EXP(-LN(2)/2))/(LN(2)/2)*GH84*GK84*VLOOKUP('Données projet'!$B$17,Paramètres!$A$1:$I$89,3,0)*0.475*44/12</f>
        <v>2.267828856700964E-7</v>
      </c>
      <c r="GO84" s="21">
        <f t="shared" si="81"/>
        <v>2.5004472110572675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5.5042735042735051</v>
      </c>
      <c r="N85" s="13">
        <f>IF('Données projet'!$A$36&gt;35,N84+M85-V84,IF(A85&lt;'Données projet'!$A$36,$K$205^A85,IF(A85='Données projet'!$A$36,'Données projet'!$B$36,N84+M85-V84)))</f>
        <v>188.99786324786317</v>
      </c>
      <c r="O85" s="13">
        <f>N85*VLOOKUP('Données projet'!$B$9,Paramètres!$A$1:$I$89,3,0)*VLOOKUP('Données projet'!$B$9,Paramètres!$A$1:$I$89,5,0)</f>
        <v>171.00526666666659</v>
      </c>
      <c r="P85" s="13">
        <f t="shared" si="87"/>
        <v>43.31509256233069</v>
      </c>
      <c r="Q85" s="20">
        <f t="shared" si="54"/>
        <v>373.27462565717025</v>
      </c>
      <c r="R85" s="59">
        <f t="shared" si="55"/>
        <v>666.60795899050356</v>
      </c>
      <c r="S85" s="59">
        <f ca="1">AVERAGE(OFFSET($R$3,0,0,'Données projet'!$E$9+1,1))-AVERAGE(OFFSET($H$3,0,0,'Données projet'!$E$9+1,1))</f>
        <v>153.45079678708987</v>
      </c>
      <c r="T85" s="59">
        <f t="shared" si="88"/>
        <v>115.4217868409637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191.64383333333325</v>
      </c>
      <c r="AK85" s="13">
        <f t="shared" si="89"/>
        <v>47.903198650456822</v>
      </c>
      <c r="AL85" s="20">
        <f t="shared" si="58"/>
        <v>417.21108070510104</v>
      </c>
      <c r="AM85" s="59">
        <f t="shared" si="59"/>
        <v>710.5444140384343</v>
      </c>
      <c r="AN85" s="59">
        <f ca="1">AVERAGE(OFFSET($AM$3,0,0,'Données projet'!$E$10+1,1))-AVERAGE(OFFSET($H$3,0,0,'Données projet'!$E$10+1,1))</f>
        <v>190.21499310415584</v>
      </c>
      <c r="AO85" s="59">
        <f t="shared" si="90"/>
        <v>136.15730566500173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10.8</v>
      </c>
      <c r="BD85" s="12">
        <f>IF('Données projet'!$A$88&gt;35,BD84+BC85-BL84,IF(A85&lt;'Données projet'!$A$88,$BA$205^A85,IF(A85='Données projet'!$A$88,'Données projet'!$B$88,BD84+BC85-BL84)))</f>
        <v>480.60000000000019</v>
      </c>
      <c r="BE85" s="13">
        <f>BD85*VLOOKUP('Données projet'!$B$11,Paramètres!$A$1:$I$89,3,0)*VLOOKUP('Données projet'!$B$11,Paramètres!$A$1:$I$89,5,0)</f>
        <v>287.39880000000016</v>
      </c>
      <c r="BF85" s="13">
        <f t="shared" si="91"/>
        <v>68.528206713592894</v>
      </c>
      <c r="BG85" s="20">
        <f t="shared" si="61"/>
        <v>619.90620335950791</v>
      </c>
      <c r="BH85" s="59">
        <f t="shared" si="62"/>
        <v>913.23953669284128</v>
      </c>
      <c r="BI85" s="59">
        <f ca="1">AVERAGE(OFFSET($BH$3,0,0,'Données projet'!$E$11+1,1))-AVERAGE(OFFSET($H$3,0,0,'Données projet'!$E$11+1,1))</f>
        <v>270.30888762640245</v>
      </c>
      <c r="BJ85" s="59">
        <f t="shared" si="92"/>
        <v>202.23783851977691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0.76480151505876526</v>
      </c>
      <c r="BQ85" s="21">
        <f>EXP(-LN(2)/25)*BQ84+(1-EXP(-LN(2)/25))/(LN(2)/25)*Calculateur!BL85*Calculateur!BN85*VLOOKUP('Données projet'!$B$11,Paramètres!$A$1:$I$89,3,0)*0.475*44/12</f>
        <v>2.9079939273578486</v>
      </c>
      <c r="BR85" s="21">
        <f>EXP(-LN(2)/2)*BR84+(1-EXP(-LN(2)/2))/(LN(2)/2)*BL85*BO85*VLOOKUP('Données projet'!$B$11,Paramètres!$A$1:$I$89,3,0)*0.475*44/12</f>
        <v>2.7556134144161022E-7</v>
      </c>
      <c r="BS85" s="22">
        <f t="shared" si="63"/>
        <v>3.6727957179779551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10.8</v>
      </c>
      <c r="BY85" s="12">
        <f>IF('Données projet'!$A$114&gt;35,BY84+BX85-CG84,IF(A85&lt;'Données projet'!$A$114,$BV$205^A85,IF(A85='Données projet'!$A$114,'Données projet'!$B$114,BY84+BX85-CG84)))</f>
        <v>480.60000000000019</v>
      </c>
      <c r="BZ85" s="13">
        <f>BY85*VLOOKUP('Données projet'!$B$12,Paramètres!$A$1:$I$89,3,0)*VLOOKUP('Données projet'!$B$12,Paramètres!$A$1:$I$89,5,0)</f>
        <v>287.39880000000016</v>
      </c>
      <c r="CA85" s="13">
        <f t="shared" si="93"/>
        <v>68.528206713592894</v>
      </c>
      <c r="CB85" s="20">
        <f t="shared" si="64"/>
        <v>619.90620335950791</v>
      </c>
      <c r="CC85" s="59">
        <f t="shared" si="65"/>
        <v>913.23953669284128</v>
      </c>
      <c r="CD85" s="59">
        <f ca="1">AVERAGE(OFFSET($CC$3,0,0,'Données projet'!$E$12+1,1))-AVERAGE(OFFSET($H$3,0,0,'Données projet'!$E$12+1,1))</f>
        <v>270.30888762640245</v>
      </c>
      <c r="CE85" s="59">
        <f t="shared" si="94"/>
        <v>202.23783851977691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0.76480151505876526</v>
      </c>
      <c r="CL85" s="21">
        <f>EXP(-LN(2)/25)*CL84+(1-EXP(-LN(2)/25))/(LN(2)/25)*Calculateur!CG85*Calculateur!CI85*VLOOKUP('Données projet'!$B$12,Paramètres!$A$1:$I$89,3,0)*0.475*44/12</f>
        <v>2.9079939273578486</v>
      </c>
      <c r="CM85" s="21">
        <f>EXP(-LN(2)/2)*CM84+(1-EXP(-LN(2)/2))/(LN(2)/2)*CG85*CJ85*VLOOKUP('Données projet'!$B$12,Paramètres!$A$1:$I$89,3,0)*0.475*44/12</f>
        <v>2.7556134144161022E-7</v>
      </c>
      <c r="CN85" s="22">
        <f t="shared" si="66"/>
        <v>3.6727957179779551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12.124038461538468</v>
      </c>
      <c r="CT85" s="12">
        <f>IF('Données projet'!$A$140&gt;35,CT84+CS85-DB84,IF(A85&lt;'Données projet'!$A$140,$CQ$205^A85,IF(A85='Données projet'!$A$140,'Données projet'!$B$140,CT84+CS85-DB84)))</f>
        <v>395.89519230769247</v>
      </c>
      <c r="CU85" s="17">
        <f>CT85*VLOOKUP('Données projet'!$B$13,Paramètres!$A$1:$I$89,3,0)*VLOOKUP('Données projet'!$B$13,Paramètres!$A$1:$I$89,5,0)</f>
        <v>185.27895000000009</v>
      </c>
      <c r="CV85" s="13">
        <f t="shared" si="95"/>
        <v>46.494672172616063</v>
      </c>
      <c r="CW85" s="20">
        <f t="shared" si="67"/>
        <v>403.67239195063979</v>
      </c>
      <c r="CX85" s="59">
        <f t="shared" si="68"/>
        <v>697.00572528397311</v>
      </c>
      <c r="CY85" s="59">
        <f ca="1">AVERAGE(OFFSET($CX$3,0,0,'Données projet'!$E$13+1,1))-AVERAGE(OFFSET($H$3,0,0,'Données projet'!$E$13+1,1))</f>
        <v>158.58786357608489</v>
      </c>
      <c r="CZ85" s="59">
        <f t="shared" si="96"/>
        <v>163.20074068819849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3.813056537183002E-14</v>
      </c>
      <c r="DQ85" s="13">
        <f t="shared" si="97"/>
        <v>6.4086286045526829E-13</v>
      </c>
      <c r="DR85" s="20">
        <f t="shared" si="70"/>
        <v>1.1825802166488628E-12</v>
      </c>
      <c r="DS85" s="59">
        <f t="shared" si="71"/>
        <v>293.33333333333451</v>
      </c>
      <c r="DT85" s="59">
        <f ca="1">AVERAGE(OFFSET($DS$3,0,0,'Données projet'!$E$14+1,1))-AVERAGE(OFFSET($H$3,0,0,'Données projet'!$E$14+1,1))</f>
        <v>156.63226020379989</v>
      </c>
      <c r="DU85" s="59">
        <f t="shared" si="98"/>
        <v>196.0481096619543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2.0505706194089046</v>
      </c>
      <c r="EC85" s="21">
        <f>EXP(-LN(2)/2)*EC84+(1-EXP(-LN(2)/2))/(LN(2)/2)*DW85*DZ85*VLOOKUP('Données projet'!$B$14,Paramètres!$A$1:$I$89,3,0)*0.475*44/12</f>
        <v>1.3520525101016229E-7</v>
      </c>
      <c r="ED85" s="22">
        <f t="shared" si="72"/>
        <v>2.0505707546141556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5.5042735042735051</v>
      </c>
      <c r="EJ85" s="12">
        <f>IF('Données projet'!$A$192&gt;35,EJ84+EI85-ER84,IF(A85&lt;'Données projet'!$A$192,$EG$205^A85,IF(A85='Données projet'!$A$192,'Données projet'!$B$192,EJ84+EI85-ER84)))</f>
        <v>188.99786324786317</v>
      </c>
      <c r="EK85" s="17">
        <f>EJ85*VLOOKUP('Données projet'!$B$15,Paramètres!$A$1:$I$89,3,0)*VLOOKUP('Données projet'!$B$15,Paramètres!$A$1:$I$89,5,0)</f>
        <v>203.43729999999988</v>
      </c>
      <c r="EL85" s="13">
        <f t="shared" si="99"/>
        <v>50.498831411186444</v>
      </c>
      <c r="EM85" s="20">
        <f t="shared" si="73"/>
        <v>442.27209554114955</v>
      </c>
      <c r="EN85" s="59">
        <f t="shared" si="74"/>
        <v>735.60542887448287</v>
      </c>
      <c r="EO85" s="59">
        <f ca="1">AVERAGE(OFFSET($EN$3,0,0,'Données projet'!$E$15+1,1))-AVERAGE(OFFSET($H$3,0,0,'Données projet'!$E$15+1,1))</f>
        <v>211.18501783767226</v>
      </c>
      <c r="EP85" s="59">
        <f t="shared" si="100"/>
        <v>147.98306963466246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12.2</v>
      </c>
      <c r="FE85" s="12">
        <f>IF('Données projet'!$A$218&gt;35,FE84+FD85-FM84,IF(A85&lt;'Données projet'!$A$218,$FB$205^A85,IF(A85='Données projet'!$A$218,'Données projet'!$B$218,FE84+FD85-FM84)))</f>
        <v>430.39999999999975</v>
      </c>
      <c r="FF85" s="17">
        <f>FE85*VLOOKUP('Données projet'!$B$16,Paramètres!$A$1:$I$89,3,0)*VLOOKUP('Données projet'!$B$16,Paramètres!$A$1:$I$89,5,0)</f>
        <v>257.37919999999986</v>
      </c>
      <c r="FG85" s="13">
        <f t="shared" si="101"/>
        <v>62.163400334541379</v>
      </c>
      <c r="FH85" s="20">
        <f t="shared" si="76"/>
        <v>556.53669558265926</v>
      </c>
      <c r="FI85" s="59">
        <f t="shared" si="77"/>
        <v>849.87002891599263</v>
      </c>
      <c r="FJ85" s="59">
        <f ca="1">AVERAGE(OFFSET($FI$3,0,0,'Données projet'!$E$16+1,1))-AVERAGE(OFFSET($H$3,0,0,'Données projet'!$E$16+1,1))</f>
        <v>232.26937455765062</v>
      </c>
      <c r="FK85" s="59">
        <f t="shared" si="102"/>
        <v>115.80853281120301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0.7902948988940578</v>
      </c>
      <c r="FR85" s="21">
        <f>EXP(-LN(2)/25)*FR84+(1-EXP(-LN(2)/25))/(LN(2)/25)*Calculateur!FM85*Calculateur!FO85*VLOOKUP('Données projet'!$B$16,Paramètres!$A$1:$I$89,3,0)*0.475*44/12</f>
        <v>1.0428167306293301</v>
      </c>
      <c r="FS85" s="21">
        <f>EXP(-LN(2)/2)*FS84+(1-EXP(-LN(2)/2))/(LN(2)/2)*FM85*FP85*VLOOKUP('Données projet'!$B$16,Paramètres!$A$1:$I$89,3,0)*0.475*44/12</f>
        <v>1.2510611016479511E-7</v>
      </c>
      <c r="FT85" s="22">
        <f t="shared" si="78"/>
        <v>1.8331117546294979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5.6843418860808015E-14</v>
      </c>
      <c r="GA85" s="17">
        <f>FZ85*VLOOKUP('Données projet'!$B$17,Paramètres!$A$1:$I$89,3,0)*VLOOKUP('Données projet'!$B$17,Paramètres!$A$1:$I$89,5,0)</f>
        <v>4.5224624045658861E-14</v>
      </c>
      <c r="GB85" s="13">
        <f t="shared" si="103"/>
        <v>7.4514601661523691E-13</v>
      </c>
      <c r="GC85" s="20">
        <f t="shared" si="79"/>
        <v>1.3765621991510601E-12</v>
      </c>
      <c r="GD85" s="59">
        <f t="shared" si="80"/>
        <v>293.33333333333468</v>
      </c>
      <c r="GE85" s="59">
        <f ca="1">AVERAGE(OFFSET($GD$3,0,0,'Données projet'!$E$17+1,1))-AVERAGE(OFFSET($H$3,0,0,'Données projet'!$E$17+1,1))</f>
        <v>199.58763537752952</v>
      </c>
      <c r="GF85" s="59">
        <f t="shared" si="104"/>
        <v>242.62852778451929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2.4320721299966066</v>
      </c>
      <c r="GN85" s="21">
        <f>EXP(-LN(2)/2)*GN84+(1-EXP(-LN(2)/2))/(LN(2)/2)*GH85*GK85*VLOOKUP('Données projet'!$B$17,Paramètres!$A$1:$I$89,3,0)*0.475*44/12</f>
        <v>1.6035971631437868E-7</v>
      </c>
      <c r="GO85" s="21">
        <f t="shared" si="81"/>
        <v>2.4320722903563228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5.5042735042735051</v>
      </c>
      <c r="N86" s="13">
        <f>IF('Données projet'!$A$36&gt;35,N85+M86-V85,IF(A86&lt;'Données projet'!$A$36,$K$205^A86,IF(A86='Données projet'!$A$36,'Données projet'!$B$36,N85+M86-V85)))</f>
        <v>194.50213675213666</v>
      </c>
      <c r="O86" s="13">
        <f>N86*VLOOKUP('Données projet'!$B$9,Paramètres!$A$1:$I$89,3,0)*VLOOKUP('Données projet'!$B$9,Paramètres!$A$1:$I$89,5,0)</f>
        <v>175.98553333333325</v>
      </c>
      <c r="P86" s="13">
        <f t="shared" si="87"/>
        <v>44.427872246727624</v>
      </c>
      <c r="Q86" s="20">
        <f t="shared" si="54"/>
        <v>383.88668138527265</v>
      </c>
      <c r="R86" s="59">
        <f t="shared" si="55"/>
        <v>677.22001471860597</v>
      </c>
      <c r="S86" s="59">
        <f ca="1">AVERAGE(OFFSET($R$3,0,0,'Données projet'!$E$9+1,1))-AVERAGE(OFFSET($H$3,0,0,'Données projet'!$E$9+1,1))</f>
        <v>153.45079678708987</v>
      </c>
      <c r="T86" s="59">
        <f t="shared" si="88"/>
        <v>115.4217868409637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197.22516666666658</v>
      </c>
      <c r="AK86" s="13">
        <f t="shared" si="89"/>
        <v>49.133848364506264</v>
      </c>
      <c r="AL86" s="20">
        <f t="shared" si="58"/>
        <v>429.07528451262601</v>
      </c>
      <c r="AM86" s="59">
        <f t="shared" si="59"/>
        <v>722.40861784595927</v>
      </c>
      <c r="AN86" s="59">
        <f ca="1">AVERAGE(OFFSET($AM$3,0,0,'Données projet'!$E$10+1,1))-AVERAGE(OFFSET($H$3,0,0,'Données projet'!$E$10+1,1))</f>
        <v>190.21499310415584</v>
      </c>
      <c r="AO86" s="59">
        <f t="shared" si="90"/>
        <v>136.15730566500173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10.8</v>
      </c>
      <c r="BD86" s="12">
        <f>IF('Données projet'!$A$88&gt;35,BD85+BC86-BL85,IF(A86&lt;'Données projet'!$A$88,$BA$205^A86,IF(A86='Données projet'!$A$88,'Données projet'!$B$88,BD85+BC86-BL85)))</f>
        <v>491.4000000000002</v>
      </c>
      <c r="BE86" s="13">
        <f>BD86*VLOOKUP('Données projet'!$B$11,Paramètres!$A$1:$I$89,3,0)*VLOOKUP('Données projet'!$B$11,Paramètres!$A$1:$I$89,5,0)</f>
        <v>293.85720000000015</v>
      </c>
      <c r="BF86" s="13">
        <f t="shared" si="91"/>
        <v>69.887150190339838</v>
      </c>
      <c r="BG86" s="20">
        <f t="shared" si="61"/>
        <v>633.52140991484214</v>
      </c>
      <c r="BH86" s="59">
        <f t="shared" si="62"/>
        <v>926.85474324817551</v>
      </c>
      <c r="BI86" s="59">
        <f ca="1">AVERAGE(OFFSET($BH$3,0,0,'Données projet'!$E$11+1,1))-AVERAGE(OFFSET($H$3,0,0,'Données projet'!$E$11+1,1))</f>
        <v>270.30888762640245</v>
      </c>
      <c r="BJ86" s="59">
        <f t="shared" si="92"/>
        <v>202.23783851977691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0.74980422383132572</v>
      </c>
      <c r="BQ86" s="21">
        <f>EXP(-LN(2)/25)*BQ85+(1-EXP(-LN(2)/25))/(LN(2)/25)*Calculateur!BL86*Calculateur!BN86*VLOOKUP('Données projet'!$B$11,Paramètres!$A$1:$I$89,3,0)*0.475*44/12</f>
        <v>2.828474680489494</v>
      </c>
      <c r="BR86" s="21">
        <f>EXP(-LN(2)/2)*BR85+(1-EXP(-LN(2)/2))/(LN(2)/2)*BL86*BO86*VLOOKUP('Données projet'!$B$11,Paramètres!$A$1:$I$89,3,0)*0.475*44/12</f>
        <v>1.9485129316622419E-7</v>
      </c>
      <c r="BS86" s="22">
        <f t="shared" si="63"/>
        <v>3.578279099172113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10.8</v>
      </c>
      <c r="BY86" s="12">
        <f>IF('Données projet'!$A$114&gt;35,BY85+BX86-CG85,IF(A86&lt;'Données projet'!$A$114,$BV$205^A86,IF(A86='Données projet'!$A$114,'Données projet'!$B$114,BY85+BX86-CG85)))</f>
        <v>491.4000000000002</v>
      </c>
      <c r="BZ86" s="13">
        <f>BY86*VLOOKUP('Données projet'!$B$12,Paramètres!$A$1:$I$89,3,0)*VLOOKUP('Données projet'!$B$12,Paramètres!$A$1:$I$89,5,0)</f>
        <v>293.85720000000015</v>
      </c>
      <c r="CA86" s="13">
        <f t="shared" si="93"/>
        <v>69.887150190339838</v>
      </c>
      <c r="CB86" s="20">
        <f t="shared" si="64"/>
        <v>633.52140991484214</v>
      </c>
      <c r="CC86" s="59">
        <f t="shared" si="65"/>
        <v>926.85474324817551</v>
      </c>
      <c r="CD86" s="59">
        <f ca="1">AVERAGE(OFFSET($CC$3,0,0,'Données projet'!$E$12+1,1))-AVERAGE(OFFSET($H$3,0,0,'Données projet'!$E$12+1,1))</f>
        <v>270.30888762640245</v>
      </c>
      <c r="CE86" s="59">
        <f t="shared" si="94"/>
        <v>202.23783851977691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0.74980422383132572</v>
      </c>
      <c r="CL86" s="21">
        <f>EXP(-LN(2)/25)*CL85+(1-EXP(-LN(2)/25))/(LN(2)/25)*Calculateur!CG86*Calculateur!CI86*VLOOKUP('Données projet'!$B$12,Paramètres!$A$1:$I$89,3,0)*0.475*44/12</f>
        <v>2.828474680489494</v>
      </c>
      <c r="CM86" s="21">
        <f>EXP(-LN(2)/2)*CM85+(1-EXP(-LN(2)/2))/(LN(2)/2)*CG86*CJ86*VLOOKUP('Données projet'!$B$12,Paramètres!$A$1:$I$89,3,0)*0.475*44/12</f>
        <v>1.9485129316622419E-7</v>
      </c>
      <c r="CN86" s="22">
        <f t="shared" si="66"/>
        <v>3.578279099172113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12.124038461538468</v>
      </c>
      <c r="CT86" s="12">
        <f>IF('Données projet'!$A$140&gt;35,CT85+CS86-DB85,IF(A86&lt;'Données projet'!$A$140,$CQ$205^A86,IF(A86='Données projet'!$A$140,'Données projet'!$B$140,CT85+CS86-DB85)))</f>
        <v>408.01923076923094</v>
      </c>
      <c r="CU86" s="17">
        <f>CT86*VLOOKUP('Données projet'!$B$13,Paramètres!$A$1:$I$89,3,0)*VLOOKUP('Données projet'!$B$13,Paramètres!$A$1:$I$89,5,0)</f>
        <v>190.95300000000006</v>
      </c>
      <c r="CV86" s="13">
        <f t="shared" si="95"/>
        <v>47.750586229034354</v>
      </c>
      <c r="CW86" s="20">
        <f t="shared" si="67"/>
        <v>415.7420793489016</v>
      </c>
      <c r="CX86" s="59">
        <f t="shared" si="68"/>
        <v>709.07541268223486</v>
      </c>
      <c r="CY86" s="59">
        <f ca="1">AVERAGE(OFFSET($CX$3,0,0,'Données projet'!$E$13+1,1))-AVERAGE(OFFSET($H$3,0,0,'Données projet'!$E$13+1,1))</f>
        <v>158.58786357608489</v>
      </c>
      <c r="CZ86" s="59">
        <f t="shared" si="96"/>
        <v>163.20074068819849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3.813056537183002E-14</v>
      </c>
      <c r="DQ86" s="13">
        <f t="shared" si="97"/>
        <v>6.4086286045526829E-13</v>
      </c>
      <c r="DR86" s="20">
        <f t="shared" si="70"/>
        <v>1.1825802166488628E-12</v>
      </c>
      <c r="DS86" s="59">
        <f t="shared" si="71"/>
        <v>293.33333333333451</v>
      </c>
      <c r="DT86" s="59">
        <f ca="1">AVERAGE(OFFSET($DS$3,0,0,'Données projet'!$E$14+1,1))-AVERAGE(OFFSET($H$3,0,0,'Données projet'!$E$14+1,1))</f>
        <v>156.63226020379989</v>
      </c>
      <c r="DU86" s="59">
        <f t="shared" si="98"/>
        <v>196.0481096619543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1.9944976579863458</v>
      </c>
      <c r="EC86" s="21">
        <f>EXP(-LN(2)/2)*EC85+(1-EXP(-LN(2)/2))/(LN(2)/2)*DW86*DZ86*VLOOKUP('Données projet'!$B$14,Paramètres!$A$1:$I$89,3,0)*0.475*44/12</f>
        <v>9.5604549841315058E-8</v>
      </c>
      <c r="ED86" s="22">
        <f t="shared" si="72"/>
        <v>1.9944977535908957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5.5042735042735051</v>
      </c>
      <c r="EJ86" s="12">
        <f>IF('Données projet'!$A$192&gt;35,EJ85+EI86-ER85,IF(A86&lt;'Données projet'!$A$192,$EG$205^A86,IF(A86='Données projet'!$A$192,'Données projet'!$B$192,EJ85+EI86-ER85)))</f>
        <v>194.50213675213666</v>
      </c>
      <c r="EK86" s="17">
        <f>EJ86*VLOOKUP('Données projet'!$B$15,Paramètres!$A$1:$I$89,3,0)*VLOOKUP('Données projet'!$B$15,Paramètres!$A$1:$I$89,5,0)</f>
        <v>209.36209999999988</v>
      </c>
      <c r="EL86" s="13">
        <f t="shared" si="99"/>
        <v>51.796163827117176</v>
      </c>
      <c r="EM86" s="20">
        <f t="shared" si="73"/>
        <v>454.85064283222886</v>
      </c>
      <c r="EN86" s="59">
        <f t="shared" si="74"/>
        <v>748.18397616556217</v>
      </c>
      <c r="EO86" s="59">
        <f ca="1">AVERAGE(OFFSET($EN$3,0,0,'Données projet'!$E$15+1,1))-AVERAGE(OFFSET($H$3,0,0,'Données projet'!$E$15+1,1))</f>
        <v>211.18501783767226</v>
      </c>
      <c r="EP86" s="59">
        <f t="shared" si="100"/>
        <v>147.98306963466246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12.2</v>
      </c>
      <c r="FE86" s="12">
        <f>IF('Données projet'!$A$218&gt;35,FE85+FD86-FM85,IF(A86&lt;'Données projet'!$A$218,$FB$205^A86,IF(A86='Données projet'!$A$218,'Données projet'!$B$218,FE85+FD86-FM85)))</f>
        <v>442.59999999999974</v>
      </c>
      <c r="FF86" s="17">
        <f>FE86*VLOOKUP('Données projet'!$B$16,Paramètres!$A$1:$I$89,3,0)*VLOOKUP('Données projet'!$B$16,Paramètres!$A$1:$I$89,5,0)</f>
        <v>264.67479999999989</v>
      </c>
      <c r="FG86" s="13">
        <f t="shared" si="101"/>
        <v>63.717820563659359</v>
      </c>
      <c r="FH86" s="20">
        <f t="shared" si="76"/>
        <v>571.95048081503978</v>
      </c>
      <c r="FI86" s="59">
        <f t="shared" si="77"/>
        <v>865.28381414837304</v>
      </c>
      <c r="FJ86" s="59">
        <f ca="1">AVERAGE(OFFSET($FI$3,0,0,'Données projet'!$E$16+1,1))-AVERAGE(OFFSET($H$3,0,0,'Données projet'!$E$16+1,1))</f>
        <v>232.26937455765062</v>
      </c>
      <c r="FK86" s="59">
        <f t="shared" si="102"/>
        <v>115.80853281120301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0.77479769795903686</v>
      </c>
      <c r="FR86" s="21">
        <f>EXP(-LN(2)/25)*FR85+(1-EXP(-LN(2)/25))/(LN(2)/25)*Calculateur!FM86*Calculateur!FO86*VLOOKUP('Données projet'!$B$16,Paramètres!$A$1:$I$89,3,0)*0.475*44/12</f>
        <v>1.0143008522909227</v>
      </c>
      <c r="FS86" s="21">
        <f>EXP(-LN(2)/2)*FS85+(1-EXP(-LN(2)/2))/(LN(2)/2)*FM86*FP86*VLOOKUP('Données projet'!$B$16,Paramètres!$A$1:$I$89,3,0)*0.475*44/12</f>
        <v>8.846337886539789E-8</v>
      </c>
      <c r="FT86" s="22">
        <f t="shared" si="78"/>
        <v>1.7890986387133383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5.6843418860808015E-14</v>
      </c>
      <c r="GA86" s="17">
        <f>FZ86*VLOOKUP('Données projet'!$B$17,Paramètres!$A$1:$I$89,3,0)*VLOOKUP('Données projet'!$B$17,Paramètres!$A$1:$I$89,5,0)</f>
        <v>4.5224624045658861E-14</v>
      </c>
      <c r="GB86" s="13">
        <f t="shared" si="103"/>
        <v>7.4514601661523691E-13</v>
      </c>
      <c r="GC86" s="20">
        <f t="shared" si="79"/>
        <v>1.3765621991510601E-12</v>
      </c>
      <c r="GD86" s="59">
        <f t="shared" si="80"/>
        <v>293.33333333333468</v>
      </c>
      <c r="GE86" s="59">
        <f ca="1">AVERAGE(OFFSET($GD$3,0,0,'Données projet'!$E$17+1,1))-AVERAGE(OFFSET($H$3,0,0,'Données projet'!$E$17+1,1))</f>
        <v>199.58763537752952</v>
      </c>
      <c r="GF86" s="59">
        <f t="shared" si="104"/>
        <v>242.62852778451929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2.3655669897047344</v>
      </c>
      <c r="GN86" s="21">
        <f>EXP(-LN(2)/2)*GN85+(1-EXP(-LN(2)/2))/(LN(2)/2)*GH86*GK86*VLOOKUP('Données projet'!$B$17,Paramètres!$A$1:$I$89,3,0)*0.475*44/12</f>
        <v>1.133914428350482E-7</v>
      </c>
      <c r="GO86" s="21">
        <f t="shared" si="81"/>
        <v>2.3655671030961773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200.00641025641025</v>
      </c>
      <c r="L87" s="12">
        <f>VLOOKUP(A87,'Données projet'!$A$35:$I$55,9,0)</f>
        <v>5.5042735042735051</v>
      </c>
      <c r="M87" s="12">
        <f t="array" ref="M87">INDEX(L:L,MIN(IF(ISNUMBER(L87:L283),ROW(L87:L283),"")))</f>
        <v>5.5042735042735051</v>
      </c>
      <c r="N87" s="13">
        <f>IF('Données projet'!$A$36&gt;35,N86+M87-V86,IF(A87&lt;'Données projet'!$A$36,$K$205^A87,IF(A87='Données projet'!$A$36,'Données projet'!$B$36,N86+M87-V86)))</f>
        <v>200.00641025641016</v>
      </c>
      <c r="O87" s="13">
        <f>N87*VLOOKUP('Données projet'!$B$9,Paramètres!$A$1:$I$89,3,0)*VLOOKUP('Données projet'!$B$9,Paramètres!$A$1:$I$89,5,0)</f>
        <v>180.96579999999992</v>
      </c>
      <c r="P87" s="13">
        <f t="shared" si="87"/>
        <v>45.536991906907375</v>
      </c>
      <c r="Q87" s="20">
        <f t="shared" si="54"/>
        <v>394.49236257119691</v>
      </c>
      <c r="R87" s="59">
        <f t="shared" si="55"/>
        <v>687.82569590453022</v>
      </c>
      <c r="S87" s="59">
        <f ca="1">AVERAGE(OFFSET($R$3,0,0,'Données projet'!$E$9+1,1))-AVERAGE(OFFSET($H$3,0,0,'Données projet'!$E$9+1,1))</f>
        <v>153.45079678708987</v>
      </c>
      <c r="T87" s="59">
        <f t="shared" si="88"/>
        <v>115.4217868409637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35.083333333333329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202.80649999999991</v>
      </c>
      <c r="AK87" s="13">
        <f t="shared" si="89"/>
        <v>50.360450370083477</v>
      </c>
      <c r="AL87" s="20">
        <f t="shared" si="58"/>
        <v>440.93243856122854</v>
      </c>
      <c r="AM87" s="59">
        <f t="shared" si="59"/>
        <v>734.26577189456179</v>
      </c>
      <c r="AN87" s="59">
        <f ca="1">AVERAGE(OFFSET($AM$3,0,0,'Données projet'!$E$10+1,1))-AVERAGE(OFFSET($H$3,0,0,'Données projet'!$E$10+1,1))</f>
        <v>190.21499310415584</v>
      </c>
      <c r="AO87" s="59">
        <f t="shared" si="90"/>
        <v>136.15730566500173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10.8</v>
      </c>
      <c r="BD87" s="12">
        <f>IF('Données projet'!$A$88&gt;35,BD86+BC87-BL86,IF(A87&lt;'Données projet'!$A$88,$BA$205^A87,IF(A87='Données projet'!$A$88,'Données projet'!$B$88,BD86+BC87-BL86)))</f>
        <v>502.20000000000022</v>
      </c>
      <c r="BE87" s="13">
        <f>BD87*VLOOKUP('Données projet'!$B$11,Paramètres!$A$1:$I$89,3,0)*VLOOKUP('Données projet'!$B$11,Paramètres!$A$1:$I$89,5,0)</f>
        <v>300.31560000000013</v>
      </c>
      <c r="BF87" s="13">
        <f t="shared" si="91"/>
        <v>71.242621308749136</v>
      </c>
      <c r="BG87" s="20">
        <f t="shared" si="61"/>
        <v>647.13056877940483</v>
      </c>
      <c r="BH87" s="59">
        <f t="shared" si="62"/>
        <v>940.4639021127382</v>
      </c>
      <c r="BI87" s="59">
        <f ca="1">AVERAGE(OFFSET($BH$3,0,0,'Données projet'!$E$11+1,1))-AVERAGE(OFFSET($H$3,0,0,'Données projet'!$E$11+1,1))</f>
        <v>270.30888762640245</v>
      </c>
      <c r="BJ87" s="59">
        <f t="shared" si="92"/>
        <v>202.23783851977691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0.73510102033741187</v>
      </c>
      <c r="BQ87" s="21">
        <f>EXP(-LN(2)/25)*BQ86+(1-EXP(-LN(2)/25))/(LN(2)/25)*Calculateur!BL87*Calculateur!BN87*VLOOKUP('Données projet'!$B$11,Paramètres!$A$1:$I$89,3,0)*0.475*44/12</f>
        <v>2.7511298916084899</v>
      </c>
      <c r="BR87" s="21">
        <f>EXP(-LN(2)/2)*BR86+(1-EXP(-LN(2)/2))/(LN(2)/2)*BL87*BO87*VLOOKUP('Données projet'!$B$11,Paramètres!$A$1:$I$89,3,0)*0.475*44/12</f>
        <v>1.3778067072080511E-7</v>
      </c>
      <c r="BS87" s="22">
        <f t="shared" si="63"/>
        <v>3.4862310497265727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10.8</v>
      </c>
      <c r="BY87" s="12">
        <f>IF('Données projet'!$A$114&gt;35,BY86+BX87-CG86,IF(A87&lt;'Données projet'!$A$114,$BV$205^A87,IF(A87='Données projet'!$A$114,'Données projet'!$B$114,BY86+BX87-CG86)))</f>
        <v>502.20000000000022</v>
      </c>
      <c r="BZ87" s="13">
        <f>BY87*VLOOKUP('Données projet'!$B$12,Paramètres!$A$1:$I$89,3,0)*VLOOKUP('Données projet'!$B$12,Paramètres!$A$1:$I$89,5,0)</f>
        <v>300.31560000000013</v>
      </c>
      <c r="CA87" s="13">
        <f t="shared" si="93"/>
        <v>71.242621308749136</v>
      </c>
      <c r="CB87" s="20">
        <f t="shared" si="64"/>
        <v>647.13056877940483</v>
      </c>
      <c r="CC87" s="59">
        <f t="shared" si="65"/>
        <v>940.4639021127382</v>
      </c>
      <c r="CD87" s="59">
        <f ca="1">AVERAGE(OFFSET($CC$3,0,0,'Données projet'!$E$12+1,1))-AVERAGE(OFFSET($H$3,0,0,'Données projet'!$E$12+1,1))</f>
        <v>270.30888762640245</v>
      </c>
      <c r="CE87" s="59">
        <f t="shared" si="94"/>
        <v>202.23783851977691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0.73510102033741187</v>
      </c>
      <c r="CL87" s="21">
        <f>EXP(-LN(2)/25)*CL86+(1-EXP(-LN(2)/25))/(LN(2)/25)*Calculateur!CG87*Calculateur!CI87*VLOOKUP('Données projet'!$B$12,Paramètres!$A$1:$I$89,3,0)*0.475*44/12</f>
        <v>2.7511298916084899</v>
      </c>
      <c r="CM87" s="21">
        <f>EXP(-LN(2)/2)*CM86+(1-EXP(-LN(2)/2))/(LN(2)/2)*CG87*CJ87*VLOOKUP('Données projet'!$B$12,Paramètres!$A$1:$I$89,3,0)*0.475*44/12</f>
        <v>1.3778067072080511E-7</v>
      </c>
      <c r="CN87" s="22">
        <f t="shared" si="66"/>
        <v>3.4862310497265727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12.124038461538468</v>
      </c>
      <c r="CT87" s="12">
        <f>IF('Données projet'!$A$140&gt;35,CT86+CS87-DB86,IF(A87&lt;'Données projet'!$A$140,$CQ$205^A87,IF(A87='Données projet'!$A$140,'Données projet'!$B$140,CT86+CS87-DB86)))</f>
        <v>420.14326923076942</v>
      </c>
      <c r="CU87" s="17">
        <f>CT87*VLOOKUP('Données projet'!$B$13,Paramètres!$A$1:$I$89,3,0)*VLOOKUP('Données projet'!$B$13,Paramètres!$A$1:$I$89,5,0)</f>
        <v>196.62705000000008</v>
      </c>
      <c r="CV87" s="13">
        <f t="shared" si="95"/>
        <v>49.002163217129386</v>
      </c>
      <c r="CW87" s="20">
        <f t="shared" si="67"/>
        <v>427.80421301983375</v>
      </c>
      <c r="CX87" s="59">
        <f t="shared" si="68"/>
        <v>721.13754635316707</v>
      </c>
      <c r="CY87" s="59">
        <f ca="1">AVERAGE(OFFSET($CX$3,0,0,'Données projet'!$E$13+1,1))-AVERAGE(OFFSET($H$3,0,0,'Données projet'!$E$13+1,1))</f>
        <v>158.58786357608489</v>
      </c>
      <c r="CZ87" s="59">
        <f t="shared" si="96"/>
        <v>163.20074068819849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3.813056537183002E-14</v>
      </c>
      <c r="DQ87" s="13">
        <f t="shared" si="97"/>
        <v>6.4086286045526829E-13</v>
      </c>
      <c r="DR87" s="20">
        <f t="shared" si="70"/>
        <v>1.1825802166488628E-12</v>
      </c>
      <c r="DS87" s="59">
        <f t="shared" si="71"/>
        <v>293.33333333333451</v>
      </c>
      <c r="DT87" s="59">
        <f ca="1">AVERAGE(OFFSET($DS$3,0,0,'Données projet'!$E$14+1,1))-AVERAGE(OFFSET($H$3,0,0,'Données projet'!$E$14+1,1))</f>
        <v>156.63226020379989</v>
      </c>
      <c r="DU87" s="59">
        <f t="shared" si="98"/>
        <v>196.0481096619543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1.9399580146426358</v>
      </c>
      <c r="EC87" s="21">
        <f>EXP(-LN(2)/2)*EC86+(1-EXP(-LN(2)/2))/(LN(2)/2)*DW87*DZ87*VLOOKUP('Données projet'!$B$14,Paramètres!$A$1:$I$89,3,0)*0.475*44/12</f>
        <v>6.7602625505081144E-8</v>
      </c>
      <c r="ED87" s="22">
        <f t="shared" si="72"/>
        <v>1.9399580822452613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200.00641025641025</v>
      </c>
      <c r="EH87" s="12">
        <f>VLOOKUP(A87,'Données projet'!$A$191:$I$211,9,0)</f>
        <v>5.5042735042735051</v>
      </c>
      <c r="EI87" s="12">
        <f t="array" ref="EI87">INDEX(EH:EH,MIN(IF(ISNUMBER(EH87:EH283),ROW(EH87:EH283),"")))</f>
        <v>5.5042735042735051</v>
      </c>
      <c r="EJ87" s="12">
        <f>IF('Données projet'!$A$192&gt;35,EJ86+EI87-ER86,IF(A87&lt;'Données projet'!$A$192,$EG$205^A87,IF(A87='Données projet'!$A$192,'Données projet'!$B$192,EJ86+EI87-ER86)))</f>
        <v>200.00641025641016</v>
      </c>
      <c r="EK87" s="17">
        <f>EJ87*VLOOKUP('Données projet'!$B$15,Paramètres!$A$1:$I$89,3,0)*VLOOKUP('Données projet'!$B$15,Paramètres!$A$1:$I$89,5,0)</f>
        <v>215.28689999999986</v>
      </c>
      <c r="EL87" s="13">
        <f t="shared" si="99"/>
        <v>53.089229209666037</v>
      </c>
      <c r="EM87" s="20">
        <f t="shared" si="73"/>
        <v>467.42175837350146</v>
      </c>
      <c r="EN87" s="59">
        <f t="shared" si="74"/>
        <v>760.75509170683472</v>
      </c>
      <c r="EO87" s="59">
        <f ca="1">AVERAGE(OFFSET($EN$3,0,0,'Données projet'!$E$15+1,1))-AVERAGE(OFFSET($H$3,0,0,'Données projet'!$E$15+1,1))</f>
        <v>211.18501783767226</v>
      </c>
      <c r="EP87" s="59">
        <f t="shared" si="100"/>
        <v>147.98306963466246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35.083333333333329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12.2</v>
      </c>
      <c r="FE87" s="12">
        <f>IF('Données projet'!$A$218&gt;35,FE86+FD87-FM86,IF(A87&lt;'Données projet'!$A$218,$FB$205^A87,IF(A87='Données projet'!$A$218,'Données projet'!$B$218,FE86+FD87-FM86)))</f>
        <v>454.79999999999973</v>
      </c>
      <c r="FF87" s="17">
        <f>FE87*VLOOKUP('Données projet'!$B$16,Paramètres!$A$1:$I$89,3,0)*VLOOKUP('Données projet'!$B$16,Paramètres!$A$1:$I$89,5,0)</f>
        <v>271.97039999999987</v>
      </c>
      <c r="FG87" s="13">
        <f t="shared" si="101"/>
        <v>65.26726076885241</v>
      </c>
      <c r="FH87" s="20">
        <f t="shared" si="76"/>
        <v>587.35559250575102</v>
      </c>
      <c r="FI87" s="59">
        <f t="shared" si="77"/>
        <v>880.68892583908428</v>
      </c>
      <c r="FJ87" s="59">
        <f ca="1">AVERAGE(OFFSET($FI$3,0,0,'Données projet'!$E$16+1,1))-AVERAGE(OFFSET($H$3,0,0,'Données projet'!$E$16+1,1))</f>
        <v>232.26937455765062</v>
      </c>
      <c r="FK87" s="59">
        <f t="shared" si="102"/>
        <v>115.80853281120301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0.75960438768199245</v>
      </c>
      <c r="FR87" s="21">
        <f>EXP(-LN(2)/25)*FR86+(1-EXP(-LN(2)/25))/(LN(2)/25)*Calculateur!FM87*Calculateur!FO87*VLOOKUP('Données projet'!$B$16,Paramètres!$A$1:$I$89,3,0)*0.475*44/12</f>
        <v>0.9865647421452638</v>
      </c>
      <c r="FS87" s="21">
        <f>EXP(-LN(2)/2)*FS86+(1-EXP(-LN(2)/2))/(LN(2)/2)*FM87*FP87*VLOOKUP('Données projet'!$B$16,Paramètres!$A$1:$I$89,3,0)*0.475*44/12</f>
        <v>6.2553055082397557E-8</v>
      </c>
      <c r="FT87" s="22">
        <f t="shared" si="78"/>
        <v>1.7461691923803113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5.6843418860808015E-14</v>
      </c>
      <c r="GA87" s="17">
        <f>FZ87*VLOOKUP('Données projet'!$B$17,Paramètres!$A$1:$I$89,3,0)*VLOOKUP('Données projet'!$B$17,Paramètres!$A$1:$I$89,5,0)</f>
        <v>4.5224624045658861E-14</v>
      </c>
      <c r="GB87" s="13">
        <f t="shared" si="103"/>
        <v>7.4514601661523691E-13</v>
      </c>
      <c r="GC87" s="20">
        <f t="shared" si="79"/>
        <v>1.3765621991510601E-12</v>
      </c>
      <c r="GD87" s="59">
        <f t="shared" si="80"/>
        <v>293.33333333333468</v>
      </c>
      <c r="GE87" s="59">
        <f ca="1">AVERAGE(OFFSET($GD$3,0,0,'Données projet'!$E$17+1,1))-AVERAGE(OFFSET($H$3,0,0,'Données projet'!$E$17+1,1))</f>
        <v>199.58763537752952</v>
      </c>
      <c r="GF87" s="59">
        <f t="shared" si="104"/>
        <v>242.62852778451929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2.3008804359714969</v>
      </c>
      <c r="GN87" s="21">
        <f>EXP(-LN(2)/2)*GN86+(1-EXP(-LN(2)/2))/(LN(2)/2)*GH87*GK87*VLOOKUP('Données projet'!$B$17,Paramètres!$A$1:$I$89,3,0)*0.475*44/12</f>
        <v>8.0179858157189339E-8</v>
      </c>
      <c r="GO87" s="21">
        <f t="shared" si="81"/>
        <v>2.3008805161513552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5.2606837606837598</v>
      </c>
      <c r="N88" s="13">
        <f>IF('Données projet'!$A$36&gt;35,N87+M88-V87,IF(A88&lt;'Données projet'!$A$36,$K$205^A88,IF(A88='Données projet'!$A$36,'Données projet'!$B$36,N87+M88-V87)))</f>
        <v>170.18376068376057</v>
      </c>
      <c r="O88" s="13">
        <f>N88*VLOOKUP('Données projet'!$B$9,Paramètres!$A$1:$I$89,3,0)*VLOOKUP('Données projet'!$B$9,Paramètres!$A$1:$I$89,5,0)</f>
        <v>153.98226666666656</v>
      </c>
      <c r="P88" s="13">
        <f t="shared" si="87"/>
        <v>39.482185325458943</v>
      </c>
      <c r="Q88" s="20">
        <f t="shared" si="54"/>
        <v>336.95058721961857</v>
      </c>
      <c r="R88" s="59">
        <f t="shared" si="55"/>
        <v>630.28392055295194</v>
      </c>
      <c r="S88" s="59">
        <f ca="1">AVERAGE(OFFSET($R$3,0,0,'Données projet'!$E$9+1,1))-AVERAGE(OFFSET($H$3,0,0,'Données projet'!$E$9+1,1))</f>
        <v>153.45079678708987</v>
      </c>
      <c r="T88" s="59">
        <f t="shared" si="88"/>
        <v>115.4217868409637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172.56633333333323</v>
      </c>
      <c r="AK88" s="13">
        <f t="shared" si="89"/>
        <v>43.664294704622499</v>
      </c>
      <c r="AL88" s="20">
        <f t="shared" si="58"/>
        <v>376.60167716610619</v>
      </c>
      <c r="AM88" s="59">
        <f t="shared" si="59"/>
        <v>669.9350104994395</v>
      </c>
      <c r="AN88" s="59">
        <f ca="1">AVERAGE(OFFSET($AM$3,0,0,'Données projet'!$E$10+1,1))-AVERAGE(OFFSET($H$3,0,0,'Données projet'!$E$10+1,1))</f>
        <v>190.21499310415584</v>
      </c>
      <c r="AO88" s="59">
        <f t="shared" si="90"/>
        <v>136.15730566500173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10.8</v>
      </c>
      <c r="BD88" s="12">
        <f>IF('Données projet'!$A$88&gt;35,BD87+BC88-BL87,IF(A88&lt;'Données projet'!$A$88,$BA$205^A88,IF(A88='Données projet'!$A$88,'Données projet'!$B$88,BD87+BC88-BL87)))</f>
        <v>513.00000000000023</v>
      </c>
      <c r="BE88" s="13">
        <f>BD88*VLOOKUP('Données projet'!$B$11,Paramètres!$A$1:$I$89,3,0)*VLOOKUP('Données projet'!$B$11,Paramètres!$A$1:$I$89,5,0)</f>
        <v>306.77400000000017</v>
      </c>
      <c r="BF88" s="13">
        <f t="shared" si="91"/>
        <v>72.594703343999115</v>
      </c>
      <c r="BG88" s="20">
        <f t="shared" si="61"/>
        <v>660.73382499079878</v>
      </c>
      <c r="BH88" s="59">
        <f t="shared" si="62"/>
        <v>954.06715832413215</v>
      </c>
      <c r="BI88" s="59">
        <f ca="1">AVERAGE(OFFSET($BH$3,0,0,'Données projet'!$E$11+1,1))-AVERAGE(OFFSET($H$3,0,0,'Données projet'!$E$11+1,1))</f>
        <v>270.30888762640245</v>
      </c>
      <c r="BJ88" s="59">
        <f t="shared" si="92"/>
        <v>202.23783851977691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0.72068613769594503</v>
      </c>
      <c r="BQ88" s="21">
        <f>EXP(-LN(2)/25)*BQ87+(1-EXP(-LN(2)/25))/(LN(2)/25)*Calculateur!BL88*Calculateur!BN88*VLOOKUP('Données projet'!$B$11,Paramètres!$A$1:$I$89,3,0)*0.475*44/12</f>
        <v>2.6759001000468223</v>
      </c>
      <c r="BR88" s="21">
        <f>EXP(-LN(2)/2)*BR87+(1-EXP(-LN(2)/2))/(LN(2)/2)*BL88*BO88*VLOOKUP('Données projet'!$B$11,Paramètres!$A$1:$I$89,3,0)*0.475*44/12</f>
        <v>9.7425646583112094E-8</v>
      </c>
      <c r="BS88" s="22">
        <f t="shared" si="63"/>
        <v>3.396586335168414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10.8</v>
      </c>
      <c r="BY88" s="12">
        <f>IF('Données projet'!$A$114&gt;35,BY87+BX88-CG87,IF(A88&lt;'Données projet'!$A$114,$BV$205^A88,IF(A88='Données projet'!$A$114,'Données projet'!$B$114,BY87+BX88-CG87)))</f>
        <v>513.00000000000023</v>
      </c>
      <c r="BZ88" s="13">
        <f>BY88*VLOOKUP('Données projet'!$B$12,Paramètres!$A$1:$I$89,3,0)*VLOOKUP('Données projet'!$B$12,Paramètres!$A$1:$I$89,5,0)</f>
        <v>306.77400000000017</v>
      </c>
      <c r="CA88" s="13">
        <f t="shared" si="93"/>
        <v>72.594703343999115</v>
      </c>
      <c r="CB88" s="20">
        <f t="shared" si="64"/>
        <v>660.73382499079878</v>
      </c>
      <c r="CC88" s="59">
        <f t="shared" si="65"/>
        <v>954.06715832413215</v>
      </c>
      <c r="CD88" s="59">
        <f ca="1">AVERAGE(OFFSET($CC$3,0,0,'Données projet'!$E$12+1,1))-AVERAGE(OFFSET($H$3,0,0,'Données projet'!$E$12+1,1))</f>
        <v>270.30888762640245</v>
      </c>
      <c r="CE88" s="59">
        <f t="shared" si="94"/>
        <v>202.23783851977691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0.72068613769594503</v>
      </c>
      <c r="CL88" s="21">
        <f>EXP(-LN(2)/25)*CL87+(1-EXP(-LN(2)/25))/(LN(2)/25)*Calculateur!CG88*Calculateur!CI88*VLOOKUP('Données projet'!$B$12,Paramètres!$A$1:$I$89,3,0)*0.475*44/12</f>
        <v>2.6759001000468223</v>
      </c>
      <c r="CM88" s="21">
        <f>EXP(-LN(2)/2)*CM87+(1-EXP(-LN(2)/2))/(LN(2)/2)*CG88*CJ88*VLOOKUP('Données projet'!$B$12,Paramètres!$A$1:$I$89,3,0)*0.475*44/12</f>
        <v>9.7425646583112094E-8</v>
      </c>
      <c r="CN88" s="22">
        <f t="shared" si="66"/>
        <v>3.396586335168414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12.124038461538468</v>
      </c>
      <c r="CT88" s="12">
        <f>IF('Données projet'!$A$140&gt;35,CT87+CS88-DB87,IF(A88&lt;'Données projet'!$A$140,$CQ$205^A88,IF(A88='Données projet'!$A$140,'Données projet'!$B$140,CT87+CS88-DB87)))</f>
        <v>432.2673076923079</v>
      </c>
      <c r="CU88" s="17">
        <f>CT88*VLOOKUP('Données projet'!$B$13,Paramètres!$A$1:$I$89,3,0)*VLOOKUP('Données projet'!$B$13,Paramètres!$A$1:$I$89,5,0)</f>
        <v>202.3011000000001</v>
      </c>
      <c r="CV88" s="13">
        <f t="shared" si="95"/>
        <v>50.249542664134772</v>
      </c>
      <c r="CW88" s="20">
        <f t="shared" si="67"/>
        <v>439.85903597336824</v>
      </c>
      <c r="CX88" s="59">
        <f t="shared" si="68"/>
        <v>733.19236930670149</v>
      </c>
      <c r="CY88" s="59">
        <f ca="1">AVERAGE(OFFSET($CX$3,0,0,'Données projet'!$E$13+1,1))-AVERAGE(OFFSET($H$3,0,0,'Données projet'!$E$13+1,1))</f>
        <v>158.58786357608489</v>
      </c>
      <c r="CZ88" s="59">
        <f t="shared" si="96"/>
        <v>163.20074068819849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3.813056537183002E-14</v>
      </c>
      <c r="DQ88" s="13">
        <f t="shared" si="97"/>
        <v>6.4086286045526829E-13</v>
      </c>
      <c r="DR88" s="20">
        <f t="shared" si="70"/>
        <v>1.1825802166488628E-12</v>
      </c>
      <c r="DS88" s="59">
        <f t="shared" si="71"/>
        <v>293.33333333333451</v>
      </c>
      <c r="DT88" s="59">
        <f ca="1">AVERAGE(OFFSET($DS$3,0,0,'Données projet'!$E$14+1,1))-AVERAGE(OFFSET($H$3,0,0,'Données projet'!$E$14+1,1))</f>
        <v>156.63226020379989</v>
      </c>
      <c r="DU88" s="59">
        <f t="shared" si="98"/>
        <v>196.0481096619543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1.8869097607142749</v>
      </c>
      <c r="EC88" s="21">
        <f>EXP(-LN(2)/2)*EC87+(1-EXP(-LN(2)/2))/(LN(2)/2)*DW88*DZ88*VLOOKUP('Données projet'!$B$14,Paramètres!$A$1:$I$89,3,0)*0.475*44/12</f>
        <v>4.7802274920657529E-8</v>
      </c>
      <c r="ED88" s="22">
        <f t="shared" si="72"/>
        <v>1.8869098085165499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5.2606837606837598</v>
      </c>
      <c r="EJ88" s="12">
        <f>IF('Données projet'!$A$192&gt;35,EJ87+EI88-ER87,IF(A88&lt;'Données projet'!$A$192,$EG$205^A88,IF(A88='Données projet'!$A$192,'Données projet'!$B$192,EJ87+EI88-ER87)))</f>
        <v>170.18376068376057</v>
      </c>
      <c r="EK88" s="17">
        <f>EJ88*VLOOKUP('Données projet'!$B$15,Paramètres!$A$1:$I$89,3,0)*VLOOKUP('Données projet'!$B$15,Paramètres!$A$1:$I$89,5,0)</f>
        <v>183.18579999999986</v>
      </c>
      <c r="EL88" s="13">
        <f t="shared" si="99"/>
        <v>46.030242637170218</v>
      </c>
      <c r="EM88" s="20">
        <f t="shared" si="73"/>
        <v>399.21794092640448</v>
      </c>
      <c r="EN88" s="59">
        <f t="shared" si="74"/>
        <v>692.55127425973774</v>
      </c>
      <c r="EO88" s="59">
        <f ca="1">AVERAGE(OFFSET($EN$3,0,0,'Données projet'!$E$15+1,1))-AVERAGE(OFFSET($H$3,0,0,'Données projet'!$E$15+1,1))</f>
        <v>211.18501783767226</v>
      </c>
      <c r="EP88" s="59">
        <f t="shared" si="100"/>
        <v>147.98306963466246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12.2</v>
      </c>
      <c r="FE88" s="12">
        <f>IF('Données projet'!$A$218&gt;35,FE87+FD88-FM87,IF(A88&lt;'Données projet'!$A$218,$FB$205^A88,IF(A88='Données projet'!$A$218,'Données projet'!$B$218,FE87+FD88-FM87)))</f>
        <v>466.99999999999972</v>
      </c>
      <c r="FF88" s="17">
        <f>FE88*VLOOKUP('Données projet'!$B$16,Paramètres!$A$1:$I$89,3,0)*VLOOKUP('Données projet'!$B$16,Paramètres!$A$1:$I$89,5,0)</f>
        <v>279.26599999999985</v>
      </c>
      <c r="FG88" s="13">
        <f t="shared" si="101"/>
        <v>66.811869892488886</v>
      </c>
      <c r="FH88" s="20">
        <f t="shared" si="76"/>
        <v>602.75229006275117</v>
      </c>
      <c r="FI88" s="59">
        <f t="shared" si="77"/>
        <v>896.08562339608443</v>
      </c>
      <c r="FJ88" s="59">
        <f ca="1">AVERAGE(OFFSET($FI$3,0,0,'Données projet'!$E$16+1,1))-AVERAGE(OFFSET($H$3,0,0,'Données projet'!$E$16+1,1))</f>
        <v>232.26937455765062</v>
      </c>
      <c r="FK88" s="59">
        <f t="shared" si="102"/>
        <v>115.80853281120301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0.74470900895247671</v>
      </c>
      <c r="FR88" s="21">
        <f>EXP(-LN(2)/25)*FR87+(1-EXP(-LN(2)/25))/(LN(2)/25)*Calculateur!FM88*Calculateur!FO88*VLOOKUP('Données projet'!$B$16,Paramètres!$A$1:$I$89,3,0)*0.475*44/12</f>
        <v>0.95958707739011662</v>
      </c>
      <c r="FS88" s="21">
        <f>EXP(-LN(2)/2)*FS87+(1-EXP(-LN(2)/2))/(LN(2)/2)*FM88*FP88*VLOOKUP('Données projet'!$B$16,Paramètres!$A$1:$I$89,3,0)*0.475*44/12</f>
        <v>4.4231689432698945E-8</v>
      </c>
      <c r="FT88" s="22">
        <f t="shared" si="78"/>
        <v>1.7042961305742828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5.6843418860808015E-14</v>
      </c>
      <c r="GA88" s="17">
        <f>FZ88*VLOOKUP('Données projet'!$B$17,Paramètres!$A$1:$I$89,3,0)*VLOOKUP('Données projet'!$B$17,Paramètres!$A$1:$I$89,5,0)</f>
        <v>4.5224624045658861E-14</v>
      </c>
      <c r="GB88" s="13">
        <f t="shared" si="103"/>
        <v>7.4514601661523691E-13</v>
      </c>
      <c r="GC88" s="20">
        <f t="shared" si="79"/>
        <v>1.3765621991510601E-12</v>
      </c>
      <c r="GD88" s="59">
        <f t="shared" si="80"/>
        <v>293.33333333333468</v>
      </c>
      <c r="GE88" s="59">
        <f ca="1">AVERAGE(OFFSET($GD$3,0,0,'Données projet'!$E$17+1,1))-AVERAGE(OFFSET($H$3,0,0,'Données projet'!$E$17+1,1))</f>
        <v>199.58763537752952</v>
      </c>
      <c r="GF88" s="59">
        <f t="shared" si="104"/>
        <v>242.62852778451929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2.2379627394518131</v>
      </c>
      <c r="GN88" s="21">
        <f>EXP(-LN(2)/2)*GN87+(1-EXP(-LN(2)/2))/(LN(2)/2)*GH88*GK88*VLOOKUP('Données projet'!$B$17,Paramètres!$A$1:$I$89,3,0)*0.475*44/12</f>
        <v>5.66957214175241E-8</v>
      </c>
      <c r="GO88" s="21">
        <f t="shared" si="81"/>
        <v>2.2379627961475346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5.2606837606837598</v>
      </c>
      <c r="N89" s="13">
        <f>IF('Données projet'!$A$36&gt;35,N88+M89-V88,IF(A89&lt;'Données projet'!$A$36,$K$205^A89,IF(A89='Données projet'!$A$36,'Données projet'!$B$36,N88+M89-V88)))</f>
        <v>175.44444444444431</v>
      </c>
      <c r="O89" s="13">
        <f>N89*VLOOKUP('Données projet'!$B$9,Paramètres!$A$1:$I$89,3,0)*VLOOKUP('Données projet'!$B$9,Paramètres!$A$1:$I$89,5,0)</f>
        <v>158.74213333333321</v>
      </c>
      <c r="P89" s="13">
        <f t="shared" si="87"/>
        <v>40.558669873865824</v>
      </c>
      <c r="Q89" s="20">
        <f t="shared" si="54"/>
        <v>347.11556558587159</v>
      </c>
      <c r="R89" s="59">
        <f t="shared" si="55"/>
        <v>640.44889891920491</v>
      </c>
      <c r="S89" s="59">
        <f ca="1">AVERAGE(OFFSET($R$3,0,0,'Données projet'!$E$9+1,1))-AVERAGE(OFFSET($H$3,0,0,'Données projet'!$E$9+1,1))</f>
        <v>153.45079678708987</v>
      </c>
      <c r="T89" s="59">
        <f t="shared" si="88"/>
        <v>115.4217868409637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177.90066666666655</v>
      </c>
      <c r="AK89" s="13">
        <f t="shared" si="89"/>
        <v>44.854804758185892</v>
      </c>
      <c r="AL89" s="20">
        <f t="shared" si="58"/>
        <v>387.96577939828467</v>
      </c>
      <c r="AM89" s="59">
        <f t="shared" si="59"/>
        <v>681.29911273161792</v>
      </c>
      <c r="AN89" s="59">
        <f ca="1">AVERAGE(OFFSET($AM$3,0,0,'Données projet'!$E$10+1,1))-AVERAGE(OFFSET($H$3,0,0,'Données projet'!$E$10+1,1))</f>
        <v>190.21499310415584</v>
      </c>
      <c r="AO89" s="59">
        <f t="shared" si="90"/>
        <v>136.15730566500173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10.8</v>
      </c>
      <c r="BD89" s="12">
        <f>IF('Données projet'!$A$88&gt;35,BD88+BC89-BL88,IF(A89&lt;'Données projet'!$A$88,$BA$205^A89,IF(A89='Données projet'!$A$88,'Données projet'!$B$88,BD88+BC89-BL88)))</f>
        <v>523.80000000000018</v>
      </c>
      <c r="BE89" s="13">
        <f>BD89*VLOOKUP('Données projet'!$B$11,Paramètres!$A$1:$I$89,3,0)*VLOOKUP('Données projet'!$B$11,Paramètres!$A$1:$I$89,5,0)</f>
        <v>313.23240000000015</v>
      </c>
      <c r="BF89" s="13">
        <f t="shared" si="91"/>
        <v>73.94347586459719</v>
      </c>
      <c r="BG89" s="20">
        <f t="shared" si="61"/>
        <v>674.33131713084038</v>
      </c>
      <c r="BH89" s="59">
        <f t="shared" si="62"/>
        <v>967.66465046417375</v>
      </c>
      <c r="BI89" s="59">
        <f ca="1">AVERAGE(OFFSET($BH$3,0,0,'Données projet'!$E$11+1,1))-AVERAGE(OFFSET($H$3,0,0,'Données projet'!$E$11+1,1))</f>
        <v>270.30888762640245</v>
      </c>
      <c r="BJ89" s="59">
        <f t="shared" si="92"/>
        <v>202.23783851977691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0.70655392211086709</v>
      </c>
      <c r="BQ89" s="21">
        <f>EXP(-LN(2)/25)*BQ88+(1-EXP(-LN(2)/25))/(LN(2)/25)*Calculateur!BL89*Calculateur!BN89*VLOOKUP('Données projet'!$B$11,Paramètres!$A$1:$I$89,3,0)*0.475*44/12</f>
        <v>2.6027274710915718</v>
      </c>
      <c r="BR89" s="21">
        <f>EXP(-LN(2)/2)*BR88+(1-EXP(-LN(2)/2))/(LN(2)/2)*BL89*BO89*VLOOKUP('Données projet'!$B$11,Paramètres!$A$1:$I$89,3,0)*0.475*44/12</f>
        <v>6.8890335360402554E-8</v>
      </c>
      <c r="BS89" s="22">
        <f t="shared" si="63"/>
        <v>3.3092814620927742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10.8</v>
      </c>
      <c r="BY89" s="12">
        <f>IF('Données projet'!$A$114&gt;35,BY88+BX89-CG88,IF(A89&lt;'Données projet'!$A$114,$BV$205^A89,IF(A89='Données projet'!$A$114,'Données projet'!$B$114,BY88+BX89-CG88)))</f>
        <v>523.80000000000018</v>
      </c>
      <c r="BZ89" s="13">
        <f>BY89*VLOOKUP('Données projet'!$B$12,Paramètres!$A$1:$I$89,3,0)*VLOOKUP('Données projet'!$B$12,Paramètres!$A$1:$I$89,5,0)</f>
        <v>313.23240000000015</v>
      </c>
      <c r="CA89" s="13">
        <f t="shared" si="93"/>
        <v>73.94347586459719</v>
      </c>
      <c r="CB89" s="20">
        <f t="shared" si="64"/>
        <v>674.33131713084038</v>
      </c>
      <c r="CC89" s="59">
        <f t="shared" si="65"/>
        <v>967.66465046417375</v>
      </c>
      <c r="CD89" s="59">
        <f ca="1">AVERAGE(OFFSET($CC$3,0,0,'Données projet'!$E$12+1,1))-AVERAGE(OFFSET($H$3,0,0,'Données projet'!$E$12+1,1))</f>
        <v>270.30888762640245</v>
      </c>
      <c r="CE89" s="59">
        <f t="shared" si="94"/>
        <v>202.23783851977691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0.70655392211086709</v>
      </c>
      <c r="CL89" s="21">
        <f>EXP(-LN(2)/25)*CL88+(1-EXP(-LN(2)/25))/(LN(2)/25)*Calculateur!CG89*Calculateur!CI89*VLOOKUP('Données projet'!$B$12,Paramètres!$A$1:$I$89,3,0)*0.475*44/12</f>
        <v>2.6027274710915718</v>
      </c>
      <c r="CM89" s="21">
        <f>EXP(-LN(2)/2)*CM88+(1-EXP(-LN(2)/2))/(LN(2)/2)*CG89*CJ89*VLOOKUP('Données projet'!$B$12,Paramètres!$A$1:$I$89,3,0)*0.475*44/12</f>
        <v>6.8890335360402554E-8</v>
      </c>
      <c r="CN89" s="22">
        <f t="shared" si="66"/>
        <v>3.3092814620927742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12.124038461538468</v>
      </c>
      <c r="CT89" s="12">
        <f>IF('Données projet'!$A$140&gt;35,CT88+CS89-DB88,IF(A89&lt;'Données projet'!$A$140,$CQ$205^A89,IF(A89='Données projet'!$A$140,'Données projet'!$B$140,CT88+CS89-DB88)))</f>
        <v>444.39134615384637</v>
      </c>
      <c r="CU89" s="17">
        <f>CT89*VLOOKUP('Données projet'!$B$13,Paramètres!$A$1:$I$89,3,0)*VLOOKUP('Données projet'!$B$13,Paramètres!$A$1:$I$89,5,0)</f>
        <v>207.9751500000001</v>
      </c>
      <c r="CV89" s="13">
        <f t="shared" si="95"/>
        <v>51.492855825196166</v>
      </c>
      <c r="CW89" s="20">
        <f t="shared" si="67"/>
        <v>451.90677681221678</v>
      </c>
      <c r="CX89" s="59">
        <f t="shared" si="68"/>
        <v>745.24011014555003</v>
      </c>
      <c r="CY89" s="59">
        <f ca="1">AVERAGE(OFFSET($CX$3,0,0,'Données projet'!$E$13+1,1))-AVERAGE(OFFSET($H$3,0,0,'Données projet'!$E$13+1,1))</f>
        <v>158.58786357608489</v>
      </c>
      <c r="CZ89" s="59">
        <f t="shared" si="96"/>
        <v>163.20074068819849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3.813056537183002E-14</v>
      </c>
      <c r="DQ89" s="13">
        <f t="shared" si="97"/>
        <v>6.4086286045526829E-13</v>
      </c>
      <c r="DR89" s="20">
        <f t="shared" si="70"/>
        <v>1.1825802166488628E-12</v>
      </c>
      <c r="DS89" s="59">
        <f t="shared" si="71"/>
        <v>293.33333333333451</v>
      </c>
      <c r="DT89" s="59">
        <f ca="1">AVERAGE(OFFSET($DS$3,0,0,'Données projet'!$E$14+1,1))-AVERAGE(OFFSET($H$3,0,0,'Données projet'!$E$14+1,1))</f>
        <v>156.63226020379989</v>
      </c>
      <c r="DU89" s="59">
        <f t="shared" si="98"/>
        <v>196.0481096619543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1.8353121140792712</v>
      </c>
      <c r="EC89" s="21">
        <f>EXP(-LN(2)/2)*EC88+(1-EXP(-LN(2)/2))/(LN(2)/2)*DW89*DZ89*VLOOKUP('Données projet'!$B$14,Paramètres!$A$1:$I$89,3,0)*0.475*44/12</f>
        <v>3.3801312752540572E-8</v>
      </c>
      <c r="ED89" s="22">
        <f t="shared" si="72"/>
        <v>1.8353121478805841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5.2606837606837598</v>
      </c>
      <c r="EJ89" s="12">
        <f>IF('Données projet'!$A$192&gt;35,EJ88+EI89-ER88,IF(A89&lt;'Données projet'!$A$192,$EG$205^A89,IF(A89='Données projet'!$A$192,'Données projet'!$B$192,EJ88+EI89-ER88)))</f>
        <v>175.44444444444431</v>
      </c>
      <c r="EK89" s="17">
        <f>EJ89*VLOOKUP('Données projet'!$B$15,Paramètres!$A$1:$I$89,3,0)*VLOOKUP('Données projet'!$B$15,Paramètres!$A$1:$I$89,5,0)</f>
        <v>188.84839999999986</v>
      </c>
      <c r="EL89" s="13">
        <f t="shared" si="99"/>
        <v>47.285260426836061</v>
      </c>
      <c r="EM89" s="20">
        <f t="shared" si="73"/>
        <v>411.2661252434059</v>
      </c>
      <c r="EN89" s="59">
        <f t="shared" si="74"/>
        <v>704.59945857673915</v>
      </c>
      <c r="EO89" s="59">
        <f ca="1">AVERAGE(OFFSET($EN$3,0,0,'Données projet'!$E$15+1,1))-AVERAGE(OFFSET($H$3,0,0,'Données projet'!$E$15+1,1))</f>
        <v>211.18501783767226</v>
      </c>
      <c r="EP89" s="59">
        <f t="shared" si="100"/>
        <v>147.98306963466246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12.2</v>
      </c>
      <c r="FE89" s="12">
        <f>IF('Données projet'!$A$218&gt;35,FE88+FD89-FM88,IF(A89&lt;'Données projet'!$A$218,$FB$205^A89,IF(A89='Données projet'!$A$218,'Données projet'!$B$218,FE88+FD89-FM88)))</f>
        <v>479.1999999999997</v>
      </c>
      <c r="FF89" s="17">
        <f>FE89*VLOOKUP('Données projet'!$B$16,Paramètres!$A$1:$I$89,3,0)*VLOOKUP('Données projet'!$B$16,Paramètres!$A$1:$I$89,5,0)</f>
        <v>286.56159999999983</v>
      </c>
      <c r="FG89" s="13">
        <f t="shared" si="101"/>
        <v>68.351788651709171</v>
      </c>
      <c r="FH89" s="20">
        <f t="shared" si="76"/>
        <v>618.14081856839312</v>
      </c>
      <c r="FI89" s="59">
        <f t="shared" si="77"/>
        <v>911.47415190172637</v>
      </c>
      <c r="FJ89" s="59">
        <f ca="1">AVERAGE(OFFSET($FI$3,0,0,'Données projet'!$E$16+1,1))-AVERAGE(OFFSET($H$3,0,0,'Données projet'!$E$16+1,1))</f>
        <v>232.26937455765062</v>
      </c>
      <c r="FK89" s="59">
        <f t="shared" si="102"/>
        <v>115.80853281120301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0.73010571951456282</v>
      </c>
      <c r="FR89" s="21">
        <f>EXP(-LN(2)/25)*FR88+(1-EXP(-LN(2)/25))/(LN(2)/25)*Calculateur!FM89*Calculateur!FO89*VLOOKUP('Données projet'!$B$16,Paramètres!$A$1:$I$89,3,0)*0.475*44/12</f>
        <v>0.93334711829639261</v>
      </c>
      <c r="FS89" s="21">
        <f>EXP(-LN(2)/2)*FS88+(1-EXP(-LN(2)/2))/(LN(2)/2)*FM89*FP89*VLOOKUP('Données projet'!$B$16,Paramètres!$A$1:$I$89,3,0)*0.475*44/12</f>
        <v>3.1276527541198779E-8</v>
      </c>
      <c r="FT89" s="22">
        <f t="shared" si="78"/>
        <v>1.663452869087483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5.6843418860808015E-14</v>
      </c>
      <c r="GA89" s="17">
        <f>FZ89*VLOOKUP('Données projet'!$B$17,Paramètres!$A$1:$I$89,3,0)*VLOOKUP('Données projet'!$B$17,Paramètres!$A$1:$I$89,5,0)</f>
        <v>4.5224624045658861E-14</v>
      </c>
      <c r="GB89" s="13">
        <f t="shared" si="103"/>
        <v>7.4514601661523691E-13</v>
      </c>
      <c r="GC89" s="20">
        <f t="shared" si="79"/>
        <v>1.3765621991510601E-12</v>
      </c>
      <c r="GD89" s="59">
        <f t="shared" si="80"/>
        <v>293.33333333333468</v>
      </c>
      <c r="GE89" s="59">
        <f ca="1">AVERAGE(OFFSET($GD$3,0,0,'Données projet'!$E$17+1,1))-AVERAGE(OFFSET($H$3,0,0,'Données projet'!$E$17+1,1))</f>
        <v>199.58763537752952</v>
      </c>
      <c r="GF89" s="59">
        <f t="shared" si="104"/>
        <v>242.62852778451929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2.1767655306521578</v>
      </c>
      <c r="GN89" s="21">
        <f>EXP(-LN(2)/2)*GN88+(1-EXP(-LN(2)/2))/(LN(2)/2)*GH89*GK89*VLOOKUP('Données projet'!$B$17,Paramètres!$A$1:$I$89,3,0)*0.475*44/12</f>
        <v>4.0089929078594669E-8</v>
      </c>
      <c r="GO89" s="21">
        <f t="shared" si="81"/>
        <v>2.176765570742087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5.2606837606837598</v>
      </c>
      <c r="N90" s="13">
        <f>IF('Données projet'!$A$36&gt;35,N89+M90-V89,IF(A90&lt;'Données projet'!$A$36,$K$205^A90,IF(A90='Données projet'!$A$36,'Données projet'!$B$36,N89+M90-V89)))</f>
        <v>180.70512820512806</v>
      </c>
      <c r="O90" s="13">
        <f>N90*VLOOKUP('Données projet'!$B$9,Paramètres!$A$1:$I$89,3,0)*VLOOKUP('Données projet'!$B$9,Paramètres!$A$1:$I$89,5,0)</f>
        <v>163.50199999999987</v>
      </c>
      <c r="P90" s="13">
        <f t="shared" si="87"/>
        <v>41.631403185766587</v>
      </c>
      <c r="Q90" s="20">
        <f t="shared" si="54"/>
        <v>357.27401054854323</v>
      </c>
      <c r="R90" s="59">
        <f t="shared" si="55"/>
        <v>650.60734388187655</v>
      </c>
      <c r="S90" s="59">
        <f ca="1">AVERAGE(OFFSET($R$3,0,0,'Données projet'!$E$9+1,1))-AVERAGE(OFFSET($H$3,0,0,'Données projet'!$E$9+1,1))</f>
        <v>153.45079678708987</v>
      </c>
      <c r="T90" s="59">
        <f t="shared" si="88"/>
        <v>115.4217868409637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183.23499999999987</v>
      </c>
      <c r="AK90" s="13">
        <f t="shared" si="89"/>
        <v>46.041166229421272</v>
      </c>
      <c r="AL90" s="20">
        <f t="shared" si="58"/>
        <v>399.32265618290847</v>
      </c>
      <c r="AM90" s="59">
        <f t="shared" si="59"/>
        <v>692.65598951624179</v>
      </c>
      <c r="AN90" s="59">
        <f ca="1">AVERAGE(OFFSET($AM$3,0,0,'Données projet'!$E$10+1,1))-AVERAGE(OFFSET($H$3,0,0,'Données projet'!$E$10+1,1))</f>
        <v>190.21499310415584</v>
      </c>
      <c r="AO90" s="59">
        <f t="shared" si="90"/>
        <v>136.15730566500173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10.8</v>
      </c>
      <c r="BD90" s="12">
        <f>IF('Données projet'!$A$88&gt;35,BD89+BC90-BL89,IF(A90&lt;'Données projet'!$A$88,$BA$205^A90,IF(A90='Données projet'!$A$88,'Données projet'!$B$88,BD89+BC90-BL89)))</f>
        <v>534.60000000000014</v>
      </c>
      <c r="BE90" s="13">
        <f>BD90*VLOOKUP('Données projet'!$B$11,Paramètres!$A$1:$I$89,3,0)*VLOOKUP('Données projet'!$B$11,Paramètres!$A$1:$I$89,5,0)</f>
        <v>319.69080000000014</v>
      </c>
      <c r="BF90" s="13">
        <f t="shared" si="91"/>
        <v>75.289014970336254</v>
      </c>
      <c r="BG90" s="20">
        <f t="shared" si="61"/>
        <v>687.92317774000242</v>
      </c>
      <c r="BH90" s="59">
        <f t="shared" si="62"/>
        <v>981.25651107333579</v>
      </c>
      <c r="BI90" s="59">
        <f ca="1">AVERAGE(OFFSET($BH$3,0,0,'Données projet'!$E$11+1,1))-AVERAGE(OFFSET($H$3,0,0,'Données projet'!$E$11+1,1))</f>
        <v>270.30888762640245</v>
      </c>
      <c r="BJ90" s="59">
        <f t="shared" si="92"/>
        <v>202.23783851977691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0.69269883065361215</v>
      </c>
      <c r="BQ90" s="21">
        <f>EXP(-LN(2)/25)*BQ89+(1-EXP(-LN(2)/25))/(LN(2)/25)*Calculateur!BL90*Calculateur!BN90*VLOOKUP('Données projet'!$B$11,Paramètres!$A$1:$I$89,3,0)*0.475*44/12</f>
        <v>2.5315557515230838</v>
      </c>
      <c r="BR90" s="21">
        <f>EXP(-LN(2)/2)*BR89+(1-EXP(-LN(2)/2))/(LN(2)/2)*BL90*BO90*VLOOKUP('Données projet'!$B$11,Paramètres!$A$1:$I$89,3,0)*0.475*44/12</f>
        <v>4.8712823291556047E-8</v>
      </c>
      <c r="BS90" s="22">
        <f t="shared" si="63"/>
        <v>3.224254630889519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10.8</v>
      </c>
      <c r="BY90" s="12">
        <f>IF('Données projet'!$A$114&gt;35,BY89+BX90-CG89,IF(A90&lt;'Données projet'!$A$114,$BV$205^A90,IF(A90='Données projet'!$A$114,'Données projet'!$B$114,BY89+BX90-CG89)))</f>
        <v>534.60000000000014</v>
      </c>
      <c r="BZ90" s="13">
        <f>BY90*VLOOKUP('Données projet'!$B$12,Paramètres!$A$1:$I$89,3,0)*VLOOKUP('Données projet'!$B$12,Paramètres!$A$1:$I$89,5,0)</f>
        <v>319.69080000000014</v>
      </c>
      <c r="CA90" s="13">
        <f t="shared" si="93"/>
        <v>75.289014970336254</v>
      </c>
      <c r="CB90" s="20">
        <f t="shared" si="64"/>
        <v>687.92317774000242</v>
      </c>
      <c r="CC90" s="59">
        <f t="shared" si="65"/>
        <v>981.25651107333579</v>
      </c>
      <c r="CD90" s="59">
        <f ca="1">AVERAGE(OFFSET($CC$3,0,0,'Données projet'!$E$12+1,1))-AVERAGE(OFFSET($H$3,0,0,'Données projet'!$E$12+1,1))</f>
        <v>270.30888762640245</v>
      </c>
      <c r="CE90" s="59">
        <f t="shared" si="94"/>
        <v>202.23783851977691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0.69269883065361215</v>
      </c>
      <c r="CL90" s="21">
        <f>EXP(-LN(2)/25)*CL89+(1-EXP(-LN(2)/25))/(LN(2)/25)*Calculateur!CG90*Calculateur!CI90*VLOOKUP('Données projet'!$B$12,Paramètres!$A$1:$I$89,3,0)*0.475*44/12</f>
        <v>2.5315557515230838</v>
      </c>
      <c r="CM90" s="21">
        <f>EXP(-LN(2)/2)*CM89+(1-EXP(-LN(2)/2))/(LN(2)/2)*CG90*CJ90*VLOOKUP('Données projet'!$B$12,Paramètres!$A$1:$I$89,3,0)*0.475*44/12</f>
        <v>4.8712823291556047E-8</v>
      </c>
      <c r="CN90" s="22">
        <f t="shared" si="66"/>
        <v>3.224254630889519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>
        <f>VLOOKUP(A90,'Données projet'!$A$139:$I$159,2,0)</f>
        <v>456.51538461538462</v>
      </c>
      <c r="CR90" s="12">
        <f>VLOOKUP(A90,'Données projet'!$A$139:$I$159,9,0)</f>
        <v>12.124038461538468</v>
      </c>
      <c r="CS90" s="12">
        <f t="array" ref="CS90">INDEX(CR:CR,MIN(IF(ISNUMBER(CR90:CR286),ROW(CR90:CR286),"")))</f>
        <v>12.124038461538468</v>
      </c>
      <c r="CT90" s="12">
        <f>IF('Données projet'!$A$140&gt;35,CT89+CS90-DB89,IF(A90&lt;'Données projet'!$A$140,$CQ$205^A90,IF(A90='Données projet'!$A$140,'Données projet'!$B$140,CT89+CS90-DB89)))</f>
        <v>456.51538461538485</v>
      </c>
      <c r="CU90" s="17">
        <f>CT90*VLOOKUP('Données projet'!$B$13,Paramètres!$A$1:$I$89,3,0)*VLOOKUP('Données projet'!$B$13,Paramètres!$A$1:$I$89,5,0)</f>
        <v>213.64920000000012</v>
      </c>
      <c r="CV90" s="13">
        <f t="shared" si="95"/>
        <v>52.732226385923781</v>
      </c>
      <c r="CW90" s="20">
        <f t="shared" si="67"/>
        <v>463.94765095548405</v>
      </c>
      <c r="CX90" s="59">
        <f t="shared" si="68"/>
        <v>757.28098428881731</v>
      </c>
      <c r="CY90" s="59">
        <f ca="1">AVERAGE(OFFSET($CX$3,0,0,'Données projet'!$E$13+1,1))-AVERAGE(OFFSET($H$3,0,0,'Données projet'!$E$13+1,1))</f>
        <v>158.58786357608489</v>
      </c>
      <c r="CZ90" s="59">
        <f t="shared" si="96"/>
        <v>163.20074068819849</v>
      </c>
      <c r="DA90" s="15">
        <f>IF(ISNA(VLOOKUP(A90,'Données projet'!$A$139:$I$159,3,0)),0,VLOOKUP(A90,'Données projet'!$A$139:$I$159,3,0))</f>
        <v>7</v>
      </c>
      <c r="DB90" s="15">
        <f>IF(ISNA(VLOOKUP(A90,'Données projet'!$A$139:$I$159,4,0)),0,VLOOKUP(A90,'Données projet'!$A$139:$I$159,4,0))</f>
        <v>77.330769230769235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3.813056537183002E-14</v>
      </c>
      <c r="DQ90" s="13">
        <f t="shared" si="97"/>
        <v>6.4086286045526829E-13</v>
      </c>
      <c r="DR90" s="20">
        <f t="shared" si="70"/>
        <v>1.1825802166488628E-12</v>
      </c>
      <c r="DS90" s="59">
        <f t="shared" si="71"/>
        <v>293.33333333333451</v>
      </c>
      <c r="DT90" s="59">
        <f ca="1">AVERAGE(OFFSET($DS$3,0,0,'Données projet'!$E$14+1,1))-AVERAGE(OFFSET($H$3,0,0,'Données projet'!$E$14+1,1))</f>
        <v>156.63226020379989</v>
      </c>
      <c r="DU90" s="59">
        <f t="shared" si="98"/>
        <v>196.0481096619543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1.7851254078049041</v>
      </c>
      <c r="EC90" s="21">
        <f>EXP(-LN(2)/2)*EC89+(1-EXP(-LN(2)/2))/(LN(2)/2)*DW90*DZ90*VLOOKUP('Données projet'!$B$14,Paramètres!$A$1:$I$89,3,0)*0.475*44/12</f>
        <v>2.3901137460328764E-8</v>
      </c>
      <c r="ED90" s="22">
        <f t="shared" si="72"/>
        <v>1.7851254317060417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5.2606837606837598</v>
      </c>
      <c r="EJ90" s="12">
        <f>IF('Données projet'!$A$192&gt;35,EJ89+EI90-ER89,IF(A90&lt;'Données projet'!$A$192,$EG$205^A90,IF(A90='Données projet'!$A$192,'Données projet'!$B$192,EJ89+EI90-ER89)))</f>
        <v>180.70512820512806</v>
      </c>
      <c r="EK90" s="17">
        <f>EJ90*VLOOKUP('Données projet'!$B$15,Paramètres!$A$1:$I$89,3,0)*VLOOKUP('Données projet'!$B$15,Paramètres!$A$1:$I$89,5,0)</f>
        <v>194.51099999999983</v>
      </c>
      <c r="EL90" s="13">
        <f t="shared" si="99"/>
        <v>48.535904843418692</v>
      </c>
      <c r="EM90" s="20">
        <f t="shared" si="73"/>
        <v>423.30669260228728</v>
      </c>
      <c r="EN90" s="59">
        <f t="shared" si="74"/>
        <v>716.64002593562054</v>
      </c>
      <c r="EO90" s="59">
        <f ca="1">AVERAGE(OFFSET($EN$3,0,0,'Données projet'!$E$15+1,1))-AVERAGE(OFFSET($H$3,0,0,'Données projet'!$E$15+1,1))</f>
        <v>211.18501783767226</v>
      </c>
      <c r="EP90" s="59">
        <f t="shared" si="100"/>
        <v>147.98306963466246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12.2</v>
      </c>
      <c r="FE90" s="12">
        <f>IF('Données projet'!$A$218&gt;35,FE89+FD90-FM89,IF(A90&lt;'Données projet'!$A$218,$FB$205^A90,IF(A90='Données projet'!$A$218,'Données projet'!$B$218,FE89+FD90-FM89)))</f>
        <v>491.39999999999969</v>
      </c>
      <c r="FF90" s="17">
        <f>FE90*VLOOKUP('Données projet'!$B$16,Paramètres!$A$1:$I$89,3,0)*VLOOKUP('Données projet'!$B$16,Paramètres!$A$1:$I$89,5,0)</f>
        <v>293.85719999999986</v>
      </c>
      <c r="FG90" s="13">
        <f t="shared" si="101"/>
        <v>69.887150190339781</v>
      </c>
      <c r="FH90" s="20">
        <f t="shared" si="76"/>
        <v>633.52140991484157</v>
      </c>
      <c r="FI90" s="59">
        <f t="shared" si="77"/>
        <v>926.85474324817483</v>
      </c>
      <c r="FJ90" s="59">
        <f ca="1">AVERAGE(OFFSET($FI$3,0,0,'Données projet'!$E$16+1,1))-AVERAGE(OFFSET($H$3,0,0,'Données projet'!$E$16+1,1))</f>
        <v>232.26937455765062</v>
      </c>
      <c r="FK90" s="59">
        <f t="shared" si="102"/>
        <v>115.80853281120301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0.71578879167539944</v>
      </c>
      <c r="FR90" s="21">
        <f>EXP(-LN(2)/25)*FR89+(1-EXP(-LN(2)/25))/(LN(2)/25)*Calculateur!FM90*Calculateur!FO90*VLOOKUP('Données projet'!$B$16,Paramètres!$A$1:$I$89,3,0)*0.475*44/12</f>
        <v>0.90782469226398599</v>
      </c>
      <c r="FS90" s="21">
        <f>EXP(-LN(2)/2)*FS89+(1-EXP(-LN(2)/2))/(LN(2)/2)*FM90*FP90*VLOOKUP('Données projet'!$B$16,Paramètres!$A$1:$I$89,3,0)*0.475*44/12</f>
        <v>2.2115844716349472E-8</v>
      </c>
      <c r="FT90" s="22">
        <f t="shared" si="78"/>
        <v>1.6236135060552301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5.6843418860808015E-14</v>
      </c>
      <c r="GA90" s="17">
        <f>FZ90*VLOOKUP('Données projet'!$B$17,Paramètres!$A$1:$I$89,3,0)*VLOOKUP('Données projet'!$B$17,Paramètres!$A$1:$I$89,5,0)</f>
        <v>4.5224624045658861E-14</v>
      </c>
      <c r="GB90" s="13">
        <f t="shared" si="103"/>
        <v>7.4514601661523691E-13</v>
      </c>
      <c r="GC90" s="20">
        <f t="shared" si="79"/>
        <v>1.3765621991510601E-12</v>
      </c>
      <c r="GD90" s="59">
        <f t="shared" si="80"/>
        <v>293.33333333333468</v>
      </c>
      <c r="GE90" s="59">
        <f ca="1">AVERAGE(OFFSET($GD$3,0,0,'Données projet'!$E$17+1,1))-AVERAGE(OFFSET($H$3,0,0,'Données projet'!$E$17+1,1))</f>
        <v>199.58763537752952</v>
      </c>
      <c r="GF90" s="59">
        <f t="shared" si="104"/>
        <v>242.62852778451929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2.1172417627453504</v>
      </c>
      <c r="GN90" s="21">
        <f>EXP(-LN(2)/2)*GN89+(1-EXP(-LN(2)/2))/(LN(2)/2)*GH90*GK90*VLOOKUP('Données projet'!$B$17,Paramètres!$A$1:$I$89,3,0)*0.475*44/12</f>
        <v>2.834786070876205E-8</v>
      </c>
      <c r="GO90" s="21">
        <f t="shared" si="81"/>
        <v>2.1172417910932109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5.2606837606837598</v>
      </c>
      <c r="N91" s="13">
        <f>IF('Données projet'!$A$36&gt;35,N90+M91-V90,IF(A91&lt;'Données projet'!$A$36,$K$205^A91,IF(A91='Données projet'!$A$36,'Données projet'!$B$36,N90+M91-V90)))</f>
        <v>185.96581196581181</v>
      </c>
      <c r="O91" s="13">
        <f>N91*VLOOKUP('Données projet'!$B$9,Paramètres!$A$1:$I$89,3,0)*VLOOKUP('Données projet'!$B$9,Paramètres!$A$1:$I$89,5,0)</f>
        <v>168.26186666666652</v>
      </c>
      <c r="P91" s="13">
        <f t="shared" si="87"/>
        <v>42.700507007169499</v>
      </c>
      <c r="Q91" s="20">
        <f t="shared" si="54"/>
        <v>367.42613414859778</v>
      </c>
      <c r="R91" s="59">
        <f t="shared" si="55"/>
        <v>660.7594674819311</v>
      </c>
      <c r="S91" s="59">
        <f ca="1">AVERAGE(OFFSET($R$3,0,0,'Données projet'!$E$9+1,1))-AVERAGE(OFFSET($H$3,0,0,'Données projet'!$E$9+1,1))</f>
        <v>153.45079678708987</v>
      </c>
      <c r="T91" s="59">
        <f t="shared" si="88"/>
        <v>115.4217868409637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188.56933333333319</v>
      </c>
      <c r="AK91" s="13">
        <f t="shared" si="89"/>
        <v>47.223513760156187</v>
      </c>
      <c r="AL91" s="20">
        <f t="shared" si="58"/>
        <v>410.67254202116061</v>
      </c>
      <c r="AM91" s="59">
        <f t="shared" si="59"/>
        <v>704.00587535449392</v>
      </c>
      <c r="AN91" s="59">
        <f ca="1">AVERAGE(OFFSET($AM$3,0,0,'Données projet'!$E$10+1,1))-AVERAGE(OFFSET($H$3,0,0,'Données projet'!$E$10+1,1))</f>
        <v>190.21499310415584</v>
      </c>
      <c r="AO91" s="59">
        <f t="shared" si="90"/>
        <v>136.15730566500173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10.8</v>
      </c>
      <c r="BD91" s="12">
        <f>IF('Données projet'!$A$88&gt;35,BD90+BC91-BL90,IF(A91&lt;'Données projet'!$A$88,$BA$205^A91,IF(A91='Données projet'!$A$88,'Données projet'!$B$88,BD90+BC91-BL90)))</f>
        <v>545.40000000000009</v>
      </c>
      <c r="BE91" s="13">
        <f>BD91*VLOOKUP('Données projet'!$B$11,Paramètres!$A$1:$I$89,3,0)*VLOOKUP('Données projet'!$B$11,Paramètres!$A$1:$I$89,5,0)</f>
        <v>326.14920000000006</v>
      </c>
      <c r="BF91" s="13">
        <f t="shared" si="91"/>
        <v>76.631393510479626</v>
      </c>
      <c r="BG91" s="20">
        <f t="shared" si="61"/>
        <v>701.50953369741865</v>
      </c>
      <c r="BH91" s="59">
        <f t="shared" si="62"/>
        <v>994.8428670307519</v>
      </c>
      <c r="BI91" s="59">
        <f ca="1">AVERAGE(OFFSET($BH$3,0,0,'Données projet'!$E$11+1,1))-AVERAGE(OFFSET($H$3,0,0,'Données projet'!$E$11+1,1))</f>
        <v>270.30888762640245</v>
      </c>
      <c r="BJ91" s="59">
        <f t="shared" si="92"/>
        <v>202.23783851977691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0.67911542908906264</v>
      </c>
      <c r="BQ91" s="21">
        <f>EXP(-LN(2)/25)*BQ90+(1-EXP(-LN(2)/25))/(LN(2)/25)*Calculateur!BL91*Calculateur!BN91*VLOOKUP('Données projet'!$B$11,Paramètres!$A$1:$I$89,3,0)*0.475*44/12</f>
        <v>2.4623302263689539</v>
      </c>
      <c r="BR91" s="21">
        <f>EXP(-LN(2)/2)*BR90+(1-EXP(-LN(2)/2))/(LN(2)/2)*BL91*BO91*VLOOKUP('Données projet'!$B$11,Paramètres!$A$1:$I$89,3,0)*0.475*44/12</f>
        <v>3.4445167680201277E-8</v>
      </c>
      <c r="BS91" s="22">
        <f t="shared" si="63"/>
        <v>3.1414456899031844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10.8</v>
      </c>
      <c r="BY91" s="12">
        <f>IF('Données projet'!$A$114&gt;35,BY90+BX91-CG90,IF(A91&lt;'Données projet'!$A$114,$BV$205^A91,IF(A91='Données projet'!$A$114,'Données projet'!$B$114,BY90+BX91-CG90)))</f>
        <v>545.40000000000009</v>
      </c>
      <c r="BZ91" s="13">
        <f>BY91*VLOOKUP('Données projet'!$B$12,Paramètres!$A$1:$I$89,3,0)*VLOOKUP('Données projet'!$B$12,Paramètres!$A$1:$I$89,5,0)</f>
        <v>326.14920000000006</v>
      </c>
      <c r="CA91" s="13">
        <f t="shared" si="93"/>
        <v>76.631393510479626</v>
      </c>
      <c r="CB91" s="20">
        <f t="shared" si="64"/>
        <v>701.50953369741865</v>
      </c>
      <c r="CC91" s="59">
        <f t="shared" si="65"/>
        <v>994.8428670307519</v>
      </c>
      <c r="CD91" s="59">
        <f ca="1">AVERAGE(OFFSET($CC$3,0,0,'Données projet'!$E$12+1,1))-AVERAGE(OFFSET($H$3,0,0,'Données projet'!$E$12+1,1))</f>
        <v>270.30888762640245</v>
      </c>
      <c r="CE91" s="59">
        <f t="shared" si="94"/>
        <v>202.23783851977691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0.67911542908906264</v>
      </c>
      <c r="CL91" s="21">
        <f>EXP(-LN(2)/25)*CL90+(1-EXP(-LN(2)/25))/(LN(2)/25)*Calculateur!CG91*Calculateur!CI91*VLOOKUP('Données projet'!$B$12,Paramètres!$A$1:$I$89,3,0)*0.475*44/12</f>
        <v>2.4623302263689539</v>
      </c>
      <c r="CM91" s="21">
        <f>EXP(-LN(2)/2)*CM90+(1-EXP(-LN(2)/2))/(LN(2)/2)*CG91*CJ91*VLOOKUP('Données projet'!$B$12,Paramètres!$A$1:$I$89,3,0)*0.475*44/12</f>
        <v>3.4445167680201277E-8</v>
      </c>
      <c r="CN91" s="22">
        <f t="shared" si="66"/>
        <v>3.1414456899031844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11.242307692307691</v>
      </c>
      <c r="CT91" s="12">
        <f>IF('Données projet'!$A$140&gt;35,CT90+CS91-DB90,IF(A91&lt;'Données projet'!$A$140,$CQ$205^A91,IF(A91='Données projet'!$A$140,'Données projet'!$B$140,CT90+CS91-DB90)))</f>
        <v>390.42692307692329</v>
      </c>
      <c r="CU91" s="17">
        <f>CT91*VLOOKUP('Données projet'!$B$13,Paramètres!$A$1:$I$89,3,0)*VLOOKUP('Données projet'!$B$13,Paramètres!$A$1:$I$89,5,0)</f>
        <v>182.71980000000011</v>
      </c>
      <c r="CV91" s="13">
        <f t="shared" si="95"/>
        <v>45.926762394770535</v>
      </c>
      <c r="CW91" s="20">
        <f t="shared" si="67"/>
        <v>398.22609617089216</v>
      </c>
      <c r="CX91" s="59">
        <f t="shared" si="68"/>
        <v>691.55942950422548</v>
      </c>
      <c r="CY91" s="59">
        <f ca="1">AVERAGE(OFFSET($CX$3,0,0,'Données projet'!$E$13+1,1))-AVERAGE(OFFSET($H$3,0,0,'Données projet'!$E$13+1,1))</f>
        <v>158.58786357608489</v>
      </c>
      <c r="CZ91" s="59">
        <f t="shared" si="96"/>
        <v>163.20074068819849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3.813056537183002E-14</v>
      </c>
      <c r="DQ91" s="13">
        <f t="shared" si="97"/>
        <v>6.4086286045526829E-13</v>
      </c>
      <c r="DR91" s="20">
        <f t="shared" si="70"/>
        <v>1.1825802166488628E-12</v>
      </c>
      <c r="DS91" s="59">
        <f t="shared" si="71"/>
        <v>293.33333333333451</v>
      </c>
      <c r="DT91" s="59">
        <f ca="1">AVERAGE(OFFSET($DS$3,0,0,'Données projet'!$E$14+1,1))-AVERAGE(OFFSET($H$3,0,0,'Données projet'!$E$14+1,1))</f>
        <v>156.63226020379989</v>
      </c>
      <c r="DU91" s="59">
        <f t="shared" si="98"/>
        <v>196.0481096619543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1.7363110596528137</v>
      </c>
      <c r="EC91" s="21">
        <f>EXP(-LN(2)/2)*EC90+(1-EXP(-LN(2)/2))/(LN(2)/2)*DW91*DZ91*VLOOKUP('Données projet'!$B$14,Paramètres!$A$1:$I$89,3,0)*0.475*44/12</f>
        <v>1.6900656376270286E-8</v>
      </c>
      <c r="ED91" s="22">
        <f t="shared" si="72"/>
        <v>1.7363110765534702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5.2606837606837598</v>
      </c>
      <c r="EJ91" s="12">
        <f>IF('Données projet'!$A$192&gt;35,EJ90+EI91-ER90,IF(A91&lt;'Données projet'!$A$192,$EG$205^A91,IF(A91='Données projet'!$A$192,'Données projet'!$B$192,EJ90+EI91-ER90)))</f>
        <v>185.96581196581181</v>
      </c>
      <c r="EK91" s="17">
        <f>EJ91*VLOOKUP('Données projet'!$B$15,Paramètres!$A$1:$I$89,3,0)*VLOOKUP('Données projet'!$B$15,Paramètres!$A$1:$I$89,5,0)</f>
        <v>200.17359999999982</v>
      </c>
      <c r="EL91" s="13">
        <f t="shared" si="99"/>
        <v>49.782317824307299</v>
      </c>
      <c r="EM91" s="20">
        <f t="shared" si="73"/>
        <v>435.33989021066822</v>
      </c>
      <c r="EN91" s="59">
        <f t="shared" si="74"/>
        <v>728.67322354400153</v>
      </c>
      <c r="EO91" s="59">
        <f ca="1">AVERAGE(OFFSET($EN$3,0,0,'Données projet'!$E$15+1,1))-AVERAGE(OFFSET($H$3,0,0,'Données projet'!$E$15+1,1))</f>
        <v>211.18501783767226</v>
      </c>
      <c r="EP91" s="59">
        <f t="shared" si="100"/>
        <v>147.98306963466246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12.2</v>
      </c>
      <c r="FE91" s="12">
        <f>IF('Données projet'!$A$218&gt;35,FE90+FD91-FM90,IF(A91&lt;'Données projet'!$A$218,$FB$205^A91,IF(A91='Données projet'!$A$218,'Données projet'!$B$218,FE90+FD91-FM90)))</f>
        <v>503.59999999999968</v>
      </c>
      <c r="FF91" s="17">
        <f>FE91*VLOOKUP('Données projet'!$B$16,Paramètres!$A$1:$I$89,3,0)*VLOOKUP('Données projet'!$B$16,Paramètres!$A$1:$I$89,5,0)</f>
        <v>301.15279999999984</v>
      </c>
      <c r="FG91" s="13">
        <f t="shared" si="101"/>
        <v>71.418080664244513</v>
      </c>
      <c r="FH91" s="20">
        <f t="shared" si="76"/>
        <v>648.89428382355879</v>
      </c>
      <c r="FI91" s="59">
        <f t="shared" si="77"/>
        <v>942.22761715689217</v>
      </c>
      <c r="FJ91" s="59">
        <f ca="1">AVERAGE(OFFSET($FI$3,0,0,'Données projet'!$E$16+1,1))-AVERAGE(OFFSET($H$3,0,0,'Données projet'!$E$16+1,1))</f>
        <v>232.26937455765062</v>
      </c>
      <c r="FK91" s="59">
        <f t="shared" si="102"/>
        <v>115.80853281120301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0.70175261005869827</v>
      </c>
      <c r="FR91" s="21">
        <f>EXP(-LN(2)/25)*FR90+(1-EXP(-LN(2)/25))/(LN(2)/25)*Calculateur!FM91*Calculateur!FO91*VLOOKUP('Données projet'!$B$16,Paramètres!$A$1:$I$89,3,0)*0.475*44/12</f>
        <v>0.88300017831360156</v>
      </c>
      <c r="FS91" s="21">
        <f>EXP(-LN(2)/2)*FS90+(1-EXP(-LN(2)/2))/(LN(2)/2)*FM91*FP91*VLOOKUP('Données projet'!$B$16,Paramètres!$A$1:$I$89,3,0)*0.475*44/12</f>
        <v>1.5638263770599389E-8</v>
      </c>
      <c r="FT91" s="22">
        <f t="shared" si="78"/>
        <v>1.5847528040105636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5.6843418860808015E-14</v>
      </c>
      <c r="GA91" s="17">
        <f>FZ91*VLOOKUP('Données projet'!$B$17,Paramètres!$A$1:$I$89,3,0)*VLOOKUP('Données projet'!$B$17,Paramètres!$A$1:$I$89,5,0)</f>
        <v>4.5224624045658861E-14</v>
      </c>
      <c r="GB91" s="13">
        <f t="shared" si="103"/>
        <v>7.4514601661523691E-13</v>
      </c>
      <c r="GC91" s="20">
        <f t="shared" si="79"/>
        <v>1.3765621991510601E-12</v>
      </c>
      <c r="GD91" s="59">
        <f t="shared" si="80"/>
        <v>293.33333333333468</v>
      </c>
      <c r="GE91" s="59">
        <f ca="1">AVERAGE(OFFSET($GD$3,0,0,'Données projet'!$E$17+1,1))-AVERAGE(OFFSET($H$3,0,0,'Données projet'!$E$17+1,1))</f>
        <v>199.58763537752952</v>
      </c>
      <c r="GF91" s="59">
        <f t="shared" si="104"/>
        <v>242.62852778451929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2.0593456754021733</v>
      </c>
      <c r="GN91" s="21">
        <f>EXP(-LN(2)/2)*GN90+(1-EXP(-LN(2)/2))/(LN(2)/2)*GH91*GK91*VLOOKUP('Données projet'!$B$17,Paramètres!$A$1:$I$89,3,0)*0.475*44/12</f>
        <v>2.0044964539297335E-8</v>
      </c>
      <c r="GO91" s="21">
        <f t="shared" si="81"/>
        <v>2.0593456954471376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5.2606837606837598</v>
      </c>
      <c r="N92" s="13">
        <f>IF('Données projet'!$A$36&gt;35,N91+M92-V91,IF(A92&lt;'Données projet'!$A$36,$K$205^A92,IF(A92='Données projet'!$A$36,'Données projet'!$B$36,N91+M92-V91)))</f>
        <v>191.22649572649556</v>
      </c>
      <c r="O92" s="13">
        <f>N92*VLOOKUP('Données projet'!$B$9,Paramètres!$A$1:$I$89,3,0)*VLOOKUP('Données projet'!$B$9,Paramètres!$A$1:$I$89,5,0)</f>
        <v>173.02173333333317</v>
      </c>
      <c r="P92" s="13">
        <f t="shared" si="87"/>
        <v>43.766095804240145</v>
      </c>
      <c r="Q92" s="20">
        <f t="shared" si="54"/>
        <v>377.57213574794014</v>
      </c>
      <c r="R92" s="59">
        <f t="shared" si="55"/>
        <v>670.9054690812734</v>
      </c>
      <c r="S92" s="59">
        <f ca="1">AVERAGE(OFFSET($R$3,0,0,'Données projet'!$E$9+1,1))-AVERAGE(OFFSET($H$3,0,0,'Données projet'!$E$9+1,1))</f>
        <v>153.45079678708987</v>
      </c>
      <c r="T92" s="59">
        <f t="shared" si="88"/>
        <v>115.4217868409637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193.90366666666651</v>
      </c>
      <c r="AK92" s="13">
        <f t="shared" si="89"/>
        <v>48.401973941265673</v>
      </c>
      <c r="AL92" s="20">
        <f t="shared" si="58"/>
        <v>422.01565739214857</v>
      </c>
      <c r="AM92" s="59">
        <f t="shared" si="59"/>
        <v>715.34899072548183</v>
      </c>
      <c r="AN92" s="59">
        <f ca="1">AVERAGE(OFFSET($AM$3,0,0,'Données projet'!$E$10+1,1))-AVERAGE(OFFSET($H$3,0,0,'Données projet'!$E$10+1,1))</f>
        <v>190.21499310415584</v>
      </c>
      <c r="AO92" s="59">
        <f t="shared" si="90"/>
        <v>136.15730566500173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10.8</v>
      </c>
      <c r="BD92" s="12">
        <f>IF('Données projet'!$A$88&gt;35,BD91+BC92-BL91,IF(A92&lt;'Données projet'!$A$88,$BA$205^A92,IF(A92='Données projet'!$A$88,'Données projet'!$B$88,BD91+BC92-BL91)))</f>
        <v>556.20000000000005</v>
      </c>
      <c r="BE92" s="13">
        <f>BD92*VLOOKUP('Données projet'!$B$11,Paramètres!$A$1:$I$89,3,0)*VLOOKUP('Données projet'!$B$11,Paramètres!$A$1:$I$89,5,0)</f>
        <v>332.60760000000005</v>
      </c>
      <c r="BF92" s="13">
        <f t="shared" si="91"/>
        <v>77.97068128417547</v>
      </c>
      <c r="BG92" s="20">
        <f t="shared" si="61"/>
        <v>715.09050656993907</v>
      </c>
      <c r="BH92" s="59">
        <f t="shared" si="62"/>
        <v>1008.4238399032724</v>
      </c>
      <c r="BI92" s="59">
        <f ca="1">AVERAGE(OFFSET($BH$3,0,0,'Données projet'!$E$11+1,1))-AVERAGE(OFFSET($H$3,0,0,'Données projet'!$E$11+1,1))</f>
        <v>270.30888762640245</v>
      </c>
      <c r="BJ92" s="59">
        <f t="shared" si="92"/>
        <v>202.23783851977691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0.66579838974413708</v>
      </c>
      <c r="BQ92" s="21">
        <f>EXP(-LN(2)/25)*BQ91+(1-EXP(-LN(2)/25))/(LN(2)/25)*Calculateur!BL92*Calculateur!BN92*VLOOKUP('Données projet'!$B$11,Paramètres!$A$1:$I$89,3,0)*0.475*44/12</f>
        <v>2.3949976768405761</v>
      </c>
      <c r="BR92" s="21">
        <f>EXP(-LN(2)/2)*BR91+(1-EXP(-LN(2)/2))/(LN(2)/2)*BL92*BO92*VLOOKUP('Données projet'!$B$11,Paramètres!$A$1:$I$89,3,0)*0.475*44/12</f>
        <v>2.4356411645778023E-8</v>
      </c>
      <c r="BS92" s="22">
        <f t="shared" si="63"/>
        <v>3.0607960909411247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10.8</v>
      </c>
      <c r="BY92" s="12">
        <f>IF('Données projet'!$A$114&gt;35,BY91+BX92-CG91,IF(A92&lt;'Données projet'!$A$114,$BV$205^A92,IF(A92='Données projet'!$A$114,'Données projet'!$B$114,BY91+BX92-CG91)))</f>
        <v>556.20000000000005</v>
      </c>
      <c r="BZ92" s="13">
        <f>BY92*VLOOKUP('Données projet'!$B$12,Paramètres!$A$1:$I$89,3,0)*VLOOKUP('Données projet'!$B$12,Paramètres!$A$1:$I$89,5,0)</f>
        <v>332.60760000000005</v>
      </c>
      <c r="CA92" s="13">
        <f t="shared" si="93"/>
        <v>77.97068128417547</v>
      </c>
      <c r="CB92" s="20">
        <f t="shared" si="64"/>
        <v>715.09050656993907</v>
      </c>
      <c r="CC92" s="59">
        <f t="shared" si="65"/>
        <v>1008.4238399032724</v>
      </c>
      <c r="CD92" s="59">
        <f ca="1">AVERAGE(OFFSET($CC$3,0,0,'Données projet'!$E$12+1,1))-AVERAGE(OFFSET($H$3,0,0,'Données projet'!$E$12+1,1))</f>
        <v>270.30888762640245</v>
      </c>
      <c r="CE92" s="59">
        <f t="shared" si="94"/>
        <v>202.23783851977691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0.66579838974413708</v>
      </c>
      <c r="CL92" s="21">
        <f>EXP(-LN(2)/25)*CL91+(1-EXP(-LN(2)/25))/(LN(2)/25)*Calculateur!CG92*Calculateur!CI92*VLOOKUP('Données projet'!$B$12,Paramètres!$A$1:$I$89,3,0)*0.475*44/12</f>
        <v>2.3949976768405761</v>
      </c>
      <c r="CM92" s="21">
        <f>EXP(-LN(2)/2)*CM91+(1-EXP(-LN(2)/2))/(LN(2)/2)*CG92*CJ92*VLOOKUP('Données projet'!$B$12,Paramètres!$A$1:$I$89,3,0)*0.475*44/12</f>
        <v>2.4356411645778023E-8</v>
      </c>
      <c r="CN92" s="22">
        <f t="shared" si="66"/>
        <v>3.0607960909411247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11.242307692307691</v>
      </c>
      <c r="CT92" s="12">
        <f>IF('Données projet'!$A$140&gt;35,CT91+CS92-DB91,IF(A92&lt;'Données projet'!$A$140,$CQ$205^A92,IF(A92='Données projet'!$A$140,'Données projet'!$B$140,CT91+CS92-DB91)))</f>
        <v>401.66923076923098</v>
      </c>
      <c r="CU92" s="17">
        <f>CT92*VLOOKUP('Données projet'!$B$13,Paramètres!$A$1:$I$89,3,0)*VLOOKUP('Données projet'!$B$13,Paramètres!$A$1:$I$89,5,0)</f>
        <v>187.98120000000011</v>
      </c>
      <c r="CV92" s="13">
        <f t="shared" si="95"/>
        <v>47.093347732155607</v>
      </c>
      <c r="CW92" s="20">
        <f t="shared" si="67"/>
        <v>409.42150396683786</v>
      </c>
      <c r="CX92" s="59">
        <f t="shared" si="68"/>
        <v>702.75483730017118</v>
      </c>
      <c r="CY92" s="59">
        <f ca="1">AVERAGE(OFFSET($CX$3,0,0,'Données projet'!$E$13+1,1))-AVERAGE(OFFSET($H$3,0,0,'Données projet'!$E$13+1,1))</f>
        <v>158.58786357608489</v>
      </c>
      <c r="CZ92" s="59">
        <f t="shared" si="96"/>
        <v>163.20074068819849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3.813056537183002E-14</v>
      </c>
      <c r="DQ92" s="13">
        <f t="shared" si="97"/>
        <v>6.4086286045526829E-13</v>
      </c>
      <c r="DR92" s="20">
        <f t="shared" si="70"/>
        <v>1.1825802166488628E-12</v>
      </c>
      <c r="DS92" s="59">
        <f t="shared" si="71"/>
        <v>293.33333333333451</v>
      </c>
      <c r="DT92" s="59">
        <f ca="1">AVERAGE(OFFSET($DS$3,0,0,'Données projet'!$E$14+1,1))-AVERAGE(OFFSET($H$3,0,0,'Données projet'!$E$14+1,1))</f>
        <v>156.63226020379989</v>
      </c>
      <c r="DU92" s="59">
        <f t="shared" si="98"/>
        <v>196.0481096619543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1.6888315424179774</v>
      </c>
      <c r="EC92" s="21">
        <f>EXP(-LN(2)/2)*EC91+(1-EXP(-LN(2)/2))/(LN(2)/2)*DW92*DZ92*VLOOKUP('Données projet'!$B$14,Paramètres!$A$1:$I$89,3,0)*0.475*44/12</f>
        <v>1.1950568730164382E-8</v>
      </c>
      <c r="ED92" s="22">
        <f t="shared" si="72"/>
        <v>1.6888315543685462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5.2606837606837598</v>
      </c>
      <c r="EJ92" s="12">
        <f>IF('Données projet'!$A$192&gt;35,EJ91+EI92-ER91,IF(A92&lt;'Données projet'!$A$192,$EG$205^A92,IF(A92='Données projet'!$A$192,'Données projet'!$B$192,EJ91+EI92-ER91)))</f>
        <v>191.22649572649556</v>
      </c>
      <c r="EK92" s="17">
        <f>EJ92*VLOOKUP('Données projet'!$B$15,Paramètres!$A$1:$I$89,3,0)*VLOOKUP('Données projet'!$B$15,Paramètres!$A$1:$I$89,5,0)</f>
        <v>205.83619999999979</v>
      </c>
      <c r="EL92" s="13">
        <f t="shared" si="99"/>
        <v>51.024632819698049</v>
      </c>
      <c r="EM92" s="20">
        <f t="shared" si="73"/>
        <v>447.36595049430707</v>
      </c>
      <c r="EN92" s="59">
        <f t="shared" si="74"/>
        <v>740.69928382764033</v>
      </c>
      <c r="EO92" s="59">
        <f ca="1">AVERAGE(OFFSET($EN$3,0,0,'Données projet'!$E$15+1,1))-AVERAGE(OFFSET($H$3,0,0,'Données projet'!$E$15+1,1))</f>
        <v>211.18501783767226</v>
      </c>
      <c r="EP92" s="59">
        <f t="shared" si="100"/>
        <v>147.98306963466246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12.2</v>
      </c>
      <c r="FE92" s="12">
        <f>IF('Données projet'!$A$218&gt;35,FE91+FD92-FM91,IF(A92&lt;'Données projet'!$A$218,$FB$205^A92,IF(A92='Données projet'!$A$218,'Données projet'!$B$218,FE91+FD92-FM91)))</f>
        <v>515.79999999999973</v>
      </c>
      <c r="FF92" s="17">
        <f>FE92*VLOOKUP('Données projet'!$B$16,Paramètres!$A$1:$I$89,3,0)*VLOOKUP('Données projet'!$B$16,Paramètres!$A$1:$I$89,5,0)</f>
        <v>308.44839999999988</v>
      </c>
      <c r="FG92" s="13">
        <f t="shared" si="101"/>
        <v>72.944699768355846</v>
      </c>
      <c r="FH92" s="20">
        <f t="shared" si="76"/>
        <v>664.2596487632195</v>
      </c>
      <c r="FI92" s="59">
        <f t="shared" si="77"/>
        <v>957.59298209655276</v>
      </c>
      <c r="FJ92" s="59">
        <f ca="1">AVERAGE(OFFSET($FI$3,0,0,'Données projet'!$E$16+1,1))-AVERAGE(OFFSET($H$3,0,0,'Données projet'!$E$16+1,1))</f>
        <v>232.26937455765062</v>
      </c>
      <c r="FK92" s="59">
        <f t="shared" si="102"/>
        <v>115.80853281120301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0.68799166940227519</v>
      </c>
      <c r="FR92" s="21">
        <f>EXP(-LN(2)/25)*FR91+(1-EXP(-LN(2)/25))/(LN(2)/25)*Calculateur!FM92*Calculateur!FO92*VLOOKUP('Données projet'!$B$16,Paramètres!$A$1:$I$89,3,0)*0.475*44/12</f>
        <v>0.85885449200265485</v>
      </c>
      <c r="FS92" s="21">
        <f>EXP(-LN(2)/2)*FS91+(1-EXP(-LN(2)/2))/(LN(2)/2)*FM92*FP92*VLOOKUP('Données projet'!$B$16,Paramètres!$A$1:$I$89,3,0)*0.475*44/12</f>
        <v>1.1057922358174736E-8</v>
      </c>
      <c r="FT92" s="22">
        <f t="shared" si="78"/>
        <v>1.5468461724628524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5.6843418860808015E-14</v>
      </c>
      <c r="GA92" s="17">
        <f>FZ92*VLOOKUP('Données projet'!$B$17,Paramètres!$A$1:$I$89,3,0)*VLOOKUP('Données projet'!$B$17,Paramètres!$A$1:$I$89,5,0)</f>
        <v>4.5224624045658861E-14</v>
      </c>
      <c r="GB92" s="13">
        <f t="shared" si="103"/>
        <v>7.4514601661523691E-13</v>
      </c>
      <c r="GC92" s="20">
        <f t="shared" si="79"/>
        <v>1.3765621991510601E-12</v>
      </c>
      <c r="GD92" s="59">
        <f t="shared" si="80"/>
        <v>293.33333333333468</v>
      </c>
      <c r="GE92" s="59">
        <f ca="1">AVERAGE(OFFSET($GD$3,0,0,'Données projet'!$E$17+1,1))-AVERAGE(OFFSET($H$3,0,0,'Données projet'!$E$17+1,1))</f>
        <v>199.58763537752952</v>
      </c>
      <c r="GF92" s="59">
        <f t="shared" si="104"/>
        <v>242.62852778451929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2.0030327596120183</v>
      </c>
      <c r="GN92" s="21">
        <f>EXP(-LN(2)/2)*GN91+(1-EXP(-LN(2)/2))/(LN(2)/2)*GH92*GK92*VLOOKUP('Données projet'!$B$17,Paramètres!$A$1:$I$89,3,0)*0.475*44/12</f>
        <v>1.4173930354381025E-8</v>
      </c>
      <c r="GO92" s="21">
        <f t="shared" si="81"/>
        <v>2.0030327737859488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5.2606837606837598</v>
      </c>
      <c r="N93" s="13">
        <f>IF('Données projet'!$A$36&gt;35,N92+M93-V92,IF(A93&lt;'Données projet'!$A$36,$K$205^A93,IF(A93='Données projet'!$A$36,'Données projet'!$B$36,N92+M93-V92)))</f>
        <v>196.4871794871793</v>
      </c>
      <c r="O93" s="13">
        <f>N93*VLOOKUP('Données projet'!$B$9,Paramètres!$A$1:$I$89,3,0)*VLOOKUP('Données projet'!$B$9,Paramètres!$A$1:$I$89,5,0)</f>
        <v>177.78159999999983</v>
      </c>
      <c r="P93" s="13">
        <f t="shared" si="87"/>
        <v>44.828277386743572</v>
      </c>
      <c r="Q93" s="20">
        <f t="shared" si="54"/>
        <v>387.71220311524468</v>
      </c>
      <c r="R93" s="59">
        <f t="shared" si="55"/>
        <v>681.04553644857799</v>
      </c>
      <c r="S93" s="59">
        <f ca="1">AVERAGE(OFFSET($R$3,0,0,'Données projet'!$E$9+1,1))-AVERAGE(OFFSET($H$3,0,0,'Données projet'!$E$9+1,1))</f>
        <v>153.45079678708987</v>
      </c>
      <c r="T93" s="59">
        <f t="shared" si="88"/>
        <v>115.4217868409637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199.23799999999983</v>
      </c>
      <c r="AK93" s="13">
        <f t="shared" si="89"/>
        <v>49.576666002151768</v>
      </c>
      <c r="AL93" s="20">
        <f t="shared" si="58"/>
        <v>433.35220995374738</v>
      </c>
      <c r="AM93" s="59">
        <f t="shared" si="59"/>
        <v>726.68554328708069</v>
      </c>
      <c r="AN93" s="59">
        <f ca="1">AVERAGE(OFFSET($AM$3,0,0,'Données projet'!$E$10+1,1))-AVERAGE(OFFSET($H$3,0,0,'Données projet'!$E$10+1,1))</f>
        <v>190.21499310415584</v>
      </c>
      <c r="AO93" s="59">
        <f t="shared" si="90"/>
        <v>136.15730566500173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567</v>
      </c>
      <c r="BB93" s="12">
        <f>VLOOKUP(A93,'Données projet'!$A$87:$I$107,9,0)</f>
        <v>10.8</v>
      </c>
      <c r="BC93" s="12">
        <f t="array" ref="BC93">INDEX(BB:BB,MIN(IF(ISNUMBER(BB93:BB289),ROW(BB93:BB289),"")))</f>
        <v>10.8</v>
      </c>
      <c r="BD93" s="12">
        <f>IF('Données projet'!$A$88&gt;35,BD92+BC93-BL92,IF(A93&lt;'Données projet'!$A$88,$BA$205^A93,IF(A93='Données projet'!$A$88,'Données projet'!$B$88,BD92+BC93-BL92)))</f>
        <v>567</v>
      </c>
      <c r="BE93" s="13">
        <f>BD93*VLOOKUP('Données projet'!$B$11,Paramètres!$A$1:$I$89,3,0)*VLOOKUP('Données projet'!$B$11,Paramètres!$A$1:$I$89,5,0)</f>
        <v>339.06600000000003</v>
      </c>
      <c r="BF93" s="13">
        <f t="shared" si="91"/>
        <v>79.30694522486489</v>
      </c>
      <c r="BG93" s="20">
        <f t="shared" si="61"/>
        <v>728.66621293330627</v>
      </c>
      <c r="BH93" s="59">
        <f t="shared" si="62"/>
        <v>1021.9995462666395</v>
      </c>
      <c r="BI93" s="59">
        <f ca="1">AVERAGE(OFFSET($BH$3,0,0,'Données projet'!$E$11+1,1))-AVERAGE(OFFSET($H$3,0,0,'Données projet'!$E$11+1,1))</f>
        <v>270.30888762640245</v>
      </c>
      <c r="BJ93" s="59">
        <f t="shared" si="92"/>
        <v>202.23783851977691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70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0.65274248941817359</v>
      </c>
      <c r="BQ93" s="21">
        <f>EXP(-LN(2)/25)*BQ92+(1-EXP(-LN(2)/25))/(LN(2)/25)*Calculateur!BL93*Calculateur!BN93*VLOOKUP('Données projet'!$B$11,Paramètres!$A$1:$I$89,3,0)*0.475*44/12</f>
        <v>2.3295063394199165</v>
      </c>
      <c r="BR93" s="21">
        <f>EXP(-LN(2)/2)*BR92+(1-EXP(-LN(2)/2))/(LN(2)/2)*BL93*BO93*VLOOKUP('Données projet'!$B$11,Paramètres!$A$1:$I$89,3,0)*0.475*44/12</f>
        <v>1.7222583840100639E-8</v>
      </c>
      <c r="BS93" s="22">
        <f t="shared" si="63"/>
        <v>2.9822488460606738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567</v>
      </c>
      <c r="BW93" s="12">
        <f>VLOOKUP(A93,'Données projet'!$A$113:$I$133,9,0)</f>
        <v>10.8</v>
      </c>
      <c r="BX93" s="12">
        <f t="array" ref="BX93">INDEX(BW:BW,MIN(IF(ISNUMBER(BW93:BW289),ROW(BW93:BW289),"")))</f>
        <v>10.8</v>
      </c>
      <c r="BY93" s="12">
        <f>IF('Données projet'!$A$114&gt;35,BY92+BX93-CG92,IF(A93&lt;'Données projet'!$A$114,$BV$205^A93,IF(A93='Données projet'!$A$114,'Données projet'!$B$114,BY92+BX93-CG92)))</f>
        <v>567</v>
      </c>
      <c r="BZ93" s="13">
        <f>BY93*VLOOKUP('Données projet'!$B$12,Paramètres!$A$1:$I$89,3,0)*VLOOKUP('Données projet'!$B$12,Paramètres!$A$1:$I$89,5,0)</f>
        <v>339.06600000000003</v>
      </c>
      <c r="CA93" s="13">
        <f t="shared" si="93"/>
        <v>79.30694522486489</v>
      </c>
      <c r="CB93" s="20">
        <f t="shared" si="64"/>
        <v>728.66621293330627</v>
      </c>
      <c r="CC93" s="59">
        <f t="shared" si="65"/>
        <v>1021.9995462666395</v>
      </c>
      <c r="CD93" s="59">
        <f ca="1">AVERAGE(OFFSET($CC$3,0,0,'Données projet'!$E$12+1,1))-AVERAGE(OFFSET($H$3,0,0,'Données projet'!$E$12+1,1))</f>
        <v>270.30888762640245</v>
      </c>
      <c r="CE93" s="59">
        <f t="shared" si="94"/>
        <v>202.23783851977691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70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0.65274248941817359</v>
      </c>
      <c r="CL93" s="21">
        <f>EXP(-LN(2)/25)*CL92+(1-EXP(-LN(2)/25))/(LN(2)/25)*Calculateur!CG93*Calculateur!CI93*VLOOKUP('Données projet'!$B$12,Paramètres!$A$1:$I$89,3,0)*0.475*44/12</f>
        <v>2.3295063394199165</v>
      </c>
      <c r="CM93" s="21">
        <f>EXP(-LN(2)/2)*CM92+(1-EXP(-LN(2)/2))/(LN(2)/2)*CG93*CJ93*VLOOKUP('Données projet'!$B$12,Paramètres!$A$1:$I$89,3,0)*0.475*44/12</f>
        <v>1.7222583840100639E-8</v>
      </c>
      <c r="CN93" s="22">
        <f t="shared" si="66"/>
        <v>2.9822488460606738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11.242307692307691</v>
      </c>
      <c r="CT93" s="12">
        <f>IF('Données projet'!$A$140&gt;35,CT92+CS93-DB92,IF(A93&lt;'Données projet'!$A$140,$CQ$205^A93,IF(A93='Données projet'!$A$140,'Données projet'!$B$140,CT92+CS93-DB92)))</f>
        <v>412.91153846153867</v>
      </c>
      <c r="CU93" s="17">
        <f>CT93*VLOOKUP('Données projet'!$B$13,Paramètres!$A$1:$I$89,3,0)*VLOOKUP('Données projet'!$B$13,Paramètres!$A$1:$I$89,5,0)</f>
        <v>193.2426000000001</v>
      </c>
      <c r="CV93" s="13">
        <f t="shared" si="95"/>
        <v>48.256138093290417</v>
      </c>
      <c r="CW93" s="20">
        <f t="shared" si="67"/>
        <v>420.6103021791476</v>
      </c>
      <c r="CX93" s="59">
        <f t="shared" si="68"/>
        <v>713.94363551248091</v>
      </c>
      <c r="CY93" s="59">
        <f ca="1">AVERAGE(OFFSET($CX$3,0,0,'Données projet'!$E$13+1,1))-AVERAGE(OFFSET($H$3,0,0,'Données projet'!$E$13+1,1))</f>
        <v>158.58786357608489</v>
      </c>
      <c r="CZ93" s="59">
        <f t="shared" si="96"/>
        <v>163.20074068819849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3.813056537183002E-14</v>
      </c>
      <c r="DQ93" s="13">
        <f t="shared" si="97"/>
        <v>6.4086286045526829E-13</v>
      </c>
      <c r="DR93" s="20">
        <f t="shared" si="70"/>
        <v>1.1825802166488628E-12</v>
      </c>
      <c r="DS93" s="59">
        <f t="shared" si="71"/>
        <v>293.33333333333451</v>
      </c>
      <c r="DT93" s="59">
        <f ca="1">AVERAGE(OFFSET($DS$3,0,0,'Données projet'!$E$14+1,1))-AVERAGE(OFFSET($H$3,0,0,'Données projet'!$E$14+1,1))</f>
        <v>156.63226020379989</v>
      </c>
      <c r="DU93" s="59">
        <f t="shared" si="98"/>
        <v>196.0481096619543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1.6426503550787668</v>
      </c>
      <c r="EC93" s="21">
        <f>EXP(-LN(2)/2)*EC92+(1-EXP(-LN(2)/2))/(LN(2)/2)*DW93*DZ93*VLOOKUP('Données projet'!$B$14,Paramètres!$A$1:$I$89,3,0)*0.475*44/12</f>
        <v>8.4503281881351429E-9</v>
      </c>
      <c r="ED93" s="22">
        <f t="shared" si="72"/>
        <v>1.642650363529095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5.2606837606837598</v>
      </c>
      <c r="EJ93" s="12">
        <f>IF('Données projet'!$A$192&gt;35,EJ92+EI93-ER92,IF(A93&lt;'Données projet'!$A$192,$EG$205^A93,IF(A93='Données projet'!$A$192,'Données projet'!$B$192,EJ92+EI93-ER92)))</f>
        <v>196.4871794871793</v>
      </c>
      <c r="EK93" s="17">
        <f>EJ93*VLOOKUP('Données projet'!$B$15,Paramètres!$A$1:$I$89,3,0)*VLOOKUP('Données projet'!$B$15,Paramètres!$A$1:$I$89,5,0)</f>
        <v>211.49879999999979</v>
      </c>
      <c r="EL93" s="13">
        <f t="shared" si="99"/>
        <v>52.262975519432992</v>
      </c>
      <c r="EM93" s="20">
        <f t="shared" si="73"/>
        <v>459.38509236301206</v>
      </c>
      <c r="EN93" s="59">
        <f t="shared" si="74"/>
        <v>752.71842569634532</v>
      </c>
      <c r="EO93" s="59">
        <f ca="1">AVERAGE(OFFSET($EN$3,0,0,'Données projet'!$E$15+1,1))-AVERAGE(OFFSET($H$3,0,0,'Données projet'!$E$15+1,1))</f>
        <v>211.18501783767226</v>
      </c>
      <c r="EP93" s="59">
        <f t="shared" si="100"/>
        <v>147.98306963466246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528</v>
      </c>
      <c r="FC93" s="12">
        <f>VLOOKUP(A93,'Données projet'!$A$217:$I$237,9,0)</f>
        <v>12.2</v>
      </c>
      <c r="FD93" s="12">
        <f t="array" ref="FD93">INDEX(FC:FC,MIN(IF(ISNUMBER(FC93:FC289),ROW(FC93:FC289),"")))</f>
        <v>12.2</v>
      </c>
      <c r="FE93" s="12">
        <f>IF('Données projet'!$A$218&gt;35,FE92+FD93-FM92,IF(A93&lt;'Données projet'!$A$218,$FB$205^A93,IF(A93='Données projet'!$A$218,'Données projet'!$B$218,FE92+FD93-FM92)))</f>
        <v>527.99999999999977</v>
      </c>
      <c r="FF93" s="17">
        <f>FE93*VLOOKUP('Données projet'!$B$16,Paramètres!$A$1:$I$89,3,0)*VLOOKUP('Données projet'!$B$16,Paramètres!$A$1:$I$89,5,0)</f>
        <v>315.74399999999991</v>
      </c>
      <c r="FG93" s="13">
        <f t="shared" si="101"/>
        <v>74.467121212440134</v>
      </c>
      <c r="FH93" s="20">
        <f t="shared" si="76"/>
        <v>679.61770277833295</v>
      </c>
      <c r="FI93" s="59">
        <f t="shared" si="77"/>
        <v>972.95103611166633</v>
      </c>
      <c r="FJ93" s="59">
        <f ca="1">AVERAGE(OFFSET($FI$3,0,0,'Données projet'!$E$16+1,1))-AVERAGE(OFFSET($H$3,0,0,'Données projet'!$E$16+1,1))</f>
        <v>232.26937455765062</v>
      </c>
      <c r="FK93" s="59">
        <f t="shared" si="102"/>
        <v>115.80853281120301</v>
      </c>
      <c r="FL93" s="15">
        <f>IF(ISNA(VLOOKUP(A93,'Données projet'!$A$217:$I$237,3,0)),0,VLOOKUP(A93,'Données projet'!$A$217:$I$237,3,0))</f>
        <v>7</v>
      </c>
      <c r="FM93" s="15">
        <f>IF(ISNA(VLOOKUP(A93,'Données projet'!$A$217:$I$237,4,0)),0,VLOOKUP(A93,'Données projet'!$A$217:$I$237,4,0))</f>
        <v>74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0.67450057239877959</v>
      </c>
      <c r="FR93" s="21">
        <f>EXP(-LN(2)/25)*FR92+(1-EXP(-LN(2)/25))/(LN(2)/25)*Calculateur!FM93*Calculateur!FO93*VLOOKUP('Données projet'!$B$16,Paramètres!$A$1:$I$89,3,0)*0.475*44/12</f>
        <v>0.83536907075364741</v>
      </c>
      <c r="FS93" s="21">
        <f>EXP(-LN(2)/2)*FS92+(1-EXP(-LN(2)/2))/(LN(2)/2)*FM93*FP93*VLOOKUP('Données projet'!$B$16,Paramètres!$A$1:$I$89,3,0)*0.475*44/12</f>
        <v>7.8191318852996947E-9</v>
      </c>
      <c r="FT93" s="22">
        <f t="shared" si="78"/>
        <v>1.5098696509715588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5.6843418860808015E-14</v>
      </c>
      <c r="GA93" s="17">
        <f>FZ93*VLOOKUP('Données projet'!$B$17,Paramètres!$A$1:$I$89,3,0)*VLOOKUP('Données projet'!$B$17,Paramètres!$A$1:$I$89,5,0)</f>
        <v>4.5224624045658861E-14</v>
      </c>
      <c r="GB93" s="13">
        <f t="shared" si="103"/>
        <v>7.4514601661523691E-13</v>
      </c>
      <c r="GC93" s="20">
        <f t="shared" si="79"/>
        <v>1.3765621991510601E-12</v>
      </c>
      <c r="GD93" s="59">
        <f t="shared" si="80"/>
        <v>293.33333333333468</v>
      </c>
      <c r="GE93" s="59">
        <f ca="1">AVERAGE(OFFSET($GD$3,0,0,'Données projet'!$E$17+1,1))-AVERAGE(OFFSET($H$3,0,0,'Données projet'!$E$17+1,1))</f>
        <v>199.58763537752952</v>
      </c>
      <c r="GF93" s="59">
        <f t="shared" si="104"/>
        <v>242.62852778451929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1.9482597234655128</v>
      </c>
      <c r="GN93" s="21">
        <f>EXP(-LN(2)/2)*GN92+(1-EXP(-LN(2)/2))/(LN(2)/2)*GH93*GK93*VLOOKUP('Données projet'!$B$17,Paramètres!$A$1:$I$89,3,0)*0.475*44/12</f>
        <v>1.0022482269648667E-8</v>
      </c>
      <c r="GO93" s="21">
        <f t="shared" si="81"/>
        <v>1.948259733487995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5.2606837606837598</v>
      </c>
      <c r="N94" s="13">
        <f>IF('Données projet'!$A$36&gt;35,N93+M94-V93,IF(A94&lt;'Données projet'!$A$36,$K$205^A94,IF(A94='Données projet'!$A$36,'Données projet'!$B$36,N93+M94-V93)))</f>
        <v>201.74786324786305</v>
      </c>
      <c r="O94" s="13">
        <f>N94*VLOOKUP('Données projet'!$B$9,Paramètres!$A$1:$I$89,3,0)*VLOOKUP('Données projet'!$B$9,Paramètres!$A$1:$I$89,5,0)</f>
        <v>182.54146666666648</v>
      </c>
      <c r="P94" s="13">
        <f t="shared" si="87"/>
        <v>45.887153462840786</v>
      </c>
      <c r="Q94" s="20">
        <f t="shared" si="54"/>
        <v>397.84651339222506</v>
      </c>
      <c r="R94" s="59">
        <f t="shared" si="55"/>
        <v>691.17984672555838</v>
      </c>
      <c r="S94" s="59">
        <f ca="1">AVERAGE(OFFSET($R$3,0,0,'Données projet'!$E$9+1,1))-AVERAGE(OFFSET($H$3,0,0,'Données projet'!$E$9+1,1))</f>
        <v>153.45079678708987</v>
      </c>
      <c r="T94" s="59">
        <f t="shared" si="88"/>
        <v>115.4217868409637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204.57233333333312</v>
      </c>
      <c r="AK94" s="13">
        <f t="shared" si="89"/>
        <v>50.747702424306688</v>
      </c>
      <c r="AL94" s="20">
        <f t="shared" si="58"/>
        <v>444.6823956112226</v>
      </c>
      <c r="AM94" s="59">
        <f t="shared" si="59"/>
        <v>738.01572894455592</v>
      </c>
      <c r="AN94" s="59">
        <f ca="1">AVERAGE(OFFSET($AM$3,0,0,'Données projet'!$E$10+1,1))-AVERAGE(OFFSET($H$3,0,0,'Données projet'!$E$10+1,1))</f>
        <v>190.21499310415584</v>
      </c>
      <c r="AO94" s="59">
        <f t="shared" si="90"/>
        <v>136.15730566500173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497</v>
      </c>
      <c r="BE94" s="13">
        <f>BD94*VLOOKUP('Données projet'!$B$11,Paramètres!$A$1:$I$89,3,0)*VLOOKUP('Données projet'!$B$11,Paramètres!$A$1:$I$89,5,0)</f>
        <v>297.20600000000002</v>
      </c>
      <c r="BF94" s="13">
        <f t="shared" si="91"/>
        <v>70.590415164571112</v>
      </c>
      <c r="BG94" s="20">
        <f t="shared" si="61"/>
        <v>640.57875641162809</v>
      </c>
      <c r="BH94" s="59">
        <f t="shared" si="62"/>
        <v>933.91208974496135</v>
      </c>
      <c r="BI94" s="59">
        <f ca="1">AVERAGE(OFFSET($BH$3,0,0,'Données projet'!$E$11+1,1))-AVERAGE(OFFSET($H$3,0,0,'Données projet'!$E$11+1,1))</f>
        <v>270.30888762640245</v>
      </c>
      <c r="BJ94" s="59">
        <f t="shared" si="92"/>
        <v>202.23783851977691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0.63994260733428932</v>
      </c>
      <c r="BQ94" s="21">
        <f>EXP(-LN(2)/25)*BQ93+(1-EXP(-LN(2)/25))/(LN(2)/25)*Calculateur!BL94*Calculateur!BN94*VLOOKUP('Données projet'!$B$11,Paramètres!$A$1:$I$89,3,0)*0.475*44/12</f>
        <v>2.2658058660650648</v>
      </c>
      <c r="BR94" s="21">
        <f>EXP(-LN(2)/2)*BR93+(1-EXP(-LN(2)/2))/(LN(2)/2)*BL94*BO94*VLOOKUP('Données projet'!$B$11,Paramètres!$A$1:$I$89,3,0)*0.475*44/12</f>
        <v>1.2178205822889012E-8</v>
      </c>
      <c r="BS94" s="22">
        <f t="shared" si="63"/>
        <v>2.9057484855775604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497</v>
      </c>
      <c r="BZ94" s="13">
        <f>BY94*VLOOKUP('Données projet'!$B$12,Paramètres!$A$1:$I$89,3,0)*VLOOKUP('Données projet'!$B$12,Paramètres!$A$1:$I$89,5,0)</f>
        <v>297.20600000000002</v>
      </c>
      <c r="CA94" s="13">
        <f t="shared" si="93"/>
        <v>70.590415164571112</v>
      </c>
      <c r="CB94" s="20">
        <f t="shared" si="64"/>
        <v>640.57875641162809</v>
      </c>
      <c r="CC94" s="59">
        <f t="shared" si="65"/>
        <v>933.91208974496135</v>
      </c>
      <c r="CD94" s="59">
        <f ca="1">AVERAGE(OFFSET($CC$3,0,0,'Données projet'!$E$12+1,1))-AVERAGE(OFFSET($H$3,0,0,'Données projet'!$E$12+1,1))</f>
        <v>270.30888762640245</v>
      </c>
      <c r="CE94" s="59">
        <f t="shared" si="94"/>
        <v>202.23783851977691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0.63994260733428932</v>
      </c>
      <c r="CL94" s="21">
        <f>EXP(-LN(2)/25)*CL93+(1-EXP(-LN(2)/25))/(LN(2)/25)*Calculateur!CG94*Calculateur!CI94*VLOOKUP('Données projet'!$B$12,Paramètres!$A$1:$I$89,3,0)*0.475*44/12</f>
        <v>2.2658058660650648</v>
      </c>
      <c r="CM94" s="21">
        <f>EXP(-LN(2)/2)*CM93+(1-EXP(-LN(2)/2))/(LN(2)/2)*CG94*CJ94*VLOOKUP('Données projet'!$B$12,Paramètres!$A$1:$I$89,3,0)*0.475*44/12</f>
        <v>1.2178205822889012E-8</v>
      </c>
      <c r="CN94" s="22">
        <f t="shared" si="66"/>
        <v>2.9057484855775604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11.242307692307691</v>
      </c>
      <c r="CT94" s="12">
        <f>IF('Données projet'!$A$140&gt;35,CT93+CS94-DB93,IF(A94&lt;'Données projet'!$A$140,$CQ$205^A94,IF(A94='Données projet'!$A$140,'Données projet'!$B$140,CT93+CS94-DB93)))</f>
        <v>424.15384615384636</v>
      </c>
      <c r="CU94" s="17">
        <f>CT94*VLOOKUP('Données projet'!$B$13,Paramètres!$A$1:$I$89,3,0)*VLOOKUP('Données projet'!$B$13,Paramètres!$A$1:$I$89,5,0)</f>
        <v>198.5040000000001</v>
      </c>
      <c r="CV94" s="13">
        <f t="shared" si="95"/>
        <v>49.415248676990458</v>
      </c>
      <c r="CW94" s="20">
        <f t="shared" si="67"/>
        <v>431.79269144575846</v>
      </c>
      <c r="CX94" s="59">
        <f t="shared" si="68"/>
        <v>725.12602477909172</v>
      </c>
      <c r="CY94" s="59">
        <f ca="1">AVERAGE(OFFSET($CX$3,0,0,'Données projet'!$E$13+1,1))-AVERAGE(OFFSET($H$3,0,0,'Données projet'!$E$13+1,1))</f>
        <v>158.58786357608489</v>
      </c>
      <c r="CZ94" s="59">
        <f t="shared" si="96"/>
        <v>163.20074068819849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3.813056537183002E-14</v>
      </c>
      <c r="DQ94" s="13">
        <f t="shared" si="97"/>
        <v>6.4086286045526829E-13</v>
      </c>
      <c r="DR94" s="20">
        <f t="shared" si="70"/>
        <v>1.1825802166488628E-12</v>
      </c>
      <c r="DS94" s="59">
        <f t="shared" si="71"/>
        <v>293.33333333333451</v>
      </c>
      <c r="DT94" s="59">
        <f ca="1">AVERAGE(OFFSET($DS$3,0,0,'Données projet'!$E$14+1,1))-AVERAGE(OFFSET($H$3,0,0,'Données projet'!$E$14+1,1))</f>
        <v>156.63226020379989</v>
      </c>
      <c r="DU94" s="59">
        <f t="shared" si="98"/>
        <v>196.0481096619543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1.5977319947359101</v>
      </c>
      <c r="EC94" s="21">
        <f>EXP(-LN(2)/2)*EC93+(1-EXP(-LN(2)/2))/(LN(2)/2)*DW94*DZ94*VLOOKUP('Données projet'!$B$14,Paramètres!$A$1:$I$89,3,0)*0.475*44/12</f>
        <v>5.9752843650821911E-9</v>
      </c>
      <c r="ED94" s="22">
        <f t="shared" si="72"/>
        <v>1.5977320007111944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5.2606837606837598</v>
      </c>
      <c r="EJ94" s="12">
        <f>IF('Données projet'!$A$192&gt;35,EJ93+EI94-ER93,IF(A94&lt;'Données projet'!$A$192,$EG$205^A94,IF(A94='Données projet'!$A$192,'Données projet'!$B$192,EJ93+EI94-ER93)))</f>
        <v>201.74786324786305</v>
      </c>
      <c r="EK94" s="17">
        <f>EJ94*VLOOKUP('Données projet'!$B$15,Paramètres!$A$1:$I$89,3,0)*VLOOKUP('Données projet'!$B$15,Paramètres!$A$1:$I$89,5,0)</f>
        <v>217.16139999999979</v>
      </c>
      <c r="EL94" s="13">
        <f t="shared" si="99"/>
        <v>53.497464499809226</v>
      </c>
      <c r="EM94" s="20">
        <f t="shared" si="73"/>
        <v>471.39752233716735</v>
      </c>
      <c r="EN94" s="59">
        <f t="shared" si="74"/>
        <v>764.73085567050066</v>
      </c>
      <c r="EO94" s="59">
        <f ca="1">AVERAGE(OFFSET($EN$3,0,0,'Données projet'!$E$15+1,1))-AVERAGE(OFFSET($H$3,0,0,'Données projet'!$E$15+1,1))</f>
        <v>211.18501783767226</v>
      </c>
      <c r="EP94" s="59">
        <f t="shared" si="100"/>
        <v>147.98306963466246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11.7</v>
      </c>
      <c r="FE94" s="12">
        <f>IF('Données projet'!$A$218&gt;35,FE93+FD94-FM93,IF(A94&lt;'Données projet'!$A$218,$FB$205^A94,IF(A94='Données projet'!$A$218,'Données projet'!$B$218,FE93+FD94-FM93)))</f>
        <v>465.69999999999982</v>
      </c>
      <c r="FF94" s="17">
        <f>FE94*VLOOKUP('Données projet'!$B$16,Paramètres!$A$1:$I$89,3,0)*VLOOKUP('Données projet'!$B$16,Paramètres!$A$1:$I$89,5,0)</f>
        <v>278.48859999999991</v>
      </c>
      <c r="FG94" s="13">
        <f t="shared" si="101"/>
        <v>66.647506069452987</v>
      </c>
      <c r="FH94" s="20">
        <f t="shared" si="76"/>
        <v>601.11205140429718</v>
      </c>
      <c r="FI94" s="59">
        <f t="shared" si="77"/>
        <v>894.44538473763055</v>
      </c>
      <c r="FJ94" s="59">
        <f ca="1">AVERAGE(OFFSET($FI$3,0,0,'Données projet'!$E$16+1,1))-AVERAGE(OFFSET($H$3,0,0,'Données projet'!$E$16+1,1))</f>
        <v>232.26937455765062</v>
      </c>
      <c r="FK94" s="59">
        <f t="shared" si="102"/>
        <v>115.80853281120301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0.66127402757876586</v>
      </c>
      <c r="FR94" s="21">
        <f>EXP(-LN(2)/25)*FR93+(1-EXP(-LN(2)/25))/(LN(2)/25)*Calculateur!FM94*Calculateur!FO94*VLOOKUP('Données projet'!$B$16,Paramètres!$A$1:$I$89,3,0)*0.475*44/12</f>
        <v>0.8125258595837388</v>
      </c>
      <c r="FS94" s="21">
        <f>EXP(-LN(2)/2)*FS93+(1-EXP(-LN(2)/2))/(LN(2)/2)*FM94*FP94*VLOOKUP('Données projet'!$B$16,Paramètres!$A$1:$I$89,3,0)*0.475*44/12</f>
        <v>5.5289611790873681E-9</v>
      </c>
      <c r="FT94" s="22">
        <f t="shared" si="78"/>
        <v>1.4737998926914659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5.6843418860808015E-14</v>
      </c>
      <c r="GA94" s="17">
        <f>FZ94*VLOOKUP('Données projet'!$B$17,Paramètres!$A$1:$I$89,3,0)*VLOOKUP('Données projet'!$B$17,Paramètres!$A$1:$I$89,5,0)</f>
        <v>4.5224624045658861E-14</v>
      </c>
      <c r="GB94" s="13">
        <f t="shared" si="103"/>
        <v>7.4514601661523691E-13</v>
      </c>
      <c r="GC94" s="20">
        <f t="shared" si="79"/>
        <v>1.3765621991510601E-12</v>
      </c>
      <c r="GD94" s="59">
        <f t="shared" si="80"/>
        <v>293.33333333333468</v>
      </c>
      <c r="GE94" s="59">
        <f ca="1">AVERAGE(OFFSET($GD$3,0,0,'Données projet'!$E$17+1,1))-AVERAGE(OFFSET($H$3,0,0,'Données projet'!$E$17+1,1))</f>
        <v>199.58763537752952</v>
      </c>
      <c r="GF94" s="59">
        <f t="shared" si="104"/>
        <v>242.62852778451929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1.8949844588728224</v>
      </c>
      <c r="GN94" s="21">
        <f>EXP(-LN(2)/2)*GN93+(1-EXP(-LN(2)/2))/(LN(2)/2)*GH94*GK94*VLOOKUP('Données projet'!$B$17,Paramètres!$A$1:$I$89,3,0)*0.475*44/12</f>
        <v>7.0869651771905125E-9</v>
      </c>
      <c r="GO94" s="21">
        <f t="shared" si="81"/>
        <v>1.8949844659597876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5.2606837606837598</v>
      </c>
      <c r="N95" s="13">
        <f>IF('Données projet'!$A$36&gt;35,N94+M95-V94,IF(A95&lt;'Données projet'!$A$36,$K$205^A95,IF(A95='Données projet'!$A$36,'Données projet'!$B$36,N94+M95-V94)))</f>
        <v>207.0085470085468</v>
      </c>
      <c r="O95" s="13">
        <f>N95*VLOOKUP('Données projet'!$B$9,Paramètres!$A$1:$I$89,3,0)*VLOOKUP('Données projet'!$B$9,Paramètres!$A$1:$I$89,5,0)</f>
        <v>187.30133333333313</v>
      </c>
      <c r="P95" s="13">
        <f t="shared" si="87"/>
        <v>46.942820134391475</v>
      </c>
      <c r="Q95" s="20">
        <f t="shared" si="54"/>
        <v>407.97523395628696</v>
      </c>
      <c r="R95" s="59">
        <f t="shared" si="55"/>
        <v>701.30856728962021</v>
      </c>
      <c r="S95" s="59">
        <f ca="1">AVERAGE(OFFSET($R$3,0,0,'Données projet'!$E$9+1,1))-AVERAGE(OFFSET($H$3,0,0,'Données projet'!$E$9+1,1))</f>
        <v>153.45079678708987</v>
      </c>
      <c r="T95" s="59">
        <f t="shared" si="88"/>
        <v>115.4217868409637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209.90666666666647</v>
      </c>
      <c r="AK95" s="13">
        <f t="shared" si="89"/>
        <v>51.915189489079573</v>
      </c>
      <c r="AL95" s="20">
        <f t="shared" si="58"/>
        <v>456.00639947125768</v>
      </c>
      <c r="AM95" s="59">
        <f t="shared" si="59"/>
        <v>749.33973280459099</v>
      </c>
      <c r="AN95" s="59">
        <f ca="1">AVERAGE(OFFSET($AM$3,0,0,'Données projet'!$E$10+1,1))-AVERAGE(OFFSET($H$3,0,0,'Données projet'!$E$10+1,1))</f>
        <v>190.21499310415584</v>
      </c>
      <c r="AO95" s="59">
        <f t="shared" si="90"/>
        <v>136.15730566500173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497</v>
      </c>
      <c r="BE95" s="13">
        <f>BD95*VLOOKUP('Données projet'!$B$11,Paramètres!$A$1:$I$89,3,0)*VLOOKUP('Données projet'!$B$11,Paramètres!$A$1:$I$89,5,0)</f>
        <v>297.20600000000002</v>
      </c>
      <c r="BF95" s="13">
        <f t="shared" si="91"/>
        <v>70.590415164571112</v>
      </c>
      <c r="BG95" s="20">
        <f t="shared" si="61"/>
        <v>640.57875641162809</v>
      </c>
      <c r="BH95" s="59">
        <f t="shared" si="62"/>
        <v>933.91208974496135</v>
      </c>
      <c r="BI95" s="59">
        <f ca="1">AVERAGE(OFFSET($BH$3,0,0,'Données projet'!$E$11+1,1))-AVERAGE(OFFSET($H$3,0,0,'Données projet'!$E$11+1,1))</f>
        <v>270.30888762640245</v>
      </c>
      <c r="BJ95" s="59">
        <f t="shared" si="92"/>
        <v>202.23783851977691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0.62739372313091279</v>
      </c>
      <c r="BQ95" s="21">
        <f>EXP(-LN(2)/25)*BQ94+(1-EXP(-LN(2)/25))/(LN(2)/25)*Calculateur!BL95*Calculateur!BN95*VLOOKUP('Données projet'!$B$11,Paramètres!$A$1:$I$89,3,0)*0.475*44/12</f>
        <v>2.2038472855039637</v>
      </c>
      <c r="BR95" s="21">
        <f>EXP(-LN(2)/2)*BR94+(1-EXP(-LN(2)/2))/(LN(2)/2)*BL95*BO95*VLOOKUP('Données projet'!$B$11,Paramètres!$A$1:$I$89,3,0)*0.475*44/12</f>
        <v>8.6112919200503193E-9</v>
      </c>
      <c r="BS95" s="22">
        <f t="shared" si="63"/>
        <v>2.8312410172461684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497</v>
      </c>
      <c r="BZ95" s="13">
        <f>BY95*VLOOKUP('Données projet'!$B$12,Paramètres!$A$1:$I$89,3,0)*VLOOKUP('Données projet'!$B$12,Paramètres!$A$1:$I$89,5,0)</f>
        <v>297.20600000000002</v>
      </c>
      <c r="CA95" s="13">
        <f t="shared" si="93"/>
        <v>70.590415164571112</v>
      </c>
      <c r="CB95" s="20">
        <f t="shared" si="64"/>
        <v>640.57875641162809</v>
      </c>
      <c r="CC95" s="59">
        <f t="shared" si="65"/>
        <v>933.91208974496135</v>
      </c>
      <c r="CD95" s="59">
        <f ca="1">AVERAGE(OFFSET($CC$3,0,0,'Données projet'!$E$12+1,1))-AVERAGE(OFFSET($H$3,0,0,'Données projet'!$E$12+1,1))</f>
        <v>270.30888762640245</v>
      </c>
      <c r="CE95" s="59">
        <f t="shared" si="94"/>
        <v>202.23783851977691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0.62739372313091279</v>
      </c>
      <c r="CL95" s="21">
        <f>EXP(-LN(2)/25)*CL94+(1-EXP(-LN(2)/25))/(LN(2)/25)*Calculateur!CG95*Calculateur!CI95*VLOOKUP('Données projet'!$B$12,Paramètres!$A$1:$I$89,3,0)*0.475*44/12</f>
        <v>2.2038472855039637</v>
      </c>
      <c r="CM95" s="21">
        <f>EXP(-LN(2)/2)*CM94+(1-EXP(-LN(2)/2))/(LN(2)/2)*CG95*CJ95*VLOOKUP('Données projet'!$B$12,Paramètres!$A$1:$I$89,3,0)*0.475*44/12</f>
        <v>8.6112919200503193E-9</v>
      </c>
      <c r="CN95" s="22">
        <f t="shared" si="66"/>
        <v>2.8312410172461684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11.242307692307691</v>
      </c>
      <c r="CT95" s="12">
        <f>IF('Données projet'!$A$140&gt;35,CT94+CS95-DB94,IF(A95&lt;'Données projet'!$A$140,$CQ$205^A95,IF(A95='Données projet'!$A$140,'Données projet'!$B$140,CT94+CS95-DB94)))</f>
        <v>435.39615384615405</v>
      </c>
      <c r="CU95" s="17">
        <f>CT95*VLOOKUP('Données projet'!$B$13,Paramètres!$A$1:$I$89,3,0)*VLOOKUP('Données projet'!$B$13,Paramètres!$A$1:$I$89,5,0)</f>
        <v>203.76540000000008</v>
      </c>
      <c r="CV95" s="13">
        <f t="shared" si="95"/>
        <v>50.570788227585879</v>
      </c>
      <c r="CW95" s="20">
        <f t="shared" si="67"/>
        <v>442.96886116304557</v>
      </c>
      <c r="CX95" s="59">
        <f t="shared" si="68"/>
        <v>736.30219449637889</v>
      </c>
      <c r="CY95" s="59">
        <f ca="1">AVERAGE(OFFSET($CX$3,0,0,'Données projet'!$E$13+1,1))-AVERAGE(OFFSET($H$3,0,0,'Données projet'!$E$13+1,1))</f>
        <v>158.58786357608489</v>
      </c>
      <c r="CZ95" s="59">
        <f t="shared" si="96"/>
        <v>163.20074068819849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3.813056537183002E-14</v>
      </c>
      <c r="DQ95" s="13">
        <f t="shared" si="97"/>
        <v>6.4086286045526829E-13</v>
      </c>
      <c r="DR95" s="20">
        <f t="shared" si="70"/>
        <v>1.1825802166488628E-12</v>
      </c>
      <c r="DS95" s="59">
        <f t="shared" si="71"/>
        <v>293.33333333333451</v>
      </c>
      <c r="DT95" s="59">
        <f ca="1">AVERAGE(OFFSET($DS$3,0,0,'Données projet'!$E$14+1,1))-AVERAGE(OFFSET($H$3,0,0,'Données projet'!$E$14+1,1))</f>
        <v>156.63226020379989</v>
      </c>
      <c r="DU95" s="59">
        <f t="shared" si="98"/>
        <v>196.0481096619543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1.5540419293187826</v>
      </c>
      <c r="EC95" s="21">
        <f>EXP(-LN(2)/2)*EC94+(1-EXP(-LN(2)/2))/(LN(2)/2)*DW95*DZ95*VLOOKUP('Données projet'!$B$14,Paramètres!$A$1:$I$89,3,0)*0.475*44/12</f>
        <v>4.2251640940675715E-9</v>
      </c>
      <c r="ED95" s="22">
        <f t="shared" si="72"/>
        <v>1.5540419335439466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5.2606837606837598</v>
      </c>
      <c r="EJ95" s="12">
        <f>IF('Données projet'!$A$192&gt;35,EJ94+EI95-ER94,IF(A95&lt;'Données projet'!$A$192,$EG$205^A95,IF(A95='Données projet'!$A$192,'Données projet'!$B$192,EJ94+EI95-ER94)))</f>
        <v>207.0085470085468</v>
      </c>
      <c r="EK95" s="17">
        <f>EJ95*VLOOKUP('Données projet'!$B$15,Paramètres!$A$1:$I$89,3,0)*VLOOKUP('Données projet'!$B$15,Paramètres!$A$1:$I$89,5,0)</f>
        <v>222.82399999999978</v>
      </c>
      <c r="EL95" s="13">
        <f t="shared" si="99"/>
        <v>54.728211801026077</v>
      </c>
      <c r="EM95" s="20">
        <f t="shared" si="73"/>
        <v>483.40343555345339</v>
      </c>
      <c r="EN95" s="59">
        <f t="shared" si="74"/>
        <v>776.73676888678665</v>
      </c>
      <c r="EO95" s="59">
        <f ca="1">AVERAGE(OFFSET($EN$3,0,0,'Données projet'!$E$15+1,1))-AVERAGE(OFFSET($H$3,0,0,'Données projet'!$E$15+1,1))</f>
        <v>211.18501783767226</v>
      </c>
      <c r="EP95" s="59">
        <f t="shared" si="100"/>
        <v>147.98306963466246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11.7</v>
      </c>
      <c r="FE95" s="12">
        <f>IF('Données projet'!$A$218&gt;35,FE94+FD95-FM94,IF(A95&lt;'Données projet'!$A$218,$FB$205^A95,IF(A95='Données projet'!$A$218,'Données projet'!$B$218,FE94+FD95-FM94)))</f>
        <v>477.39999999999981</v>
      </c>
      <c r="FF95" s="17">
        <f>FE95*VLOOKUP('Données projet'!$B$16,Paramètres!$A$1:$I$89,3,0)*VLOOKUP('Données projet'!$B$16,Paramètres!$A$1:$I$89,5,0)</f>
        <v>285.48519999999991</v>
      </c>
      <c r="FG95" s="13">
        <f t="shared" si="101"/>
        <v>68.124877232386936</v>
      </c>
      <c r="FH95" s="20">
        <f t="shared" si="76"/>
        <v>615.87088451307375</v>
      </c>
      <c r="FI95" s="59">
        <f t="shared" si="77"/>
        <v>909.20421784640712</v>
      </c>
      <c r="FJ95" s="59">
        <f ca="1">AVERAGE(OFFSET($FI$3,0,0,'Données projet'!$E$16+1,1))-AVERAGE(OFFSET($H$3,0,0,'Données projet'!$E$16+1,1))</f>
        <v>232.26937455765062</v>
      </c>
      <c r="FK95" s="59">
        <f t="shared" si="102"/>
        <v>115.80853281120301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0.64830684723527687</v>
      </c>
      <c r="FR95" s="21">
        <f>EXP(-LN(2)/25)*FR94+(1-EXP(-LN(2)/25))/(LN(2)/25)*Calculateur!FM95*Calculateur!FO95*VLOOKUP('Données projet'!$B$16,Paramètres!$A$1:$I$89,3,0)*0.475*44/12</f>
        <v>0.79030729722454351</v>
      </c>
      <c r="FS95" s="21">
        <f>EXP(-LN(2)/2)*FS94+(1-EXP(-LN(2)/2))/(LN(2)/2)*FM95*FP95*VLOOKUP('Données projet'!$B$16,Paramètres!$A$1:$I$89,3,0)*0.475*44/12</f>
        <v>3.9095659426498473E-9</v>
      </c>
      <c r="FT95" s="22">
        <f t="shared" si="78"/>
        <v>1.4386141483693864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5.6843418860808015E-14</v>
      </c>
      <c r="GA95" s="17">
        <f>FZ95*VLOOKUP('Données projet'!$B$17,Paramètres!$A$1:$I$89,3,0)*VLOOKUP('Données projet'!$B$17,Paramètres!$A$1:$I$89,5,0)</f>
        <v>4.5224624045658861E-14</v>
      </c>
      <c r="GB95" s="13">
        <f t="shared" si="103"/>
        <v>7.4514601661523691E-13</v>
      </c>
      <c r="GC95" s="20">
        <f t="shared" si="79"/>
        <v>1.3765621991510601E-12</v>
      </c>
      <c r="GD95" s="59">
        <f t="shared" si="80"/>
        <v>293.33333333333468</v>
      </c>
      <c r="GE95" s="59">
        <f ca="1">AVERAGE(OFFSET($GD$3,0,0,'Données projet'!$E$17+1,1))-AVERAGE(OFFSET($H$3,0,0,'Données projet'!$E$17+1,1))</f>
        <v>199.58763537752952</v>
      </c>
      <c r="GF95" s="59">
        <f t="shared" si="104"/>
        <v>242.62852778451929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1.8431660091920434</v>
      </c>
      <c r="GN95" s="21">
        <f>EXP(-LN(2)/2)*GN94+(1-EXP(-LN(2)/2))/(LN(2)/2)*GH95*GK95*VLOOKUP('Données projet'!$B$17,Paramètres!$A$1:$I$89,3,0)*0.475*44/12</f>
        <v>5.0112411348243337E-9</v>
      </c>
      <c r="GO95" s="21">
        <f t="shared" si="81"/>
        <v>1.8431660142032846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212.26923076923075</v>
      </c>
      <c r="L96" s="12">
        <f>VLOOKUP(A96,'Données projet'!$A$35:$I$55,9,0)</f>
        <v>5.2606837606837598</v>
      </c>
      <c r="M96" s="12">
        <f t="array" ref="M96">INDEX(L:L,MIN(IF(ISNUMBER(L96:L292),ROW(L96:L292),"")))</f>
        <v>5.2606837606837598</v>
      </c>
      <c r="N96" s="13">
        <f>IF('Données projet'!$A$36&gt;35,N95+M96-V95,IF(A96&lt;'Données projet'!$A$36,$K$205^A96,IF(A96='Données projet'!$A$36,'Données projet'!$B$36,N95+M96-V95)))</f>
        <v>212.26923076923055</v>
      </c>
      <c r="O96" s="13">
        <f>N96*VLOOKUP('Données projet'!$B$9,Paramètres!$A$1:$I$89,3,0)*VLOOKUP('Données projet'!$B$9,Paramètres!$A$1:$I$89,5,0)</f>
        <v>192.06119999999979</v>
      </c>
      <c r="P96" s="13">
        <f t="shared" si="87"/>
        <v>47.995368340490955</v>
      </c>
      <c r="Q96" s="20">
        <f t="shared" si="54"/>
        <v>418.09852319302132</v>
      </c>
      <c r="R96" s="59">
        <f t="shared" si="55"/>
        <v>711.43185652635464</v>
      </c>
      <c r="S96" s="59">
        <f ca="1">AVERAGE(OFFSET($R$3,0,0,'Données projet'!$E$9+1,1))-AVERAGE(OFFSET($H$3,0,0,'Données projet'!$E$9+1,1))</f>
        <v>153.45079678708987</v>
      </c>
      <c r="T96" s="59">
        <f t="shared" si="88"/>
        <v>115.4217868409637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30.083333333333332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215.24099999999979</v>
      </c>
      <c r="AK96" s="13">
        <f t="shared" si="89"/>
        <v>53.079227768194642</v>
      </c>
      <c r="AL96" s="20">
        <f t="shared" si="58"/>
        <v>467.32439669627183</v>
      </c>
      <c r="AM96" s="59">
        <f t="shared" si="59"/>
        <v>760.65773002960509</v>
      </c>
      <c r="AN96" s="59">
        <f ca="1">AVERAGE(OFFSET($AM$3,0,0,'Données projet'!$E$10+1,1))-AVERAGE(OFFSET($H$3,0,0,'Données projet'!$E$10+1,1))</f>
        <v>190.21499310415584</v>
      </c>
      <c r="AO96" s="59">
        <f t="shared" si="90"/>
        <v>136.15730566500173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497</v>
      </c>
      <c r="BE96" s="13">
        <f>BD96*VLOOKUP('Données projet'!$B$11,Paramètres!$A$1:$I$89,3,0)*VLOOKUP('Données projet'!$B$11,Paramètres!$A$1:$I$89,5,0)</f>
        <v>297.20600000000002</v>
      </c>
      <c r="BF96" s="13">
        <f t="shared" si="91"/>
        <v>70.590415164571112</v>
      </c>
      <c r="BG96" s="20">
        <f t="shared" si="61"/>
        <v>640.57875641162809</v>
      </c>
      <c r="BH96" s="59">
        <f t="shared" si="62"/>
        <v>933.91208974496135</v>
      </c>
      <c r="BI96" s="59">
        <f ca="1">AVERAGE(OFFSET($BH$3,0,0,'Données projet'!$E$11+1,1))-AVERAGE(OFFSET($H$3,0,0,'Données projet'!$E$11+1,1))</f>
        <v>270.30888762640245</v>
      </c>
      <c r="BJ96" s="59">
        <f t="shared" si="92"/>
        <v>202.23783851977691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0.61509091489270096</v>
      </c>
      <c r="BQ96" s="21">
        <f>EXP(-LN(2)/25)*BQ95+(1-EXP(-LN(2)/25))/(LN(2)/25)*Calculateur!BL96*Calculateur!BN96*VLOOKUP('Données projet'!$B$11,Paramètres!$A$1:$I$89,3,0)*0.475*44/12</f>
        <v>2.1435829655865661</v>
      </c>
      <c r="BR96" s="21">
        <f>EXP(-LN(2)/2)*BR95+(1-EXP(-LN(2)/2))/(LN(2)/2)*BL96*BO96*VLOOKUP('Données projet'!$B$11,Paramètres!$A$1:$I$89,3,0)*0.475*44/12</f>
        <v>6.0891029114445058E-9</v>
      </c>
      <c r="BS96" s="22">
        <f t="shared" si="63"/>
        <v>2.7586738865683702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497</v>
      </c>
      <c r="BZ96" s="13">
        <f>BY96*VLOOKUP('Données projet'!$B$12,Paramètres!$A$1:$I$89,3,0)*VLOOKUP('Données projet'!$B$12,Paramètres!$A$1:$I$89,5,0)</f>
        <v>297.20600000000002</v>
      </c>
      <c r="CA96" s="13">
        <f t="shared" si="93"/>
        <v>70.590415164571112</v>
      </c>
      <c r="CB96" s="20">
        <f t="shared" si="64"/>
        <v>640.57875641162809</v>
      </c>
      <c r="CC96" s="59">
        <f t="shared" si="65"/>
        <v>933.91208974496135</v>
      </c>
      <c r="CD96" s="59">
        <f ca="1">AVERAGE(OFFSET($CC$3,0,0,'Données projet'!$E$12+1,1))-AVERAGE(OFFSET($H$3,0,0,'Données projet'!$E$12+1,1))</f>
        <v>270.30888762640245</v>
      </c>
      <c r="CE96" s="59">
        <f t="shared" si="94"/>
        <v>202.23783851977691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0.61509091489270096</v>
      </c>
      <c r="CL96" s="21">
        <f>EXP(-LN(2)/25)*CL95+(1-EXP(-LN(2)/25))/(LN(2)/25)*Calculateur!CG96*Calculateur!CI96*VLOOKUP('Données projet'!$B$12,Paramètres!$A$1:$I$89,3,0)*0.475*44/12</f>
        <v>2.1435829655865661</v>
      </c>
      <c r="CM96" s="21">
        <f>EXP(-LN(2)/2)*CM95+(1-EXP(-LN(2)/2))/(LN(2)/2)*CG96*CJ96*VLOOKUP('Données projet'!$B$12,Paramètres!$A$1:$I$89,3,0)*0.475*44/12</f>
        <v>6.0891029114445058E-9</v>
      </c>
      <c r="CN96" s="22">
        <f t="shared" si="66"/>
        <v>2.7586738865683702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11.242307692307691</v>
      </c>
      <c r="CT96" s="12">
        <f>IF('Données projet'!$A$140&gt;35,CT95+CS96-DB95,IF(A96&lt;'Données projet'!$A$140,$CQ$205^A96,IF(A96='Données projet'!$A$140,'Données projet'!$B$140,CT95+CS96-DB95)))</f>
        <v>446.63846153846174</v>
      </c>
      <c r="CU96" s="17">
        <f>CT96*VLOOKUP('Données projet'!$B$13,Paramètres!$A$1:$I$89,3,0)*VLOOKUP('Données projet'!$B$13,Paramètres!$A$1:$I$89,5,0)</f>
        <v>209.02680000000009</v>
      </c>
      <c r="CV96" s="13">
        <f t="shared" si="95"/>
        <v>51.722859553755349</v>
      </c>
      <c r="CW96" s="20">
        <f t="shared" si="67"/>
        <v>454.13899038945743</v>
      </c>
      <c r="CX96" s="59">
        <f t="shared" si="68"/>
        <v>747.47232372279075</v>
      </c>
      <c r="CY96" s="59">
        <f ca="1">AVERAGE(OFFSET($CX$3,0,0,'Données projet'!$E$13+1,1))-AVERAGE(OFFSET($H$3,0,0,'Données projet'!$E$13+1,1))</f>
        <v>158.58786357608489</v>
      </c>
      <c r="CZ96" s="59">
        <f t="shared" si="96"/>
        <v>163.20074068819849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3.813056537183002E-14</v>
      </c>
      <c r="DQ96" s="13">
        <f t="shared" si="97"/>
        <v>6.4086286045526829E-13</v>
      </c>
      <c r="DR96" s="20">
        <f t="shared" si="70"/>
        <v>1.1825802166488628E-12</v>
      </c>
      <c r="DS96" s="59">
        <f t="shared" si="71"/>
        <v>293.33333333333451</v>
      </c>
      <c r="DT96" s="59">
        <f ca="1">AVERAGE(OFFSET($DS$3,0,0,'Données projet'!$E$14+1,1))-AVERAGE(OFFSET($H$3,0,0,'Données projet'!$E$14+1,1))</f>
        <v>156.63226020379989</v>
      </c>
      <c r="DU96" s="59">
        <f t="shared" si="98"/>
        <v>196.0481096619543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1.5115465710380473</v>
      </c>
      <c r="EC96" s="21">
        <f>EXP(-LN(2)/2)*EC95+(1-EXP(-LN(2)/2))/(LN(2)/2)*DW96*DZ96*VLOOKUP('Données projet'!$B$14,Paramètres!$A$1:$I$89,3,0)*0.475*44/12</f>
        <v>2.9876421825410956E-9</v>
      </c>
      <c r="ED96" s="22">
        <f t="shared" si="72"/>
        <v>1.5115465740256895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212.26923076923075</v>
      </c>
      <c r="EH96" s="12">
        <f>VLOOKUP(A96,'Données projet'!$A$191:$I$211,9,0)</f>
        <v>5.2606837606837598</v>
      </c>
      <c r="EI96" s="12">
        <f t="array" ref="EI96">INDEX(EH:EH,MIN(IF(ISNUMBER(EH96:EH292),ROW(EH96:EH292),"")))</f>
        <v>5.2606837606837598</v>
      </c>
      <c r="EJ96" s="12">
        <f>IF('Données projet'!$A$192&gt;35,EJ95+EI96-ER95,IF(A96&lt;'Données projet'!$A$192,$EG$205^A96,IF(A96='Données projet'!$A$192,'Données projet'!$B$192,EJ95+EI96-ER95)))</f>
        <v>212.26923076923055</v>
      </c>
      <c r="EK96" s="17">
        <f>EJ96*VLOOKUP('Données projet'!$B$15,Paramètres!$A$1:$I$89,3,0)*VLOOKUP('Données projet'!$B$15,Paramètres!$A$1:$I$89,5,0)</f>
        <v>228.48659999999975</v>
      </c>
      <c r="EL96" s="13">
        <f t="shared" si="99"/>
        <v>55.95532344428247</v>
      </c>
      <c r="EM96" s="20">
        <f t="shared" si="73"/>
        <v>495.40301666545815</v>
      </c>
      <c r="EN96" s="59">
        <f t="shared" si="74"/>
        <v>788.73634999879141</v>
      </c>
      <c r="EO96" s="59">
        <f ca="1">AVERAGE(OFFSET($EN$3,0,0,'Données projet'!$E$15+1,1))-AVERAGE(OFFSET($H$3,0,0,'Données projet'!$E$15+1,1))</f>
        <v>211.18501783767226</v>
      </c>
      <c r="EP96" s="59">
        <f t="shared" si="100"/>
        <v>147.98306963466246</v>
      </c>
      <c r="EQ96" s="15">
        <f>IF(ISNA(VLOOKUP(A96,'Données projet'!$A$191:$I$211,3,0)),0,VLOOKUP(A96,'Données projet'!$A$191:$I$211,3,0))</f>
        <v>7</v>
      </c>
      <c r="ER96" s="15">
        <f>IF(ISNA(VLOOKUP(A96,'Données projet'!$A$191:$I$211,4,0)),0,VLOOKUP(A96,'Données projet'!$A$191:$I$211,4,0))</f>
        <v>30.083333333333332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11.7</v>
      </c>
      <c r="FE96" s="12">
        <f>IF('Données projet'!$A$218&gt;35,FE95+FD96-FM95,IF(A96&lt;'Données projet'!$A$218,$FB$205^A96,IF(A96='Données projet'!$A$218,'Données projet'!$B$218,FE95+FD96-FM95)))</f>
        <v>489.0999999999998</v>
      </c>
      <c r="FF96" s="17">
        <f>FE96*VLOOKUP('Données projet'!$B$16,Paramètres!$A$1:$I$89,3,0)*VLOOKUP('Données projet'!$B$16,Paramètres!$A$1:$I$89,5,0)</f>
        <v>292.48179999999991</v>
      </c>
      <c r="FG96" s="13">
        <f t="shared" si="101"/>
        <v>69.598039455805392</v>
      </c>
      <c r="FH96" s="20">
        <f t="shared" si="76"/>
        <v>630.62238705219431</v>
      </c>
      <c r="FI96" s="59">
        <f t="shared" si="77"/>
        <v>923.95572038552768</v>
      </c>
      <c r="FJ96" s="59">
        <f ca="1">AVERAGE(OFFSET($FI$3,0,0,'Données projet'!$E$16+1,1))-AVERAGE(OFFSET($H$3,0,0,'Données projet'!$E$16+1,1))</f>
        <v>232.26937455765062</v>
      </c>
      <c r="FK96" s="59">
        <f t="shared" si="102"/>
        <v>115.80853281120301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0.63559394538912461</v>
      </c>
      <c r="FR96" s="21">
        <f>EXP(-LN(2)/25)*FR95+(1-EXP(-LN(2)/25))/(LN(2)/25)*Calculateur!FM96*Calculateur!FO96*VLOOKUP('Données projet'!$B$16,Paramètres!$A$1:$I$89,3,0)*0.475*44/12</f>
        <v>0.76869630262148392</v>
      </c>
      <c r="FS96" s="21">
        <f>EXP(-LN(2)/2)*FS95+(1-EXP(-LN(2)/2))/(LN(2)/2)*FM96*FP96*VLOOKUP('Données projet'!$B$16,Paramètres!$A$1:$I$89,3,0)*0.475*44/12</f>
        <v>2.7644805895436841E-9</v>
      </c>
      <c r="FT96" s="22">
        <f t="shared" si="78"/>
        <v>1.4042902507750892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5.6843418860808015E-14</v>
      </c>
      <c r="GA96" s="17">
        <f>FZ96*VLOOKUP('Données projet'!$B$17,Paramètres!$A$1:$I$89,3,0)*VLOOKUP('Données projet'!$B$17,Paramètres!$A$1:$I$89,5,0)</f>
        <v>4.5224624045658861E-14</v>
      </c>
      <c r="GB96" s="13">
        <f t="shared" si="103"/>
        <v>7.4514601661523691E-13</v>
      </c>
      <c r="GC96" s="20">
        <f t="shared" si="79"/>
        <v>1.3765621991510601E-12</v>
      </c>
      <c r="GD96" s="59">
        <f t="shared" si="80"/>
        <v>293.33333333333468</v>
      </c>
      <c r="GE96" s="59">
        <f ca="1">AVERAGE(OFFSET($GD$3,0,0,'Données projet'!$E$17+1,1))-AVERAGE(OFFSET($H$3,0,0,'Données projet'!$E$17+1,1))</f>
        <v>199.58763537752952</v>
      </c>
      <c r="GF96" s="59">
        <f t="shared" si="104"/>
        <v>242.62852778451929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1.7927645377427992</v>
      </c>
      <c r="GN96" s="21">
        <f>EXP(-LN(2)/2)*GN95+(1-EXP(-LN(2)/2))/(LN(2)/2)*GH96*GK96*VLOOKUP('Données projet'!$B$17,Paramètres!$A$1:$I$89,3,0)*0.475*44/12</f>
        <v>3.5434825885952562E-9</v>
      </c>
      <c r="GO96" s="21">
        <f t="shared" si="81"/>
        <v>1.7927645412862818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5.2583333333333373</v>
      </c>
      <c r="N97" s="13">
        <f>IF('Données projet'!$A$36&gt;35,N96+M97-V96,IF(A97&lt;'Données projet'!$A$36,$K$205^A97,IF(A97='Données projet'!$A$36,'Données projet'!$B$36,N96+M97-V96)))</f>
        <v>187.44423076923053</v>
      </c>
      <c r="O97" s="13">
        <f>N97*VLOOKUP('Données projet'!$B$9,Paramètres!$A$1:$I$89,3,0)*VLOOKUP('Données projet'!$B$9,Paramètres!$A$1:$I$89,5,0)</f>
        <v>169.59953999999976</v>
      </c>
      <c r="P97" s="13">
        <f t="shared" si="87"/>
        <v>43.000321559740421</v>
      </c>
      <c r="Q97" s="20">
        <f t="shared" si="54"/>
        <v>370.27809221654746</v>
      </c>
      <c r="R97" s="59">
        <f t="shared" si="55"/>
        <v>663.61142554988078</v>
      </c>
      <c r="S97" s="59">
        <f ca="1">AVERAGE(OFFSET($R$3,0,0,'Données projet'!$E$9+1,1))-AVERAGE(OFFSET($H$3,0,0,'Données projet'!$E$9+1,1))</f>
        <v>153.45079678708987</v>
      </c>
      <c r="T97" s="59">
        <f t="shared" si="88"/>
        <v>115.4217868409637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190.06844999999976</v>
      </c>
      <c r="AK97" s="13">
        <f t="shared" si="89"/>
        <v>47.555085857097623</v>
      </c>
      <c r="AL97" s="20">
        <f t="shared" si="58"/>
        <v>413.86099161777793</v>
      </c>
      <c r="AM97" s="59">
        <f t="shared" si="59"/>
        <v>707.19432495111118</v>
      </c>
      <c r="AN97" s="59">
        <f ca="1">AVERAGE(OFFSET($AM$3,0,0,'Données projet'!$E$10+1,1))-AVERAGE(OFFSET($H$3,0,0,'Données projet'!$E$10+1,1))</f>
        <v>190.21499310415584</v>
      </c>
      <c r="AO97" s="59">
        <f t="shared" si="90"/>
        <v>136.15730566500173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497</v>
      </c>
      <c r="BE97" s="13">
        <f>BD97*VLOOKUP('Données projet'!$B$11,Paramètres!$A$1:$I$89,3,0)*VLOOKUP('Données projet'!$B$11,Paramètres!$A$1:$I$89,5,0)</f>
        <v>297.20600000000002</v>
      </c>
      <c r="BF97" s="13">
        <f t="shared" si="91"/>
        <v>70.590415164571112</v>
      </c>
      <c r="BG97" s="20">
        <f t="shared" si="61"/>
        <v>640.57875641162809</v>
      </c>
      <c r="BH97" s="59">
        <f t="shared" si="62"/>
        <v>933.91208974496135</v>
      </c>
      <c r="BI97" s="59">
        <f ca="1">AVERAGE(OFFSET($BH$3,0,0,'Données projet'!$E$11+1,1))-AVERAGE(OFFSET($H$3,0,0,'Données projet'!$E$11+1,1))</f>
        <v>270.30888762640245</v>
      </c>
      <c r="BJ97" s="59">
        <f t="shared" si="92"/>
        <v>202.23783851977691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0.60302935722006834</v>
      </c>
      <c r="BQ97" s="21">
        <f>EXP(-LN(2)/25)*BQ96+(1-EXP(-LN(2)/25))/(LN(2)/25)*Calculateur!BL97*Calculateur!BN97*VLOOKUP('Données projet'!$B$11,Paramètres!$A$1:$I$89,3,0)*0.475*44/12</f>
        <v>2.0849665766664724</v>
      </c>
      <c r="BR97" s="21">
        <f>EXP(-LN(2)/2)*BR96+(1-EXP(-LN(2)/2))/(LN(2)/2)*BL97*BO97*VLOOKUP('Données projet'!$B$11,Paramètres!$A$1:$I$89,3,0)*0.475*44/12</f>
        <v>4.3056459600251596E-9</v>
      </c>
      <c r="BS97" s="22">
        <f t="shared" si="63"/>
        <v>2.687995938192187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497</v>
      </c>
      <c r="BZ97" s="13">
        <f>BY97*VLOOKUP('Données projet'!$B$12,Paramètres!$A$1:$I$89,3,0)*VLOOKUP('Données projet'!$B$12,Paramètres!$A$1:$I$89,5,0)</f>
        <v>297.20600000000002</v>
      </c>
      <c r="CA97" s="13">
        <f t="shared" si="93"/>
        <v>70.590415164571112</v>
      </c>
      <c r="CB97" s="20">
        <f t="shared" si="64"/>
        <v>640.57875641162809</v>
      </c>
      <c r="CC97" s="59">
        <f t="shared" si="65"/>
        <v>933.91208974496135</v>
      </c>
      <c r="CD97" s="59">
        <f ca="1">AVERAGE(OFFSET($CC$3,0,0,'Données projet'!$E$12+1,1))-AVERAGE(OFFSET($H$3,0,0,'Données projet'!$E$12+1,1))</f>
        <v>270.30888762640245</v>
      </c>
      <c r="CE97" s="59">
        <f t="shared" si="94"/>
        <v>202.23783851977691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0.60302935722006834</v>
      </c>
      <c r="CL97" s="21">
        <f>EXP(-LN(2)/25)*CL96+(1-EXP(-LN(2)/25))/(LN(2)/25)*Calculateur!CG97*Calculateur!CI97*VLOOKUP('Données projet'!$B$12,Paramètres!$A$1:$I$89,3,0)*0.475*44/12</f>
        <v>2.0849665766664724</v>
      </c>
      <c r="CM97" s="21">
        <f>EXP(-LN(2)/2)*CM96+(1-EXP(-LN(2)/2))/(LN(2)/2)*CG97*CJ97*VLOOKUP('Données projet'!$B$12,Paramètres!$A$1:$I$89,3,0)*0.475*44/12</f>
        <v>4.3056459600251596E-9</v>
      </c>
      <c r="CN97" s="22">
        <f t="shared" si="66"/>
        <v>2.687995938192187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11.242307692307691</v>
      </c>
      <c r="CT97" s="12">
        <f>IF('Données projet'!$A$140&gt;35,CT96+CS97-DB96,IF(A97&lt;'Données projet'!$A$140,$CQ$205^A97,IF(A97='Données projet'!$A$140,'Données projet'!$B$140,CT96+CS97-DB96)))</f>
        <v>457.88076923076943</v>
      </c>
      <c r="CU97" s="17">
        <f>CT97*VLOOKUP('Données projet'!$B$13,Paramètres!$A$1:$I$89,3,0)*VLOOKUP('Données projet'!$B$13,Paramètres!$A$1:$I$89,5,0)</f>
        <v>214.28820000000007</v>
      </c>
      <c r="CV97" s="13">
        <f t="shared" si="95"/>
        <v>52.871559993650941</v>
      </c>
      <c r="CW97" s="20">
        <f t="shared" si="67"/>
        <v>465.3032486556088</v>
      </c>
      <c r="CX97" s="59">
        <f t="shared" si="68"/>
        <v>758.63658198894211</v>
      </c>
      <c r="CY97" s="59">
        <f ca="1">AVERAGE(OFFSET($CX$3,0,0,'Données projet'!$E$13+1,1))-AVERAGE(OFFSET($H$3,0,0,'Données projet'!$E$13+1,1))</f>
        <v>158.58786357608489</v>
      </c>
      <c r="CZ97" s="59">
        <f t="shared" si="96"/>
        <v>163.20074068819849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3.813056537183002E-14</v>
      </c>
      <c r="DQ97" s="13">
        <f t="shared" si="97"/>
        <v>6.4086286045526829E-13</v>
      </c>
      <c r="DR97" s="20">
        <f t="shared" si="70"/>
        <v>1.1825802166488628E-12</v>
      </c>
      <c r="DS97" s="59">
        <f t="shared" si="71"/>
        <v>293.33333333333451</v>
      </c>
      <c r="DT97" s="59">
        <f ca="1">AVERAGE(OFFSET($DS$3,0,0,'Données projet'!$E$14+1,1))-AVERAGE(OFFSET($H$3,0,0,'Données projet'!$E$14+1,1))</f>
        <v>156.63226020379989</v>
      </c>
      <c r="DU97" s="59">
        <f t="shared" si="98"/>
        <v>196.0481096619543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1.4702132505642325</v>
      </c>
      <c r="EC97" s="21">
        <f>EXP(-LN(2)/2)*EC96+(1-EXP(-LN(2)/2))/(LN(2)/2)*DW97*DZ97*VLOOKUP('Données projet'!$B$14,Paramètres!$A$1:$I$89,3,0)*0.475*44/12</f>
        <v>2.1125820470337857E-9</v>
      </c>
      <c r="ED97" s="22">
        <f t="shared" si="72"/>
        <v>1.4702132526768146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5.2583333333333373</v>
      </c>
      <c r="EJ97" s="12">
        <f>IF('Données projet'!$A$192&gt;35,EJ96+EI97-ER96,IF(A97&lt;'Données projet'!$A$192,$EG$205^A97,IF(A97='Données projet'!$A$192,'Données projet'!$B$192,EJ96+EI97-ER96)))</f>
        <v>187.44423076923053</v>
      </c>
      <c r="EK97" s="17">
        <f>EJ97*VLOOKUP('Données projet'!$B$15,Paramètres!$A$1:$I$89,3,0)*VLOOKUP('Données projet'!$B$15,Paramètres!$A$1:$I$89,5,0)</f>
        <v>201.76496999999972</v>
      </c>
      <c r="EL97" s="13">
        <f t="shared" si="99"/>
        <v>50.131856141075623</v>
      </c>
      <c r="EM97" s="20">
        <f t="shared" si="73"/>
        <v>438.72030552903954</v>
      </c>
      <c r="EN97" s="59">
        <f t="shared" si="74"/>
        <v>732.05363886237285</v>
      </c>
      <c r="EO97" s="59">
        <f ca="1">AVERAGE(OFFSET($EN$3,0,0,'Données projet'!$E$15+1,1))-AVERAGE(OFFSET($H$3,0,0,'Données projet'!$E$15+1,1))</f>
        <v>211.18501783767226</v>
      </c>
      <c r="EP97" s="59">
        <f t="shared" si="100"/>
        <v>147.98306963466246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11.7</v>
      </c>
      <c r="FE97" s="12">
        <f>IF('Données projet'!$A$218&gt;35,FE96+FD97-FM96,IF(A97&lt;'Données projet'!$A$218,$FB$205^A97,IF(A97='Données projet'!$A$218,'Données projet'!$B$218,FE96+FD97-FM96)))</f>
        <v>500.79999999999978</v>
      </c>
      <c r="FF97" s="17">
        <f>FE97*VLOOKUP('Données projet'!$B$16,Paramètres!$A$1:$I$89,3,0)*VLOOKUP('Données projet'!$B$16,Paramètres!$A$1:$I$89,5,0)</f>
        <v>299.47839999999991</v>
      </c>
      <c r="FG97" s="13">
        <f t="shared" si="101"/>
        <v>71.067105008738878</v>
      </c>
      <c r="FH97" s="20">
        <f t="shared" si="76"/>
        <v>645.3667545568868</v>
      </c>
      <c r="FI97" s="59">
        <f t="shared" si="77"/>
        <v>938.70008789022017</v>
      </c>
      <c r="FJ97" s="59">
        <f ca="1">AVERAGE(OFFSET($FI$3,0,0,'Données projet'!$E$16+1,1))-AVERAGE(OFFSET($H$3,0,0,'Données projet'!$E$16+1,1))</f>
        <v>232.26937455765062</v>
      </c>
      <c r="FK97" s="59">
        <f t="shared" si="102"/>
        <v>115.80853281120301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0.62313033579407096</v>
      </c>
      <c r="FR97" s="21">
        <f>EXP(-LN(2)/25)*FR96+(1-EXP(-LN(2)/25))/(LN(2)/25)*Calculateur!FM97*Calculateur!FO97*VLOOKUP('Données projet'!$B$16,Paramètres!$A$1:$I$89,3,0)*0.475*44/12</f>
        <v>0.74767626180231772</v>
      </c>
      <c r="FS97" s="21">
        <f>EXP(-LN(2)/2)*FS96+(1-EXP(-LN(2)/2))/(LN(2)/2)*FM97*FP97*VLOOKUP('Données projet'!$B$16,Paramètres!$A$1:$I$89,3,0)*0.475*44/12</f>
        <v>1.9547829713249237E-9</v>
      </c>
      <c r="FT97" s="22">
        <f t="shared" si="78"/>
        <v>1.3708065995511718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5.6843418860808015E-14</v>
      </c>
      <c r="GA97" s="17">
        <f>FZ97*VLOOKUP('Données projet'!$B$17,Paramètres!$A$1:$I$89,3,0)*VLOOKUP('Données projet'!$B$17,Paramètres!$A$1:$I$89,5,0)</f>
        <v>4.5224624045658861E-14</v>
      </c>
      <c r="GB97" s="13">
        <f t="shared" si="103"/>
        <v>7.4514601661523691E-13</v>
      </c>
      <c r="GC97" s="20">
        <f t="shared" si="79"/>
        <v>1.3765621991510601E-12</v>
      </c>
      <c r="GD97" s="59">
        <f t="shared" si="80"/>
        <v>293.33333333333468</v>
      </c>
      <c r="GE97" s="59">
        <f ca="1">AVERAGE(OFFSET($GD$3,0,0,'Données projet'!$E$17+1,1))-AVERAGE(OFFSET($H$3,0,0,'Données projet'!$E$17+1,1))</f>
        <v>199.58763537752952</v>
      </c>
      <c r="GF97" s="59">
        <f t="shared" si="104"/>
        <v>242.62852778451929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1.7437412971808328</v>
      </c>
      <c r="GN97" s="21">
        <f>EXP(-LN(2)/2)*GN96+(1-EXP(-LN(2)/2))/(LN(2)/2)*GH97*GK97*VLOOKUP('Données projet'!$B$17,Paramètres!$A$1:$I$89,3,0)*0.475*44/12</f>
        <v>2.5056205674121668E-9</v>
      </c>
      <c r="GO97" s="21">
        <f t="shared" si="81"/>
        <v>1.7437412996864534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5.2583333333333373</v>
      </c>
      <c r="N98" s="13">
        <f>IF('Données projet'!$A$36&gt;35,N97+M98-V97,IF(A98&lt;'Données projet'!$A$36,$K$205^A98,IF(A98='Données projet'!$A$36,'Données projet'!$B$36,N97+M98-V97)))</f>
        <v>192.70256410256385</v>
      </c>
      <c r="O98" s="13">
        <f>N98*VLOOKUP('Données projet'!$B$9,Paramètres!$A$1:$I$89,3,0)*VLOOKUP('Données projet'!$B$9,Paramètres!$A$1:$I$89,5,0)</f>
        <v>174.35727999999978</v>
      </c>
      <c r="P98" s="13">
        <f t="shared" si="87"/>
        <v>44.064467301710017</v>
      </c>
      <c r="Q98" s="20">
        <f t="shared" si="54"/>
        <v>380.41787655047784</v>
      </c>
      <c r="R98" s="59">
        <f t="shared" si="55"/>
        <v>673.75120988381116</v>
      </c>
      <c r="S98" s="59">
        <f ca="1">AVERAGE(OFFSET($R$3,0,0,'Données projet'!$E$9+1,1))-AVERAGE(OFFSET($H$3,0,0,'Données projet'!$E$9+1,1))</f>
        <v>153.45079678708987</v>
      </c>
      <c r="T98" s="59">
        <f t="shared" si="88"/>
        <v>115.4217868409637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195.40039999999976</v>
      </c>
      <c r="AK98" s="13">
        <f t="shared" si="89"/>
        <v>48.73195012899663</v>
      </c>
      <c r="AL98" s="20">
        <f t="shared" si="58"/>
        <v>425.19717647466877</v>
      </c>
      <c r="AM98" s="59">
        <f t="shared" si="59"/>
        <v>718.53050980800208</v>
      </c>
      <c r="AN98" s="59">
        <f ca="1">AVERAGE(OFFSET($AM$3,0,0,'Données projet'!$E$10+1,1))-AVERAGE(OFFSET($H$3,0,0,'Données projet'!$E$10+1,1))</f>
        <v>190.21499310415584</v>
      </c>
      <c r="AO98" s="59">
        <f t="shared" si="90"/>
        <v>136.15730566500173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497</v>
      </c>
      <c r="BE98" s="13">
        <f>BD98*VLOOKUP('Données projet'!$B$11,Paramètres!$A$1:$I$89,3,0)*VLOOKUP('Données projet'!$B$11,Paramètres!$A$1:$I$89,5,0)</f>
        <v>297.20600000000002</v>
      </c>
      <c r="BF98" s="13">
        <f t="shared" si="91"/>
        <v>70.590415164571112</v>
      </c>
      <c r="BG98" s="20">
        <f t="shared" si="61"/>
        <v>640.57875641162809</v>
      </c>
      <c r="BH98" s="59">
        <f t="shared" si="62"/>
        <v>933.91208974496135</v>
      </c>
      <c r="BI98" s="59">
        <f ca="1">AVERAGE(OFFSET($BH$3,0,0,'Données projet'!$E$11+1,1))-AVERAGE(OFFSET($H$3,0,0,'Données projet'!$E$11+1,1))</f>
        <v>270.30888762640245</v>
      </c>
      <c r="BJ98" s="59">
        <f t="shared" si="92"/>
        <v>202.23783851977691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0.59120431933657236</v>
      </c>
      <c r="BQ98" s="21">
        <f>EXP(-LN(2)/25)*BQ97+(1-EXP(-LN(2)/25))/(LN(2)/25)*Calculateur!BL98*Calculateur!BN98*VLOOKUP('Données projet'!$B$11,Paramètres!$A$1:$I$89,3,0)*0.475*44/12</f>
        <v>2.0279530559839007</v>
      </c>
      <c r="BR98" s="21">
        <f>EXP(-LN(2)/2)*BR97+(1-EXP(-LN(2)/2))/(LN(2)/2)*BL98*BO98*VLOOKUP('Données projet'!$B$11,Paramètres!$A$1:$I$89,3,0)*0.475*44/12</f>
        <v>3.0445514557222529E-9</v>
      </c>
      <c r="BS98" s="22">
        <f t="shared" si="63"/>
        <v>2.6191573783650242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497</v>
      </c>
      <c r="BZ98" s="13">
        <f>BY98*VLOOKUP('Données projet'!$B$12,Paramètres!$A$1:$I$89,3,0)*VLOOKUP('Données projet'!$B$12,Paramètres!$A$1:$I$89,5,0)</f>
        <v>297.20600000000002</v>
      </c>
      <c r="CA98" s="13">
        <f t="shared" si="93"/>
        <v>70.590415164571112</v>
      </c>
      <c r="CB98" s="20">
        <f t="shared" si="64"/>
        <v>640.57875641162809</v>
      </c>
      <c r="CC98" s="59">
        <f t="shared" si="65"/>
        <v>933.91208974496135</v>
      </c>
      <c r="CD98" s="59">
        <f ca="1">AVERAGE(OFFSET($CC$3,0,0,'Données projet'!$E$12+1,1))-AVERAGE(OFFSET($H$3,0,0,'Données projet'!$E$12+1,1))</f>
        <v>270.30888762640245</v>
      </c>
      <c r="CE98" s="59">
        <f t="shared" si="94"/>
        <v>202.23783851977691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0.59120431933657236</v>
      </c>
      <c r="CL98" s="21">
        <f>EXP(-LN(2)/25)*CL97+(1-EXP(-LN(2)/25))/(LN(2)/25)*Calculateur!CG98*Calculateur!CI98*VLOOKUP('Données projet'!$B$12,Paramètres!$A$1:$I$89,3,0)*0.475*44/12</f>
        <v>2.0279530559839007</v>
      </c>
      <c r="CM98" s="21">
        <f>EXP(-LN(2)/2)*CM97+(1-EXP(-LN(2)/2))/(LN(2)/2)*CG98*CJ98*VLOOKUP('Données projet'!$B$12,Paramètres!$A$1:$I$89,3,0)*0.475*44/12</f>
        <v>3.0445514557222529E-9</v>
      </c>
      <c r="CN98" s="22">
        <f t="shared" si="66"/>
        <v>2.6191573783650242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469.12307692307689</v>
      </c>
      <c r="CR98" s="12">
        <f>VLOOKUP(A98,'Données projet'!$A$139:$I$159,9,0)</f>
        <v>11.242307692307691</v>
      </c>
      <c r="CS98" s="12">
        <f t="array" ref="CS98">INDEX(CR:CR,MIN(IF(ISNUMBER(CR98:CR294),ROW(CR98:CR294),"")))</f>
        <v>11.242307692307691</v>
      </c>
      <c r="CT98" s="12">
        <f>IF('Données projet'!$A$140&gt;35,CT97+CS98-DB97,IF(A98&lt;'Données projet'!$A$140,$CQ$205^A98,IF(A98='Données projet'!$A$140,'Données projet'!$B$140,CT97+CS98-DB97)))</f>
        <v>469.12307692307712</v>
      </c>
      <c r="CU98" s="17">
        <f>CT98*VLOOKUP('Données projet'!$B$13,Paramètres!$A$1:$I$89,3,0)*VLOOKUP('Données projet'!$B$13,Paramètres!$A$1:$I$89,5,0)</f>
        <v>219.54960000000008</v>
      </c>
      <c r="CV98" s="13">
        <f t="shared" si="95"/>
        <v>54.016981833057052</v>
      </c>
      <c r="CW98" s="20">
        <f t="shared" si="67"/>
        <v>476.46179669257441</v>
      </c>
      <c r="CX98" s="59">
        <f t="shared" si="68"/>
        <v>769.79513002590772</v>
      </c>
      <c r="CY98" s="59">
        <f ca="1">AVERAGE(OFFSET($CX$3,0,0,'Données projet'!$E$13+1,1))-AVERAGE(OFFSET($H$3,0,0,'Données projet'!$E$13+1,1))</f>
        <v>158.58786357608489</v>
      </c>
      <c r="CZ98" s="59">
        <f t="shared" si="96"/>
        <v>163.20074068819849</v>
      </c>
      <c r="DA98" s="15">
        <f>IF(ISNA(VLOOKUP(A98,'Données projet'!$A$139:$I$159,3,0)),0,VLOOKUP(A98,'Données projet'!$A$139:$I$159,3,0))</f>
        <v>8</v>
      </c>
      <c r="DB98" s="15">
        <f>IF(ISNA(VLOOKUP(A98,'Données projet'!$A$139:$I$159,4,0)),0,VLOOKUP(A98,'Données projet'!$A$139:$I$159,4,0))</f>
        <v>234.42307692307691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3.813056537183002E-14</v>
      </c>
      <c r="DQ98" s="13">
        <f t="shared" si="97"/>
        <v>6.4086286045526829E-13</v>
      </c>
      <c r="DR98" s="20">
        <f t="shared" si="70"/>
        <v>1.1825802166488628E-12</v>
      </c>
      <c r="DS98" s="59">
        <f t="shared" si="71"/>
        <v>293.33333333333451</v>
      </c>
      <c r="DT98" s="59">
        <f ca="1">AVERAGE(OFFSET($DS$3,0,0,'Données projet'!$E$14+1,1))-AVERAGE(OFFSET($H$3,0,0,'Données projet'!$E$14+1,1))</f>
        <v>156.63226020379989</v>
      </c>
      <c r="DU98" s="59">
        <f t="shared" si="98"/>
        <v>196.0481096619543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1.4300101919123989</v>
      </c>
      <c r="EC98" s="21">
        <f>EXP(-LN(2)/2)*EC97+(1-EXP(-LN(2)/2))/(LN(2)/2)*DW98*DZ98*VLOOKUP('Données projet'!$B$14,Paramètres!$A$1:$I$89,3,0)*0.475*44/12</f>
        <v>1.4938210912705478E-9</v>
      </c>
      <c r="ED98" s="22">
        <f t="shared" si="72"/>
        <v>1.4300101934062199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5.2583333333333373</v>
      </c>
      <c r="EJ98" s="12">
        <f>IF('Données projet'!$A$192&gt;35,EJ97+EI98-ER97,IF(A98&lt;'Données projet'!$A$192,$EG$205^A98,IF(A98='Données projet'!$A$192,'Données projet'!$B$192,EJ97+EI98-ER97)))</f>
        <v>192.70256410256385</v>
      </c>
      <c r="EK98" s="17">
        <f>EJ98*VLOOKUP('Données projet'!$B$15,Paramètres!$A$1:$I$89,3,0)*VLOOKUP('Données projet'!$B$15,Paramètres!$A$1:$I$89,5,0)</f>
        <v>207.42503999999971</v>
      </c>
      <c r="EL98" s="13">
        <f t="shared" si="99"/>
        <v>51.372488752983891</v>
      </c>
      <c r="EM98" s="20">
        <f t="shared" si="73"/>
        <v>450.73902924477983</v>
      </c>
      <c r="EN98" s="59">
        <f t="shared" si="74"/>
        <v>744.07236257811314</v>
      </c>
      <c r="EO98" s="59">
        <f ca="1">AVERAGE(OFFSET($EN$3,0,0,'Données projet'!$E$15+1,1))-AVERAGE(OFFSET($H$3,0,0,'Données projet'!$E$15+1,1))</f>
        <v>211.18501783767226</v>
      </c>
      <c r="EP98" s="59">
        <f t="shared" si="100"/>
        <v>147.98306963466246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11.7</v>
      </c>
      <c r="FE98" s="12">
        <f>IF('Données projet'!$A$218&gt;35,FE97+FD98-FM97,IF(A98&lt;'Données projet'!$A$218,$FB$205^A98,IF(A98='Données projet'!$A$218,'Données projet'!$B$218,FE97+FD98-FM97)))</f>
        <v>512.49999999999977</v>
      </c>
      <c r="FF98" s="17">
        <f>FE98*VLOOKUP('Données projet'!$B$16,Paramètres!$A$1:$I$89,3,0)*VLOOKUP('Données projet'!$B$16,Paramètres!$A$1:$I$89,5,0)</f>
        <v>306.47499999999991</v>
      </c>
      <c r="FG98" s="13">
        <f t="shared" si="101"/>
        <v>72.532180615137918</v>
      </c>
      <c r="FH98" s="20">
        <f t="shared" si="76"/>
        <v>660.10417290469843</v>
      </c>
      <c r="FI98" s="59">
        <f t="shared" si="77"/>
        <v>953.4375062380318</v>
      </c>
      <c r="FJ98" s="59">
        <f ca="1">AVERAGE(OFFSET($FI$3,0,0,'Données projet'!$E$16+1,1))-AVERAGE(OFFSET($H$3,0,0,'Données projet'!$E$16+1,1))</f>
        <v>232.26937455765062</v>
      </c>
      <c r="FK98" s="59">
        <f t="shared" si="102"/>
        <v>115.80853281120301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0.61091112998112507</v>
      </c>
      <c r="FR98" s="21">
        <f>EXP(-LN(2)/25)*FR97+(1-EXP(-LN(2)/25))/(LN(2)/25)*Calculateur!FM98*Calculateur!FO98*VLOOKUP('Données projet'!$B$16,Paramètres!$A$1:$I$89,3,0)*0.475*44/12</f>
        <v>0.72723101510474752</v>
      </c>
      <c r="FS98" s="21">
        <f>EXP(-LN(2)/2)*FS97+(1-EXP(-LN(2)/2))/(LN(2)/2)*FM98*FP98*VLOOKUP('Données projet'!$B$16,Paramètres!$A$1:$I$89,3,0)*0.475*44/12</f>
        <v>1.382240294771842E-9</v>
      </c>
      <c r="FT98" s="22">
        <f t="shared" si="78"/>
        <v>1.3381421464681129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5.6843418860808015E-14</v>
      </c>
      <c r="GA98" s="17">
        <f>FZ98*VLOOKUP('Données projet'!$B$17,Paramètres!$A$1:$I$89,3,0)*VLOOKUP('Données projet'!$B$17,Paramètres!$A$1:$I$89,5,0)</f>
        <v>4.5224624045658861E-14</v>
      </c>
      <c r="GB98" s="13">
        <f t="shared" si="103"/>
        <v>7.4514601661523691E-13</v>
      </c>
      <c r="GC98" s="20">
        <f t="shared" si="79"/>
        <v>1.3765621991510601E-12</v>
      </c>
      <c r="GD98" s="59">
        <f t="shared" si="80"/>
        <v>293.33333333333468</v>
      </c>
      <c r="GE98" s="59">
        <f ca="1">AVERAGE(OFFSET($GD$3,0,0,'Données projet'!$E$17+1,1))-AVERAGE(OFFSET($H$3,0,0,'Données projet'!$E$17+1,1))</f>
        <v>199.58763537752952</v>
      </c>
      <c r="GF98" s="59">
        <f t="shared" si="104"/>
        <v>242.62852778451929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1.6960585997100535</v>
      </c>
      <c r="GN98" s="21">
        <f>EXP(-LN(2)/2)*GN97+(1-EXP(-LN(2)/2))/(LN(2)/2)*GH98*GK98*VLOOKUP('Données projet'!$B$17,Paramètres!$A$1:$I$89,3,0)*0.475*44/12</f>
        <v>1.7717412942976281E-9</v>
      </c>
      <c r="GO98" s="21">
        <f t="shared" si="81"/>
        <v>1.6960586014817947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5.2583333333333373</v>
      </c>
      <c r="N99" s="13">
        <f>IF('Données projet'!$A$36&gt;35,N98+M99-V98,IF(A99&lt;'Données projet'!$A$36,$K$205^A99,IF(A99='Données projet'!$A$36,'Données projet'!$B$36,N98+M99-V98)))</f>
        <v>197.96089743589718</v>
      </c>
      <c r="O99" s="13">
        <f>N99*VLOOKUP('Données projet'!$B$9,Paramètres!$A$1:$I$89,3,0)*VLOOKUP('Données projet'!$B$9,Paramètres!$A$1:$I$89,5,0)</f>
        <v>179.11501999999976</v>
      </c>
      <c r="P99" s="13">
        <f t="shared" si="87"/>
        <v>45.125237978705186</v>
      </c>
      <c r="Q99" s="20">
        <f t="shared" ref="Q99:Q130" si="107">(O99+P99)*0.475*44/12</f>
        <v>390.55178264624448</v>
      </c>
      <c r="R99" s="59">
        <f t="shared" si="55"/>
        <v>683.88511597957779</v>
      </c>
      <c r="S99" s="59">
        <f ca="1">AVERAGE(OFFSET($R$3,0,0,'Données projet'!$E$9+1,1))-AVERAGE(OFFSET($H$3,0,0,'Données projet'!$E$9+1,1))</f>
        <v>153.45079678708987</v>
      </c>
      <c r="T99" s="59">
        <f t="shared" si="88"/>
        <v>115.4217868409637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200.73234999999977</v>
      </c>
      <c r="AK99" s="13">
        <f t="shared" si="89"/>
        <v>49.905081835677372</v>
      </c>
      <c r="AL99" s="20">
        <f t="shared" si="58"/>
        <v>436.52686044713772</v>
      </c>
      <c r="AM99" s="59">
        <f t="shared" si="59"/>
        <v>729.86019378047104</v>
      </c>
      <c r="AN99" s="59">
        <f ca="1">AVERAGE(OFFSET($AM$3,0,0,'Données projet'!$E$10+1,1))-AVERAGE(OFFSET($H$3,0,0,'Données projet'!$E$10+1,1))</f>
        <v>190.21499310415584</v>
      </c>
      <c r="AO99" s="59">
        <f t="shared" si="90"/>
        <v>136.15730566500173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497</v>
      </c>
      <c r="BE99" s="13">
        <f>BD99*VLOOKUP('Données projet'!$B$11,Paramètres!$A$1:$I$89,3,0)*VLOOKUP('Données projet'!$B$11,Paramètres!$A$1:$I$89,5,0)</f>
        <v>297.20600000000002</v>
      </c>
      <c r="BF99" s="13">
        <f t="shared" si="91"/>
        <v>70.590415164571112</v>
      </c>
      <c r="BG99" s="20">
        <f t="shared" si="61"/>
        <v>640.57875641162809</v>
      </c>
      <c r="BH99" s="59">
        <f t="shared" si="62"/>
        <v>933.91208974496135</v>
      </c>
      <c r="BI99" s="59">
        <f ca="1">AVERAGE(OFFSET($BH$3,0,0,'Données projet'!$E$11+1,1))-AVERAGE(OFFSET($H$3,0,0,'Données projet'!$E$11+1,1))</f>
        <v>270.30888762640245</v>
      </c>
      <c r="BJ99" s="59">
        <f t="shared" si="92"/>
        <v>202.23783851977691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0.57961116323341078</v>
      </c>
      <c r="BQ99" s="21">
        <f>EXP(-LN(2)/25)*BQ98+(1-EXP(-LN(2)/25))/(LN(2)/25)*Calculateur!BL99*Calculateur!BN99*VLOOKUP('Données projet'!$B$11,Paramètres!$A$1:$I$89,3,0)*0.475*44/12</f>
        <v>1.9724985730226048</v>
      </c>
      <c r="BR99" s="21">
        <f>EXP(-LN(2)/2)*BR98+(1-EXP(-LN(2)/2))/(LN(2)/2)*BL99*BO99*VLOOKUP('Données projet'!$B$11,Paramètres!$A$1:$I$89,3,0)*0.475*44/12</f>
        <v>2.1528229800125798E-9</v>
      </c>
      <c r="BS99" s="22">
        <f t="shared" si="63"/>
        <v>2.5521097384088383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497</v>
      </c>
      <c r="BZ99" s="13">
        <f>BY99*VLOOKUP('Données projet'!$B$12,Paramètres!$A$1:$I$89,3,0)*VLOOKUP('Données projet'!$B$12,Paramètres!$A$1:$I$89,5,0)</f>
        <v>297.20600000000002</v>
      </c>
      <c r="CA99" s="13">
        <f t="shared" si="93"/>
        <v>70.590415164571112</v>
      </c>
      <c r="CB99" s="20">
        <f t="shared" si="64"/>
        <v>640.57875641162809</v>
      </c>
      <c r="CC99" s="59">
        <f t="shared" si="65"/>
        <v>933.91208974496135</v>
      </c>
      <c r="CD99" s="59">
        <f ca="1">AVERAGE(OFFSET($CC$3,0,0,'Données projet'!$E$12+1,1))-AVERAGE(OFFSET($H$3,0,0,'Données projet'!$E$12+1,1))</f>
        <v>270.30888762640245</v>
      </c>
      <c r="CE99" s="59">
        <f t="shared" si="94"/>
        <v>202.23783851977691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0.57961116323341078</v>
      </c>
      <c r="CL99" s="21">
        <f>EXP(-LN(2)/25)*CL98+(1-EXP(-LN(2)/25))/(LN(2)/25)*Calculateur!CG99*Calculateur!CI99*VLOOKUP('Données projet'!$B$12,Paramètres!$A$1:$I$89,3,0)*0.475*44/12</f>
        <v>1.9724985730226048</v>
      </c>
      <c r="CM99" s="21">
        <f>EXP(-LN(2)/2)*CM98+(1-EXP(-LN(2)/2))/(LN(2)/2)*CG99*CJ99*VLOOKUP('Données projet'!$B$12,Paramètres!$A$1:$I$89,3,0)*0.475*44/12</f>
        <v>2.1528229800125798E-9</v>
      </c>
      <c r="CN99" s="22">
        <f t="shared" si="66"/>
        <v>2.5521097384088383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7.5015384615384617</v>
      </c>
      <c r="CT99" s="12">
        <f>IF('Données projet'!$A$140&gt;35,CT98+CS99-DB98,IF(A99&lt;'Données projet'!$A$140,$CQ$205^A99,IF(A99='Données projet'!$A$140,'Données projet'!$B$140,CT98+CS99-DB98)))</f>
        <v>242.20153846153869</v>
      </c>
      <c r="CU99" s="17">
        <f>CT99*VLOOKUP('Données projet'!$B$13,Paramètres!$A$1:$I$89,3,0)*VLOOKUP('Données projet'!$B$13,Paramètres!$A$1:$I$89,5,0)</f>
        <v>113.35032000000011</v>
      </c>
      <c r="CV99" s="13">
        <f t="shared" si="95"/>
        <v>30.118962463528121</v>
      </c>
      <c r="CW99" s="20">
        <f t="shared" si="67"/>
        <v>249.87566695731167</v>
      </c>
      <c r="CX99" s="59">
        <f t="shared" si="68"/>
        <v>543.20900029064501</v>
      </c>
      <c r="CY99" s="59">
        <f ca="1">AVERAGE(OFFSET($CX$3,0,0,'Données projet'!$E$13+1,1))-AVERAGE(OFFSET($H$3,0,0,'Données projet'!$E$13+1,1))</f>
        <v>158.58786357608489</v>
      </c>
      <c r="CZ99" s="59">
        <f t="shared" si="96"/>
        <v>163.20074068819849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3.813056537183002E-14</v>
      </c>
      <c r="DQ99" s="13">
        <f t="shared" si="97"/>
        <v>6.4086286045526829E-13</v>
      </c>
      <c r="DR99" s="20">
        <f t="shared" si="70"/>
        <v>1.1825802166488628E-12</v>
      </c>
      <c r="DS99" s="59">
        <f t="shared" si="71"/>
        <v>293.33333333333451</v>
      </c>
      <c r="DT99" s="59">
        <f ca="1">AVERAGE(OFFSET($DS$3,0,0,'Données projet'!$E$14+1,1))-AVERAGE(OFFSET($H$3,0,0,'Données projet'!$E$14+1,1))</f>
        <v>156.63226020379989</v>
      </c>
      <c r="DU99" s="59">
        <f t="shared" si="98"/>
        <v>196.0481096619543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1.3909064880135866</v>
      </c>
      <c r="EC99" s="21">
        <f>EXP(-LN(2)/2)*EC98+(1-EXP(-LN(2)/2))/(LN(2)/2)*DW99*DZ99*VLOOKUP('Données projet'!$B$14,Paramètres!$A$1:$I$89,3,0)*0.475*44/12</f>
        <v>1.0562910235168929E-9</v>
      </c>
      <c r="ED99" s="22">
        <f t="shared" si="72"/>
        <v>1.3909064890698777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5.2583333333333373</v>
      </c>
      <c r="EJ99" s="12">
        <f>IF('Données projet'!$A$192&gt;35,EJ98+EI99-ER98,IF(A99&lt;'Données projet'!$A$192,$EG$205^A99,IF(A99='Données projet'!$A$192,'Données projet'!$B$192,EJ98+EI99-ER98)))</f>
        <v>197.96089743589718</v>
      </c>
      <c r="EK99" s="17">
        <f>EJ99*VLOOKUP('Données projet'!$B$15,Paramètres!$A$1:$I$89,3,0)*VLOOKUP('Données projet'!$B$15,Paramètres!$A$1:$I$89,5,0)</f>
        <v>213.08510999999973</v>
      </c>
      <c r="EL99" s="13">
        <f t="shared" si="99"/>
        <v>52.609186550787896</v>
      </c>
      <c r="EM99" s="20">
        <f t="shared" si="73"/>
        <v>462.75089982595506</v>
      </c>
      <c r="EN99" s="59">
        <f t="shared" si="74"/>
        <v>756.08423315928837</v>
      </c>
      <c r="EO99" s="59">
        <f ca="1">AVERAGE(OFFSET($EN$3,0,0,'Données projet'!$E$15+1,1))-AVERAGE(OFFSET($H$3,0,0,'Données projet'!$E$15+1,1))</f>
        <v>211.18501783767226</v>
      </c>
      <c r="EP99" s="59">
        <f t="shared" si="100"/>
        <v>147.98306963466246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11.7</v>
      </c>
      <c r="FE99" s="12">
        <f>IF('Données projet'!$A$218&gt;35,FE98+FD99-FM98,IF(A99&lt;'Données projet'!$A$218,$FB$205^A99,IF(A99='Données projet'!$A$218,'Données projet'!$B$218,FE98+FD99-FM98)))</f>
        <v>524.19999999999982</v>
      </c>
      <c r="FF99" s="17">
        <f>FE99*VLOOKUP('Données projet'!$B$16,Paramètres!$A$1:$I$89,3,0)*VLOOKUP('Données projet'!$B$16,Paramètres!$A$1:$I$89,5,0)</f>
        <v>313.47159999999991</v>
      </c>
      <c r="FG99" s="13">
        <f t="shared" si="101"/>
        <v>73.99336784799263</v>
      </c>
      <c r="FH99" s="20">
        <f t="shared" si="76"/>
        <v>674.83481900192021</v>
      </c>
      <c r="FI99" s="59">
        <f t="shared" si="77"/>
        <v>968.16815233525358</v>
      </c>
      <c r="FJ99" s="59">
        <f ca="1">AVERAGE(OFFSET($FI$3,0,0,'Données projet'!$E$16+1,1))-AVERAGE(OFFSET($H$3,0,0,'Données projet'!$E$16+1,1))</f>
        <v>232.26937455765062</v>
      </c>
      <c r="FK99" s="59">
        <f t="shared" si="102"/>
        <v>115.80853281120301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0.59893153534119137</v>
      </c>
      <c r="FR99" s="21">
        <f>EXP(-LN(2)/25)*FR98+(1-EXP(-LN(2)/25))/(LN(2)/25)*Calculateur!FM99*Calculateur!FO99*VLOOKUP('Données projet'!$B$16,Paramètres!$A$1:$I$89,3,0)*0.475*44/12</f>
        <v>0.70734484475329118</v>
      </c>
      <c r="FS99" s="21">
        <f>EXP(-LN(2)/2)*FS98+(1-EXP(-LN(2)/2))/(LN(2)/2)*FM99*FP99*VLOOKUP('Données projet'!$B$16,Paramètres!$A$1:$I$89,3,0)*0.475*44/12</f>
        <v>9.7739148566246183E-10</v>
      </c>
      <c r="FT99" s="22">
        <f t="shared" si="78"/>
        <v>1.306276381071874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5.6843418860808015E-14</v>
      </c>
      <c r="GA99" s="17">
        <f>FZ99*VLOOKUP('Données projet'!$B$17,Paramètres!$A$1:$I$89,3,0)*VLOOKUP('Données projet'!$B$17,Paramètres!$A$1:$I$89,5,0)</f>
        <v>4.5224624045658861E-14</v>
      </c>
      <c r="GB99" s="13">
        <f t="shared" si="103"/>
        <v>7.4514601661523691E-13</v>
      </c>
      <c r="GC99" s="20">
        <f t="shared" si="79"/>
        <v>1.3765621991510601E-12</v>
      </c>
      <c r="GD99" s="59">
        <f t="shared" si="80"/>
        <v>293.33333333333468</v>
      </c>
      <c r="GE99" s="59">
        <f ca="1">AVERAGE(OFFSET($GD$3,0,0,'Données projet'!$E$17+1,1))-AVERAGE(OFFSET($H$3,0,0,'Données projet'!$E$17+1,1))</f>
        <v>199.58763537752952</v>
      </c>
      <c r="GF99" s="59">
        <f t="shared" si="104"/>
        <v>242.62852778451929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1.6496797881091367</v>
      </c>
      <c r="GN99" s="21">
        <f>EXP(-LN(2)/2)*GN98+(1-EXP(-LN(2)/2))/(LN(2)/2)*GH99*GK99*VLOOKUP('Données projet'!$B$17,Paramètres!$A$1:$I$89,3,0)*0.475*44/12</f>
        <v>1.2528102837060834E-9</v>
      </c>
      <c r="GO99" s="21">
        <f t="shared" si="81"/>
        <v>1.649679789361947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5.2583333333333373</v>
      </c>
      <c r="N100" s="13">
        <f>IF('Données projet'!$A$36&gt;35,N99+M100-V99,IF(A100&lt;'Données projet'!$A$36,$K$205^A100,IF(A100='Données projet'!$A$36,'Données projet'!$B$36,N99+M100-V99)))</f>
        <v>203.21923076923051</v>
      </c>
      <c r="O100" s="13">
        <f>N100*VLOOKUP('Données projet'!$B$9,Paramètres!$A$1:$I$89,3,0)*VLOOKUP('Données projet'!$B$9,Paramètres!$A$1:$I$89,5,0)</f>
        <v>183.87275999999974</v>
      </c>
      <c r="P100" s="13">
        <f t="shared" si="87"/>
        <v>46.182733545341328</v>
      </c>
      <c r="Q100" s="20">
        <f t="shared" si="107"/>
        <v>400.67998459146901</v>
      </c>
      <c r="R100" s="59">
        <f t="shared" si="55"/>
        <v>694.01331792480232</v>
      </c>
      <c r="S100" s="59">
        <f ca="1">AVERAGE(OFFSET($R$3,0,0,'Données projet'!$E$9+1,1))-AVERAGE(OFFSET($H$3,0,0,'Données projet'!$E$9+1,1))</f>
        <v>153.45079678708987</v>
      </c>
      <c r="T100" s="59">
        <f t="shared" si="88"/>
        <v>115.4217868409637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206.06429999999975</v>
      </c>
      <c r="AK100" s="13">
        <f t="shared" si="89"/>
        <v>51.074591519343635</v>
      </c>
      <c r="AL100" s="20">
        <f t="shared" si="58"/>
        <v>447.85023606285631</v>
      </c>
      <c r="AM100" s="59">
        <f t="shared" si="59"/>
        <v>741.18356939618957</v>
      </c>
      <c r="AN100" s="59">
        <f ca="1">AVERAGE(OFFSET($AM$3,0,0,'Données projet'!$E$10+1,1))-AVERAGE(OFFSET($H$3,0,0,'Données projet'!$E$10+1,1))</f>
        <v>190.21499310415584</v>
      </c>
      <c r="AO100" s="59">
        <f t="shared" si="90"/>
        <v>136.15730566500173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497</v>
      </c>
      <c r="BE100" s="13">
        <f>BD100*VLOOKUP('Données projet'!$B$11,Paramètres!$A$1:$I$89,3,0)*VLOOKUP('Données projet'!$B$11,Paramètres!$A$1:$I$89,5,0)</f>
        <v>297.20600000000002</v>
      </c>
      <c r="BF100" s="13">
        <f t="shared" si="91"/>
        <v>70.590415164571112</v>
      </c>
      <c r="BG100" s="20">
        <f t="shared" si="61"/>
        <v>640.57875641162809</v>
      </c>
      <c r="BH100" s="59">
        <f t="shared" si="62"/>
        <v>933.91208974496135</v>
      </c>
      <c r="BI100" s="59">
        <f ca="1">AVERAGE(OFFSET($BH$3,0,0,'Données projet'!$E$11+1,1))-AVERAGE(OFFSET($H$3,0,0,'Données projet'!$E$11+1,1))</f>
        <v>270.30888762640245</v>
      </c>
      <c r="BJ100" s="59">
        <f t="shared" si="92"/>
        <v>202.23783851977691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0.56824534185030517</v>
      </c>
      <c r="BQ100" s="21">
        <f>EXP(-LN(2)/25)*BQ99+(1-EXP(-LN(2)/25))/(LN(2)/25)*Calculateur!BL100*Calculateur!BN100*VLOOKUP('Données projet'!$B$11,Paramètres!$A$1:$I$89,3,0)*0.475*44/12</f>
        <v>1.9185604958141098</v>
      </c>
      <c r="BR100" s="21">
        <f>EXP(-LN(2)/2)*BR99+(1-EXP(-LN(2)/2))/(LN(2)/2)*BL100*BO100*VLOOKUP('Données projet'!$B$11,Paramètres!$A$1:$I$89,3,0)*0.475*44/12</f>
        <v>1.5222757278611265E-9</v>
      </c>
      <c r="BS100" s="22">
        <f t="shared" si="63"/>
        <v>2.4868058391866907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497</v>
      </c>
      <c r="BZ100" s="13">
        <f>BY100*VLOOKUP('Données projet'!$B$12,Paramètres!$A$1:$I$89,3,0)*VLOOKUP('Données projet'!$B$12,Paramètres!$A$1:$I$89,5,0)</f>
        <v>297.20600000000002</v>
      </c>
      <c r="CA100" s="13">
        <f t="shared" si="93"/>
        <v>70.590415164571112</v>
      </c>
      <c r="CB100" s="20">
        <f t="shared" si="64"/>
        <v>640.57875641162809</v>
      </c>
      <c r="CC100" s="59">
        <f t="shared" si="65"/>
        <v>933.91208974496135</v>
      </c>
      <c r="CD100" s="59">
        <f ca="1">AVERAGE(OFFSET($CC$3,0,0,'Données projet'!$E$12+1,1))-AVERAGE(OFFSET($H$3,0,0,'Données projet'!$E$12+1,1))</f>
        <v>270.30888762640245</v>
      </c>
      <c r="CE100" s="59">
        <f t="shared" si="94"/>
        <v>202.23783851977691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0.56824534185030517</v>
      </c>
      <c r="CL100" s="21">
        <f>EXP(-LN(2)/25)*CL99+(1-EXP(-LN(2)/25))/(LN(2)/25)*Calculateur!CG100*Calculateur!CI100*VLOOKUP('Données projet'!$B$12,Paramètres!$A$1:$I$89,3,0)*0.475*44/12</f>
        <v>1.9185604958141098</v>
      </c>
      <c r="CM100" s="21">
        <f>EXP(-LN(2)/2)*CM99+(1-EXP(-LN(2)/2))/(LN(2)/2)*CG100*CJ100*VLOOKUP('Données projet'!$B$12,Paramètres!$A$1:$I$89,3,0)*0.475*44/12</f>
        <v>1.5222757278611265E-9</v>
      </c>
      <c r="CN100" s="22">
        <f t="shared" si="66"/>
        <v>2.4868058391866907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7.5015384615384617</v>
      </c>
      <c r="CT100" s="12">
        <f>IF('Données projet'!$A$140&gt;35,CT99+CS100-DB99,IF(A100&lt;'Données projet'!$A$140,$CQ$205^A100,IF(A100='Données projet'!$A$140,'Données projet'!$B$140,CT99+CS100-DB99)))</f>
        <v>249.70307692307716</v>
      </c>
      <c r="CU100" s="17">
        <f>CT100*VLOOKUP('Données projet'!$B$13,Paramètres!$A$1:$I$89,3,0)*VLOOKUP('Données projet'!$B$13,Paramètres!$A$1:$I$89,5,0)</f>
        <v>116.86104000000012</v>
      </c>
      <c r="CV100" s="13">
        <f t="shared" si="95"/>
        <v>30.941762857231797</v>
      </c>
      <c r="CW100" s="20">
        <f t="shared" si="67"/>
        <v>257.42321497634555</v>
      </c>
      <c r="CX100" s="59">
        <f t="shared" si="68"/>
        <v>550.75654830967892</v>
      </c>
      <c r="CY100" s="59">
        <f ca="1">AVERAGE(OFFSET($CX$3,0,0,'Données projet'!$E$13+1,1))-AVERAGE(OFFSET($H$3,0,0,'Données projet'!$E$13+1,1))</f>
        <v>158.58786357608489</v>
      </c>
      <c r="CZ100" s="59">
        <f t="shared" si="96"/>
        <v>163.20074068819849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3.813056537183002E-14</v>
      </c>
      <c r="DQ100" s="13">
        <f t="shared" si="97"/>
        <v>6.4086286045526829E-13</v>
      </c>
      <c r="DR100" s="20">
        <f t="shared" si="70"/>
        <v>1.1825802166488628E-12</v>
      </c>
      <c r="DS100" s="59">
        <f t="shared" si="71"/>
        <v>293.33333333333451</v>
      </c>
      <c r="DT100" s="59">
        <f ca="1">AVERAGE(OFFSET($DS$3,0,0,'Données projet'!$E$14+1,1))-AVERAGE(OFFSET($H$3,0,0,'Données projet'!$E$14+1,1))</f>
        <v>156.63226020379989</v>
      </c>
      <c r="DU100" s="59">
        <f t="shared" si="98"/>
        <v>196.0481096619543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1.3528720769542619</v>
      </c>
      <c r="EC100" s="21">
        <f>EXP(-LN(2)/2)*EC99+(1-EXP(-LN(2)/2))/(LN(2)/2)*DW100*DZ100*VLOOKUP('Données projet'!$B$14,Paramètres!$A$1:$I$89,3,0)*0.475*44/12</f>
        <v>7.4691054563527389E-10</v>
      </c>
      <c r="ED100" s="22">
        <f t="shared" si="72"/>
        <v>1.3528720777011725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5.2583333333333373</v>
      </c>
      <c r="EJ100" s="12">
        <f>IF('Données projet'!$A$192&gt;35,EJ99+EI100-ER99,IF(A100&lt;'Données projet'!$A$192,$EG$205^A100,IF(A100='Données projet'!$A$192,'Données projet'!$B$192,EJ99+EI100-ER99)))</f>
        <v>203.21923076923051</v>
      </c>
      <c r="EK100" s="17">
        <f>EJ100*VLOOKUP('Données projet'!$B$15,Paramètres!$A$1:$I$89,3,0)*VLOOKUP('Données projet'!$B$15,Paramètres!$A$1:$I$89,5,0)</f>
        <v>218.74517999999969</v>
      </c>
      <c r="EL100" s="13">
        <f t="shared" si="99"/>
        <v>53.842066066416017</v>
      </c>
      <c r="EM100" s="20">
        <f t="shared" si="73"/>
        <v>474.75612023234066</v>
      </c>
      <c r="EN100" s="59">
        <f t="shared" si="74"/>
        <v>768.08945356567392</v>
      </c>
      <c r="EO100" s="59">
        <f ca="1">AVERAGE(OFFSET($EN$3,0,0,'Données projet'!$E$15+1,1))-AVERAGE(OFFSET($H$3,0,0,'Données projet'!$E$15+1,1))</f>
        <v>211.18501783767226</v>
      </c>
      <c r="EP100" s="59">
        <f t="shared" si="100"/>
        <v>147.98306963466246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11.7</v>
      </c>
      <c r="FE100" s="12">
        <f>IF('Données projet'!$A$218&gt;35,FE99+FD100-FM99,IF(A100&lt;'Données projet'!$A$218,$FB$205^A100,IF(A100='Données projet'!$A$218,'Données projet'!$B$218,FE99+FD100-FM99)))</f>
        <v>535.89999999999986</v>
      </c>
      <c r="FF100" s="17">
        <f>FE100*VLOOKUP('Données projet'!$B$16,Paramètres!$A$1:$I$89,3,0)*VLOOKUP('Données projet'!$B$16,Paramètres!$A$1:$I$89,5,0)</f>
        <v>320.46819999999997</v>
      </c>
      <c r="FG100" s="13">
        <f t="shared" si="101"/>
        <v>75.45076348727298</v>
      </c>
      <c r="FH100" s="20">
        <f t="shared" si="76"/>
        <v>689.55886140700034</v>
      </c>
      <c r="FI100" s="59">
        <f t="shared" si="77"/>
        <v>982.89219474033371</v>
      </c>
      <c r="FJ100" s="59">
        <f ca="1">AVERAGE(OFFSET($FI$3,0,0,'Données projet'!$E$16+1,1))-AVERAGE(OFFSET($H$3,0,0,'Données projet'!$E$16+1,1))</f>
        <v>232.26937455765062</v>
      </c>
      <c r="FK100" s="59">
        <f t="shared" si="102"/>
        <v>115.80853281120301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0.58718685324531561</v>
      </c>
      <c r="FR100" s="21">
        <f>EXP(-LN(2)/25)*FR99+(1-EXP(-LN(2)/25))/(LN(2)/25)*Calculateur!FM100*Calculateur!FO100*VLOOKUP('Données projet'!$B$16,Paramètres!$A$1:$I$89,3,0)*0.475*44/12</f>
        <v>0.68800246277586374</v>
      </c>
      <c r="FS100" s="21">
        <f>EXP(-LN(2)/2)*FS99+(1-EXP(-LN(2)/2))/(LN(2)/2)*FM100*FP100*VLOOKUP('Données projet'!$B$16,Paramètres!$A$1:$I$89,3,0)*0.475*44/12</f>
        <v>6.9112014738592101E-10</v>
      </c>
      <c r="FT100" s="22">
        <f t="shared" si="78"/>
        <v>1.2751893167122994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5.6843418860808015E-14</v>
      </c>
      <c r="GA100" s="17">
        <f>FZ100*VLOOKUP('Données projet'!$B$17,Paramètres!$A$1:$I$89,3,0)*VLOOKUP('Données projet'!$B$17,Paramètres!$A$1:$I$89,5,0)</f>
        <v>4.5224624045658861E-14</v>
      </c>
      <c r="GB100" s="13">
        <f t="shared" si="103"/>
        <v>7.4514601661523691E-13</v>
      </c>
      <c r="GC100" s="20">
        <f t="shared" si="79"/>
        <v>1.3765621991510601E-12</v>
      </c>
      <c r="GD100" s="59">
        <f t="shared" si="80"/>
        <v>293.33333333333468</v>
      </c>
      <c r="GE100" s="59">
        <f ca="1">AVERAGE(OFFSET($GD$3,0,0,'Données projet'!$E$17+1,1))-AVERAGE(OFFSET($H$3,0,0,'Données projet'!$E$17+1,1))</f>
        <v>199.58763537752952</v>
      </c>
      <c r="GF100" s="59">
        <f t="shared" si="104"/>
        <v>242.62852778451929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1.6045692075504028</v>
      </c>
      <c r="GN100" s="21">
        <f>EXP(-LN(2)/2)*GN99+(1-EXP(-LN(2)/2))/(LN(2)/2)*GH100*GK100*VLOOKUP('Données projet'!$B$17,Paramètres!$A$1:$I$89,3,0)*0.475*44/12</f>
        <v>8.8587064714881406E-10</v>
      </c>
      <c r="GO100" s="21">
        <f t="shared" si="81"/>
        <v>1.6045692084362735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5.2583333333333373</v>
      </c>
      <c r="N101" s="13">
        <f>IF('Données projet'!$A$36&gt;35,N100+M101-V100,IF(A101&lt;'Données projet'!$A$36,$K$205^A101,IF(A101='Données projet'!$A$36,'Données projet'!$B$36,N100+M101-V100)))</f>
        <v>208.47756410256383</v>
      </c>
      <c r="O101" s="13">
        <f>N101*VLOOKUP('Données projet'!$B$9,Paramètres!$A$1:$I$89,3,0)*VLOOKUP('Données projet'!$B$9,Paramètres!$A$1:$I$89,5,0)</f>
        <v>188.63049999999973</v>
      </c>
      <c r="P101" s="13">
        <f t="shared" si="87"/>
        <v>47.237048488890842</v>
      </c>
      <c r="Q101" s="20">
        <f t="shared" si="107"/>
        <v>410.80264695148441</v>
      </c>
      <c r="R101" s="59">
        <f t="shared" si="55"/>
        <v>704.13598028481772</v>
      </c>
      <c r="S101" s="59">
        <f ca="1">AVERAGE(OFFSET($R$3,0,0,'Données projet'!$E$9+1,1))-AVERAGE(OFFSET($H$3,0,0,'Données projet'!$E$9+1,1))</f>
        <v>153.45079678708987</v>
      </c>
      <c r="T101" s="59">
        <f t="shared" si="88"/>
        <v>115.4217868409637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211.39624999999972</v>
      </c>
      <c r="AK101" s="13">
        <f t="shared" si="89"/>
        <v>52.240583675733987</v>
      </c>
      <c r="AL101" s="20">
        <f t="shared" si="58"/>
        <v>459.16748531856956</v>
      </c>
      <c r="AM101" s="59">
        <f t="shared" si="59"/>
        <v>752.50081865190282</v>
      </c>
      <c r="AN101" s="59">
        <f ca="1">AVERAGE(OFFSET($AM$3,0,0,'Données projet'!$E$10+1,1))-AVERAGE(OFFSET($H$3,0,0,'Données projet'!$E$10+1,1))</f>
        <v>190.21499310415584</v>
      </c>
      <c r="AO101" s="59">
        <f t="shared" si="90"/>
        <v>136.15730566500173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497</v>
      </c>
      <c r="BE101" s="13">
        <f>BD101*VLOOKUP('Données projet'!$B$11,Paramètres!$A$1:$I$89,3,0)*VLOOKUP('Données projet'!$B$11,Paramètres!$A$1:$I$89,5,0)</f>
        <v>297.20600000000002</v>
      </c>
      <c r="BF101" s="13">
        <f t="shared" si="91"/>
        <v>70.590415164571112</v>
      </c>
      <c r="BG101" s="20">
        <f t="shared" si="61"/>
        <v>640.57875641162809</v>
      </c>
      <c r="BH101" s="59">
        <f t="shared" si="62"/>
        <v>933.91208974496135</v>
      </c>
      <c r="BI101" s="59">
        <f ca="1">AVERAGE(OFFSET($BH$3,0,0,'Données projet'!$E$11+1,1))-AVERAGE(OFFSET($H$3,0,0,'Données projet'!$E$11+1,1))</f>
        <v>270.30888762640245</v>
      </c>
      <c r="BJ101" s="59">
        <f t="shared" si="92"/>
        <v>202.23783851977691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0.5571023972920558</v>
      </c>
      <c r="BQ101" s="21">
        <f>EXP(-LN(2)/25)*BQ100+(1-EXP(-LN(2)/25))/(LN(2)/25)*Calculateur!BL101*Calculateur!BN101*VLOOKUP('Données projet'!$B$11,Paramètres!$A$1:$I$89,3,0)*0.475*44/12</f>
        <v>1.8660973581633615</v>
      </c>
      <c r="BR101" s="21">
        <f>EXP(-LN(2)/2)*BR100+(1-EXP(-LN(2)/2))/(LN(2)/2)*BL101*BO101*VLOOKUP('Données projet'!$B$11,Paramètres!$A$1:$I$89,3,0)*0.475*44/12</f>
        <v>1.0764114900062899E-9</v>
      </c>
      <c r="BS101" s="22">
        <f t="shared" si="63"/>
        <v>2.4231997565318286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497</v>
      </c>
      <c r="BZ101" s="13">
        <f>BY101*VLOOKUP('Données projet'!$B$12,Paramètres!$A$1:$I$89,3,0)*VLOOKUP('Données projet'!$B$12,Paramètres!$A$1:$I$89,5,0)</f>
        <v>297.20600000000002</v>
      </c>
      <c r="CA101" s="13">
        <f t="shared" si="93"/>
        <v>70.590415164571112</v>
      </c>
      <c r="CB101" s="20">
        <f t="shared" si="64"/>
        <v>640.57875641162809</v>
      </c>
      <c r="CC101" s="59">
        <f t="shared" si="65"/>
        <v>933.91208974496135</v>
      </c>
      <c r="CD101" s="59">
        <f ca="1">AVERAGE(OFFSET($CC$3,0,0,'Données projet'!$E$12+1,1))-AVERAGE(OFFSET($H$3,0,0,'Données projet'!$E$12+1,1))</f>
        <v>270.30888762640245</v>
      </c>
      <c r="CE101" s="59">
        <f t="shared" si="94"/>
        <v>202.23783851977691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0.5571023972920558</v>
      </c>
      <c r="CL101" s="21">
        <f>EXP(-LN(2)/25)*CL100+(1-EXP(-LN(2)/25))/(LN(2)/25)*Calculateur!CG101*Calculateur!CI101*VLOOKUP('Données projet'!$B$12,Paramètres!$A$1:$I$89,3,0)*0.475*44/12</f>
        <v>1.8660973581633615</v>
      </c>
      <c r="CM101" s="21">
        <f>EXP(-LN(2)/2)*CM100+(1-EXP(-LN(2)/2))/(LN(2)/2)*CG101*CJ101*VLOOKUP('Données projet'!$B$12,Paramètres!$A$1:$I$89,3,0)*0.475*44/12</f>
        <v>1.0764114900062899E-9</v>
      </c>
      <c r="CN101" s="22">
        <f t="shared" si="66"/>
        <v>2.4231997565318286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7.5015384615384617</v>
      </c>
      <c r="CT101" s="12">
        <f>IF('Données projet'!$A$140&gt;35,CT100+CS101-DB100,IF(A101&lt;'Données projet'!$A$140,$CQ$205^A101,IF(A101='Données projet'!$A$140,'Données projet'!$B$140,CT100+CS101-DB100)))</f>
        <v>257.20461538461564</v>
      </c>
      <c r="CU101" s="17">
        <f>CT101*VLOOKUP('Données projet'!$B$13,Paramètres!$A$1:$I$89,3,0)*VLOOKUP('Données projet'!$B$13,Paramètres!$A$1:$I$89,5,0)</f>
        <v>120.37176000000012</v>
      </c>
      <c r="CV101" s="13">
        <f t="shared" si="95"/>
        <v>31.761690593555869</v>
      </c>
      <c r="CW101" s="20">
        <f t="shared" si="67"/>
        <v>264.96575978377672</v>
      </c>
      <c r="CX101" s="59">
        <f t="shared" si="68"/>
        <v>558.29909311711003</v>
      </c>
      <c r="CY101" s="59">
        <f ca="1">AVERAGE(OFFSET($CX$3,0,0,'Données projet'!$E$13+1,1))-AVERAGE(OFFSET($H$3,0,0,'Données projet'!$E$13+1,1))</f>
        <v>158.58786357608489</v>
      </c>
      <c r="CZ101" s="59">
        <f t="shared" si="96"/>
        <v>163.20074068819849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3.813056537183002E-14</v>
      </c>
      <c r="DQ101" s="13">
        <f t="shared" si="97"/>
        <v>6.4086286045526829E-13</v>
      </c>
      <c r="DR101" s="20">
        <f t="shared" si="70"/>
        <v>1.1825802166488628E-12</v>
      </c>
      <c r="DS101" s="59">
        <f t="shared" si="71"/>
        <v>293.33333333333451</v>
      </c>
      <c r="DT101" s="59">
        <f ca="1">AVERAGE(OFFSET($DS$3,0,0,'Données projet'!$E$14+1,1))-AVERAGE(OFFSET($H$3,0,0,'Données projet'!$E$14+1,1))</f>
        <v>156.63226020379989</v>
      </c>
      <c r="DU101" s="59">
        <f t="shared" si="98"/>
        <v>196.0481096619543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1.3158777188654971</v>
      </c>
      <c r="EC101" s="21">
        <f>EXP(-LN(2)/2)*EC100+(1-EXP(-LN(2)/2))/(LN(2)/2)*DW101*DZ101*VLOOKUP('Données projet'!$B$14,Paramètres!$A$1:$I$89,3,0)*0.475*44/12</f>
        <v>5.2814551175844643E-10</v>
      </c>
      <c r="ED101" s="22">
        <f t="shared" si="72"/>
        <v>1.3158777193936426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5.2583333333333373</v>
      </c>
      <c r="EJ101" s="12">
        <f>IF('Données projet'!$A$192&gt;35,EJ100+EI101-ER100,IF(A101&lt;'Données projet'!$A$192,$EG$205^A101,IF(A101='Données projet'!$A$192,'Données projet'!$B$192,EJ100+EI101-ER100)))</f>
        <v>208.47756410256383</v>
      </c>
      <c r="EK101" s="17">
        <f>EJ101*VLOOKUP('Données projet'!$B$15,Paramètres!$A$1:$I$89,3,0)*VLOOKUP('Données projet'!$B$15,Paramètres!$A$1:$I$89,5,0)</f>
        <v>224.40524999999971</v>
      </c>
      <c r="EL101" s="13">
        <f t="shared" si="99"/>
        <v>55.071237457703909</v>
      </c>
      <c r="EM101" s="20">
        <f t="shared" si="73"/>
        <v>486.75488232216713</v>
      </c>
      <c r="EN101" s="59">
        <f t="shared" si="74"/>
        <v>780.08821565550045</v>
      </c>
      <c r="EO101" s="59">
        <f ca="1">AVERAGE(OFFSET($EN$3,0,0,'Données projet'!$E$15+1,1))-AVERAGE(OFFSET($H$3,0,0,'Données projet'!$E$15+1,1))</f>
        <v>211.18501783767226</v>
      </c>
      <c r="EP101" s="59">
        <f t="shared" si="100"/>
        <v>147.98306963466246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11.7</v>
      </c>
      <c r="FE101" s="12">
        <f>IF('Données projet'!$A$218&gt;35,FE100+FD101-FM100,IF(A101&lt;'Données projet'!$A$218,$FB$205^A101,IF(A101='Données projet'!$A$218,'Données projet'!$B$218,FE100+FD101-FM100)))</f>
        <v>547.59999999999991</v>
      </c>
      <c r="FF101" s="17">
        <f>FE101*VLOOKUP('Données projet'!$B$16,Paramètres!$A$1:$I$89,3,0)*VLOOKUP('Données projet'!$B$16,Paramètres!$A$1:$I$89,5,0)</f>
        <v>327.46479999999997</v>
      </c>
      <c r="FG101" s="13">
        <f t="shared" si="101"/>
        <v>76.904459845729477</v>
      </c>
      <c r="FH101" s="20">
        <f t="shared" si="76"/>
        <v>704.27646089797872</v>
      </c>
      <c r="FI101" s="59">
        <f t="shared" si="77"/>
        <v>997.60979423131198</v>
      </c>
      <c r="FJ101" s="59">
        <f ca="1">AVERAGE(OFFSET($FI$3,0,0,'Données projet'!$E$16+1,1))-AVERAGE(OFFSET($H$3,0,0,'Données projet'!$E$16+1,1))</f>
        <v>232.26937455765062</v>
      </c>
      <c r="FK101" s="59">
        <f t="shared" si="102"/>
        <v>115.80853281120301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0.57567247720179127</v>
      </c>
      <c r="FR101" s="21">
        <f>EXP(-LN(2)/25)*FR100+(1-EXP(-LN(2)/25))/(LN(2)/25)*Calculateur!FM101*Calculateur!FO101*VLOOKUP('Données projet'!$B$16,Paramètres!$A$1:$I$89,3,0)*0.475*44/12</f>
        <v>0.66918899925078068</v>
      </c>
      <c r="FS101" s="21">
        <f>EXP(-LN(2)/2)*FS100+(1-EXP(-LN(2)/2))/(LN(2)/2)*FM101*FP101*VLOOKUP('Données projet'!$B$16,Paramètres!$A$1:$I$89,3,0)*0.475*44/12</f>
        <v>4.8869574283123092E-10</v>
      </c>
      <c r="FT101" s="22">
        <f t="shared" si="78"/>
        <v>1.2448614769412676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5.6843418860808015E-14</v>
      </c>
      <c r="GA101" s="17">
        <f>FZ101*VLOOKUP('Données projet'!$B$17,Paramètres!$A$1:$I$89,3,0)*VLOOKUP('Données projet'!$B$17,Paramètres!$A$1:$I$89,5,0)</f>
        <v>4.5224624045658861E-14</v>
      </c>
      <c r="GB101" s="13">
        <f t="shared" si="103"/>
        <v>7.4514601661523691E-13</v>
      </c>
      <c r="GC101" s="20">
        <f t="shared" si="79"/>
        <v>1.3765621991510601E-12</v>
      </c>
      <c r="GD101" s="59">
        <f t="shared" si="80"/>
        <v>293.33333333333468</v>
      </c>
      <c r="GE101" s="59">
        <f ca="1">AVERAGE(OFFSET($GD$3,0,0,'Données projet'!$E$17+1,1))-AVERAGE(OFFSET($H$3,0,0,'Données projet'!$E$17+1,1))</f>
        <v>199.58763537752952</v>
      </c>
      <c r="GF101" s="59">
        <f t="shared" si="104"/>
        <v>242.62852778451929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1.5606921781893097</v>
      </c>
      <c r="GN101" s="21">
        <f>EXP(-LN(2)/2)*GN100+(1-EXP(-LN(2)/2))/(LN(2)/2)*GH101*GK101*VLOOKUP('Données projet'!$B$17,Paramètres!$A$1:$I$89,3,0)*0.475*44/12</f>
        <v>6.2640514185304171E-10</v>
      </c>
      <c r="GO101" s="21">
        <f t="shared" si="81"/>
        <v>1.5606921788157149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5.2583333333333373</v>
      </c>
      <c r="N102" s="13">
        <f>IF('Données projet'!$A$36&gt;35,N101+M102-V101,IF(A102&lt;'Données projet'!$A$36,$K$205^A102,IF(A102='Données projet'!$A$36,'Données projet'!$B$36,N101+M102-V101)))</f>
        <v>213.73589743589716</v>
      </c>
      <c r="O102" s="13">
        <f>N102*VLOOKUP('Données projet'!$B$9,Paramètres!$A$1:$I$89,3,0)*VLOOKUP('Données projet'!$B$9,Paramètres!$A$1:$I$89,5,0)</f>
        <v>193.38823999999974</v>
      </c>
      <c r="P102" s="13">
        <f t="shared" si="87"/>
        <v>48.288272258589146</v>
      </c>
      <c r="Q102" s="20">
        <f t="shared" si="107"/>
        <v>420.91992551704237</v>
      </c>
      <c r="R102" s="59">
        <f t="shared" si="55"/>
        <v>714.25325885037569</v>
      </c>
      <c r="S102" s="59">
        <f ca="1">AVERAGE(OFFSET($R$3,0,0,'Données projet'!$E$9+1,1))-AVERAGE(OFFSET($H$3,0,0,'Données projet'!$E$9+1,1))</f>
        <v>153.45079678708987</v>
      </c>
      <c r="T102" s="59">
        <f t="shared" si="88"/>
        <v>115.4217868409637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216.72819999999976</v>
      </c>
      <c r="AK102" s="13">
        <f t="shared" si="89"/>
        <v>53.403157228900795</v>
      </c>
      <c r="AL102" s="20">
        <f t="shared" si="58"/>
        <v>470.47878050700183</v>
      </c>
      <c r="AM102" s="59">
        <f t="shared" si="59"/>
        <v>763.81211384033509</v>
      </c>
      <c r="AN102" s="59">
        <f ca="1">AVERAGE(OFFSET($AM$3,0,0,'Données projet'!$E$10+1,1))-AVERAGE(OFFSET($H$3,0,0,'Données projet'!$E$10+1,1))</f>
        <v>190.21499310415584</v>
      </c>
      <c r="AO102" s="59">
        <f t="shared" si="90"/>
        <v>136.15730566500173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497</v>
      </c>
      <c r="BE102" s="13">
        <f>BD102*VLOOKUP('Données projet'!$B$11,Paramètres!$A$1:$I$89,3,0)*VLOOKUP('Données projet'!$B$11,Paramètres!$A$1:$I$89,5,0)</f>
        <v>297.20600000000002</v>
      </c>
      <c r="BF102" s="13">
        <f t="shared" si="91"/>
        <v>70.590415164571112</v>
      </c>
      <c r="BG102" s="20">
        <f t="shared" si="61"/>
        <v>640.57875641162809</v>
      </c>
      <c r="BH102" s="59">
        <f t="shared" si="62"/>
        <v>933.91208974496135</v>
      </c>
      <c r="BI102" s="59">
        <f ca="1">AVERAGE(OFFSET($BH$3,0,0,'Données projet'!$E$11+1,1))-AVERAGE(OFFSET($H$3,0,0,'Données projet'!$E$11+1,1))</f>
        <v>270.30888762640245</v>
      </c>
      <c r="BJ102" s="59">
        <f t="shared" si="92"/>
        <v>202.23783851977691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0.54617795908006861</v>
      </c>
      <c r="BQ102" s="21">
        <f>EXP(-LN(2)/25)*BQ101+(1-EXP(-LN(2)/25))/(LN(2)/25)*Calculateur!BL102*Calculateur!BN102*VLOOKUP('Données projet'!$B$11,Paramètres!$A$1:$I$89,3,0)*0.475*44/12</f>
        <v>1.8150688277705893</v>
      </c>
      <c r="BR102" s="21">
        <f>EXP(-LN(2)/2)*BR101+(1-EXP(-LN(2)/2))/(LN(2)/2)*BL102*BO102*VLOOKUP('Données projet'!$B$11,Paramètres!$A$1:$I$89,3,0)*0.475*44/12</f>
        <v>7.6113786393056323E-10</v>
      </c>
      <c r="BS102" s="22">
        <f t="shared" si="63"/>
        <v>2.3612467876117957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497</v>
      </c>
      <c r="BZ102" s="13">
        <f>BY102*VLOOKUP('Données projet'!$B$12,Paramètres!$A$1:$I$89,3,0)*VLOOKUP('Données projet'!$B$12,Paramètres!$A$1:$I$89,5,0)</f>
        <v>297.20600000000002</v>
      </c>
      <c r="CA102" s="13">
        <f t="shared" si="93"/>
        <v>70.590415164571112</v>
      </c>
      <c r="CB102" s="20">
        <f t="shared" si="64"/>
        <v>640.57875641162809</v>
      </c>
      <c r="CC102" s="59">
        <f t="shared" si="65"/>
        <v>933.91208974496135</v>
      </c>
      <c r="CD102" s="59">
        <f ca="1">AVERAGE(OFFSET($CC$3,0,0,'Données projet'!$E$12+1,1))-AVERAGE(OFFSET($H$3,0,0,'Données projet'!$E$12+1,1))</f>
        <v>270.30888762640245</v>
      </c>
      <c r="CE102" s="59">
        <f t="shared" si="94"/>
        <v>202.23783851977691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0.54617795908006861</v>
      </c>
      <c r="CL102" s="21">
        <f>EXP(-LN(2)/25)*CL101+(1-EXP(-LN(2)/25))/(LN(2)/25)*Calculateur!CG102*Calculateur!CI102*VLOOKUP('Données projet'!$B$12,Paramètres!$A$1:$I$89,3,0)*0.475*44/12</f>
        <v>1.8150688277705893</v>
      </c>
      <c r="CM102" s="21">
        <f>EXP(-LN(2)/2)*CM101+(1-EXP(-LN(2)/2))/(LN(2)/2)*CG102*CJ102*VLOOKUP('Données projet'!$B$12,Paramètres!$A$1:$I$89,3,0)*0.475*44/12</f>
        <v>7.6113786393056323E-10</v>
      </c>
      <c r="CN102" s="22">
        <f t="shared" si="66"/>
        <v>2.3612467876117957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7.5015384615384617</v>
      </c>
      <c r="CT102" s="12">
        <f>IF('Données projet'!$A$140&gt;35,CT101+CS102-DB101,IF(A102&lt;'Données projet'!$A$140,$CQ$205^A102,IF(A102='Données projet'!$A$140,'Données projet'!$B$140,CT101+CS102-DB101)))</f>
        <v>264.70615384615411</v>
      </c>
      <c r="CU102" s="17">
        <f>CT102*VLOOKUP('Données projet'!$B$13,Paramètres!$A$1:$I$89,3,0)*VLOOKUP('Données projet'!$B$13,Paramètres!$A$1:$I$89,5,0)</f>
        <v>123.88248000000011</v>
      </c>
      <c r="CV102" s="13">
        <f t="shared" si="95"/>
        <v>32.578839075986679</v>
      </c>
      <c r="CW102" s="20">
        <f t="shared" si="67"/>
        <v>272.50346405734365</v>
      </c>
      <c r="CX102" s="59">
        <f t="shared" si="68"/>
        <v>565.83679739067702</v>
      </c>
      <c r="CY102" s="59">
        <f ca="1">AVERAGE(OFFSET($CX$3,0,0,'Données projet'!$E$13+1,1))-AVERAGE(OFFSET($H$3,0,0,'Données projet'!$E$13+1,1))</f>
        <v>158.58786357608489</v>
      </c>
      <c r="CZ102" s="59">
        <f t="shared" si="96"/>
        <v>163.20074068819849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3.813056537183002E-14</v>
      </c>
      <c r="DQ102" s="13">
        <f t="shared" si="97"/>
        <v>6.4086286045526829E-13</v>
      </c>
      <c r="DR102" s="20">
        <f t="shared" si="70"/>
        <v>1.1825802166488628E-12</v>
      </c>
      <c r="DS102" s="59">
        <f t="shared" si="71"/>
        <v>293.33333333333451</v>
      </c>
      <c r="DT102" s="59">
        <f ca="1">AVERAGE(OFFSET($DS$3,0,0,'Données projet'!$E$14+1,1))-AVERAGE(OFFSET($H$3,0,0,'Données projet'!$E$14+1,1))</f>
        <v>156.63226020379989</v>
      </c>
      <c r="DU102" s="59">
        <f t="shared" si="98"/>
        <v>196.0481096619543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1.2798949734441183</v>
      </c>
      <c r="EC102" s="21">
        <f>EXP(-LN(2)/2)*EC101+(1-EXP(-LN(2)/2))/(LN(2)/2)*DW102*DZ102*VLOOKUP('Données projet'!$B$14,Paramètres!$A$1:$I$89,3,0)*0.475*44/12</f>
        <v>3.7345527281763694E-10</v>
      </c>
      <c r="ED102" s="22">
        <f t="shared" si="72"/>
        <v>1.2798949738175736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5.2583333333333373</v>
      </c>
      <c r="EJ102" s="12">
        <f>IF('Données projet'!$A$192&gt;35,EJ101+EI102-ER101,IF(A102&lt;'Données projet'!$A$192,$EG$205^A102,IF(A102='Données projet'!$A$192,'Données projet'!$B$192,EJ101+EI102-ER101)))</f>
        <v>213.73589743589716</v>
      </c>
      <c r="EK102" s="17">
        <f>EJ102*VLOOKUP('Données projet'!$B$15,Paramètres!$A$1:$I$89,3,0)*VLOOKUP('Données projet'!$B$15,Paramètres!$A$1:$I$89,5,0)</f>
        <v>230.0653199999997</v>
      </c>
      <c r="EL102" s="13">
        <f t="shared" si="99"/>
        <v>56.296805008899462</v>
      </c>
      <c r="EM102" s="20">
        <f t="shared" si="73"/>
        <v>498.74736772383267</v>
      </c>
      <c r="EN102" s="59">
        <f t="shared" si="74"/>
        <v>792.08070105716592</v>
      </c>
      <c r="EO102" s="59">
        <f ca="1">AVERAGE(OFFSET($EN$3,0,0,'Données projet'!$E$15+1,1))-AVERAGE(OFFSET($H$3,0,0,'Données projet'!$E$15+1,1))</f>
        <v>211.18501783767226</v>
      </c>
      <c r="EP102" s="59">
        <f t="shared" si="100"/>
        <v>147.98306963466246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11.7</v>
      </c>
      <c r="FE102" s="12">
        <f>IF('Données projet'!$A$218&gt;35,FE101+FD102-FM101,IF(A102&lt;'Données projet'!$A$218,$FB$205^A102,IF(A102='Données projet'!$A$218,'Données projet'!$B$218,FE101+FD102-FM101)))</f>
        <v>559.29999999999995</v>
      </c>
      <c r="FF102" s="17">
        <f>FE102*VLOOKUP('Données projet'!$B$16,Paramètres!$A$1:$I$89,3,0)*VLOOKUP('Données projet'!$B$16,Paramètres!$A$1:$I$89,5,0)</f>
        <v>334.46139999999997</v>
      </c>
      <c r="FG102" s="13">
        <f t="shared" si="101"/>
        <v>78.354545066063253</v>
      </c>
      <c r="FH102" s="20">
        <f t="shared" si="76"/>
        <v>718.9877709900602</v>
      </c>
      <c r="FI102" s="59">
        <f t="shared" si="77"/>
        <v>1012.3211043233935</v>
      </c>
      <c r="FJ102" s="59">
        <f ca="1">AVERAGE(OFFSET($FI$3,0,0,'Données projet'!$E$16+1,1))-AVERAGE(OFFSET($H$3,0,0,'Données projet'!$E$16+1,1))</f>
        <v>232.26937455765062</v>
      </c>
      <c r="FK102" s="59">
        <f t="shared" si="102"/>
        <v>115.80853281120301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0.56438389104940445</v>
      </c>
      <c r="FR102" s="21">
        <f>EXP(-LN(2)/25)*FR101+(1-EXP(-LN(2)/25))/(LN(2)/25)*Calculateur!FM102*Calculateur!FO102*VLOOKUP('Données projet'!$B$16,Paramètres!$A$1:$I$89,3,0)*0.475*44/12</f>
        <v>0.65088999087514809</v>
      </c>
      <c r="FS102" s="21">
        <f>EXP(-LN(2)/2)*FS101+(1-EXP(-LN(2)/2))/(LN(2)/2)*FM102*FP102*VLOOKUP('Données projet'!$B$16,Paramètres!$A$1:$I$89,3,0)*0.475*44/12</f>
        <v>3.4556007369296051E-10</v>
      </c>
      <c r="FT102" s="22">
        <f t="shared" si="78"/>
        <v>1.2152738822701126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5.6843418860808015E-14</v>
      </c>
      <c r="GA102" s="17">
        <f>FZ102*VLOOKUP('Données projet'!$B$17,Paramètres!$A$1:$I$89,3,0)*VLOOKUP('Données projet'!$B$17,Paramètres!$A$1:$I$89,5,0)</f>
        <v>4.5224624045658861E-14</v>
      </c>
      <c r="GB102" s="13">
        <f t="shared" si="103"/>
        <v>7.4514601661523691E-13</v>
      </c>
      <c r="GC102" s="20">
        <f t="shared" si="79"/>
        <v>1.3765621991510601E-12</v>
      </c>
      <c r="GD102" s="59">
        <f t="shared" si="80"/>
        <v>293.33333333333468</v>
      </c>
      <c r="GE102" s="59">
        <f ca="1">AVERAGE(OFFSET($GD$3,0,0,'Données projet'!$E$17+1,1))-AVERAGE(OFFSET($H$3,0,0,'Données projet'!$E$17+1,1))</f>
        <v>199.58763537752952</v>
      </c>
      <c r="GF102" s="59">
        <f t="shared" si="104"/>
        <v>242.62852778451929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1.5180149685034885</v>
      </c>
      <c r="GN102" s="21">
        <f>EXP(-LN(2)/2)*GN101+(1-EXP(-LN(2)/2))/(LN(2)/2)*GH102*GK102*VLOOKUP('Données projet'!$B$17,Paramètres!$A$1:$I$89,3,0)*0.475*44/12</f>
        <v>4.4293532357440703E-10</v>
      </c>
      <c r="GO102" s="21">
        <f t="shared" si="81"/>
        <v>1.5180149689464237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5.2583333333333373</v>
      </c>
      <c r="N103" s="13">
        <f>IF('Données projet'!$A$36&gt;35,N102+M103-V102,IF(A103&lt;'Données projet'!$A$36,$K$205^A103,IF(A103='Données projet'!$A$36,'Données projet'!$B$36,N102+M103-V102)))</f>
        <v>218.99423076923048</v>
      </c>
      <c r="O103" s="13">
        <f>N103*VLOOKUP('Données projet'!$B$9,Paramètres!$A$1:$I$89,3,0)*VLOOKUP('Données projet'!$B$9,Paramètres!$A$1:$I$89,5,0)</f>
        <v>198.14597999999972</v>
      </c>
      <c r="P103" s="13">
        <f t="shared" si="87"/>
        <v>49.336489651503598</v>
      </c>
      <c r="Q103" s="20">
        <f t="shared" si="107"/>
        <v>431.03196797636821</v>
      </c>
      <c r="R103" s="59">
        <f t="shared" si="55"/>
        <v>724.36530130970152</v>
      </c>
      <c r="S103" s="59">
        <f ca="1">AVERAGE(OFFSET($R$3,0,0,'Données projet'!$E$9+1,1))-AVERAGE(OFFSET($H$3,0,0,'Données projet'!$E$9+1,1))</f>
        <v>153.45079678708987</v>
      </c>
      <c r="T103" s="59">
        <f t="shared" si="88"/>
        <v>115.4217868409637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222.06014999999974</v>
      </c>
      <c r="AK103" s="13">
        <f t="shared" si="89"/>
        <v>54.562405957952684</v>
      </c>
      <c r="AL103" s="20">
        <f t="shared" si="58"/>
        <v>481.78428496010048</v>
      </c>
      <c r="AM103" s="59">
        <f t="shared" si="59"/>
        <v>775.11761829343379</v>
      </c>
      <c r="AN103" s="59">
        <f ca="1">AVERAGE(OFFSET($AM$3,0,0,'Données projet'!$E$10+1,1))-AVERAGE(OFFSET($H$3,0,0,'Données projet'!$E$10+1,1))</f>
        <v>190.21499310415584</v>
      </c>
      <c r="AO103" s="59">
        <f t="shared" si="90"/>
        <v>136.15730566500173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497</v>
      </c>
      <c r="BE103" s="13">
        <f>BD103*VLOOKUP('Données projet'!$B$11,Paramètres!$A$1:$I$89,3,0)*VLOOKUP('Données projet'!$B$11,Paramètres!$A$1:$I$89,5,0)</f>
        <v>297.20600000000002</v>
      </c>
      <c r="BF103" s="13">
        <f t="shared" si="91"/>
        <v>70.590415164571112</v>
      </c>
      <c r="BG103" s="20">
        <f t="shared" si="61"/>
        <v>640.57875641162809</v>
      </c>
      <c r="BH103" s="59">
        <f t="shared" si="62"/>
        <v>933.91208974496135</v>
      </c>
      <c r="BI103" s="59">
        <f ca="1">AVERAGE(OFFSET($BH$3,0,0,'Données projet'!$E$11+1,1))-AVERAGE(OFFSET($H$3,0,0,'Données projet'!$E$11+1,1))</f>
        <v>270.30888762640245</v>
      </c>
      <c r="BJ103" s="59">
        <f t="shared" si="92"/>
        <v>202.23783851977691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0.53546774243816908</v>
      </c>
      <c r="BQ103" s="21">
        <f>EXP(-LN(2)/25)*BQ102+(1-EXP(-LN(2)/25))/(LN(2)/25)*Calculateur!BL103*Calculateur!BN103*VLOOKUP('Données projet'!$B$11,Paramètres!$A$1:$I$89,3,0)*0.475*44/12</f>
        <v>1.7654356752248812</v>
      </c>
      <c r="BR103" s="21">
        <f>EXP(-LN(2)/2)*BR102+(1-EXP(-LN(2)/2))/(LN(2)/2)*BL103*BO103*VLOOKUP('Données projet'!$B$11,Paramètres!$A$1:$I$89,3,0)*0.475*44/12</f>
        <v>5.3820574500314495E-10</v>
      </c>
      <c r="BS103" s="22">
        <f t="shared" si="63"/>
        <v>2.3009034182012562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497</v>
      </c>
      <c r="BZ103" s="13">
        <f>BY103*VLOOKUP('Données projet'!$B$12,Paramètres!$A$1:$I$89,3,0)*VLOOKUP('Données projet'!$B$12,Paramètres!$A$1:$I$89,5,0)</f>
        <v>297.20600000000002</v>
      </c>
      <c r="CA103" s="13">
        <f t="shared" si="93"/>
        <v>70.590415164571112</v>
      </c>
      <c r="CB103" s="20">
        <f t="shared" si="64"/>
        <v>640.57875641162809</v>
      </c>
      <c r="CC103" s="59">
        <f t="shared" si="65"/>
        <v>933.91208974496135</v>
      </c>
      <c r="CD103" s="59">
        <f ca="1">AVERAGE(OFFSET($CC$3,0,0,'Données projet'!$E$12+1,1))-AVERAGE(OFFSET($H$3,0,0,'Données projet'!$E$12+1,1))</f>
        <v>270.30888762640245</v>
      </c>
      <c r="CE103" s="59">
        <f t="shared" si="94"/>
        <v>202.23783851977691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0.53546774243816908</v>
      </c>
      <c r="CL103" s="21">
        <f>EXP(-LN(2)/25)*CL102+(1-EXP(-LN(2)/25))/(LN(2)/25)*Calculateur!CG103*Calculateur!CI103*VLOOKUP('Données projet'!$B$12,Paramètres!$A$1:$I$89,3,0)*0.475*44/12</f>
        <v>1.7654356752248812</v>
      </c>
      <c r="CM103" s="21">
        <f>EXP(-LN(2)/2)*CM102+(1-EXP(-LN(2)/2))/(LN(2)/2)*CG103*CJ103*VLOOKUP('Données projet'!$B$12,Paramètres!$A$1:$I$89,3,0)*0.475*44/12</f>
        <v>5.3820574500314495E-10</v>
      </c>
      <c r="CN103" s="22">
        <f t="shared" si="66"/>
        <v>2.3009034182012562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7.5015384615384617</v>
      </c>
      <c r="CT103" s="12">
        <f>IF('Données projet'!$A$140&gt;35,CT102+CS103-DB102,IF(A103&lt;'Données projet'!$A$140,$CQ$205^A103,IF(A103='Données projet'!$A$140,'Données projet'!$B$140,CT102+CS103-DB102)))</f>
        <v>272.20769230769258</v>
      </c>
      <c r="CU103" s="17">
        <f>CT103*VLOOKUP('Données projet'!$B$13,Paramètres!$A$1:$I$89,3,0)*VLOOKUP('Données projet'!$B$13,Paramètres!$A$1:$I$89,5,0)</f>
        <v>127.39320000000012</v>
      </c>
      <c r="CV103" s="13">
        <f t="shared" si="95"/>
        <v>33.393296112922592</v>
      </c>
      <c r="CW103" s="20">
        <f t="shared" si="67"/>
        <v>280.03648073000704</v>
      </c>
      <c r="CX103" s="59">
        <f t="shared" si="68"/>
        <v>573.3698140633403</v>
      </c>
      <c r="CY103" s="59">
        <f ca="1">AVERAGE(OFFSET($CX$3,0,0,'Données projet'!$E$13+1,1))-AVERAGE(OFFSET($H$3,0,0,'Données projet'!$E$13+1,1))</f>
        <v>158.58786357608489</v>
      </c>
      <c r="CZ103" s="59">
        <f t="shared" si="96"/>
        <v>163.20074068819849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3.813056537183002E-14</v>
      </c>
      <c r="DQ103" s="13">
        <f t="shared" si="97"/>
        <v>6.4086286045526829E-13</v>
      </c>
      <c r="DR103" s="20">
        <f t="shared" si="70"/>
        <v>1.1825802166488628E-12</v>
      </c>
      <c r="DS103" s="59">
        <f t="shared" si="71"/>
        <v>293.33333333333451</v>
      </c>
      <c r="DT103" s="59">
        <f ca="1">AVERAGE(OFFSET($DS$3,0,0,'Données projet'!$E$14+1,1))-AVERAGE(OFFSET($H$3,0,0,'Données projet'!$E$14+1,1))</f>
        <v>156.63226020379989</v>
      </c>
      <c r="DU103" s="59">
        <f t="shared" si="98"/>
        <v>196.0481096619543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1.2448961780885375</v>
      </c>
      <c r="EC103" s="21">
        <f>EXP(-LN(2)/2)*EC102+(1-EXP(-LN(2)/2))/(LN(2)/2)*DW103*DZ103*VLOOKUP('Données projet'!$B$14,Paramètres!$A$1:$I$89,3,0)*0.475*44/12</f>
        <v>2.6407275587922322E-10</v>
      </c>
      <c r="ED103" s="22">
        <f t="shared" si="72"/>
        <v>1.2448961783526102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5.2583333333333373</v>
      </c>
      <c r="EJ103" s="12">
        <f>IF('Données projet'!$A$192&gt;35,EJ102+EI103-ER102,IF(A103&lt;'Données projet'!$A$192,$EG$205^A103,IF(A103='Données projet'!$A$192,'Données projet'!$B$192,EJ102+EI103-ER102)))</f>
        <v>218.99423076923048</v>
      </c>
      <c r="EK103" s="17">
        <f>EJ103*VLOOKUP('Données projet'!$B$15,Paramètres!$A$1:$I$89,3,0)*VLOOKUP('Données projet'!$B$15,Paramètres!$A$1:$I$89,5,0)</f>
        <v>235.72538999999969</v>
      </c>
      <c r="EL103" s="13">
        <f t="shared" si="99"/>
        <v>57.51886758052828</v>
      </c>
      <c r="EM103" s="20">
        <f t="shared" si="73"/>
        <v>510.73374861941949</v>
      </c>
      <c r="EN103" s="59">
        <f t="shared" si="74"/>
        <v>804.0670819527528</v>
      </c>
      <c r="EO103" s="59">
        <f ca="1">AVERAGE(OFFSET($EN$3,0,0,'Données projet'!$E$15+1,1))-AVERAGE(OFFSET($H$3,0,0,'Données projet'!$E$15+1,1))</f>
        <v>211.18501783767226</v>
      </c>
      <c r="EP103" s="59">
        <f t="shared" si="100"/>
        <v>147.98306963466246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571</v>
      </c>
      <c r="FC103" s="12">
        <f>VLOOKUP(A103,'Données projet'!$A$217:$I$237,9,0)</f>
        <v>11.7</v>
      </c>
      <c r="FD103" s="12">
        <f t="array" ref="FD103">INDEX(FC:FC,MIN(IF(ISNUMBER(FC103:FC299),ROW(FC103:FC299),"")))</f>
        <v>11.7</v>
      </c>
      <c r="FE103" s="12">
        <f>IF('Données projet'!$A$218&gt;35,FE102+FD103-FM102,IF(A103&lt;'Données projet'!$A$218,$FB$205^A103,IF(A103='Données projet'!$A$218,'Données projet'!$B$218,FE102+FD103-FM102)))</f>
        <v>571</v>
      </c>
      <c r="FF103" s="17">
        <f>FE103*VLOOKUP('Données projet'!$B$16,Paramètres!$A$1:$I$89,3,0)*VLOOKUP('Données projet'!$B$16,Paramètres!$A$1:$I$89,5,0)</f>
        <v>341.45800000000003</v>
      </c>
      <c r="FG103" s="13">
        <f t="shared" si="101"/>
        <v>79.801103392528489</v>
      </c>
      <c r="FH103" s="20">
        <f t="shared" si="76"/>
        <v>733.69293840865384</v>
      </c>
      <c r="FI103" s="59">
        <f t="shared" si="77"/>
        <v>1027.0262717419871</v>
      </c>
      <c r="FJ103" s="59">
        <f ca="1">AVERAGE(OFFSET($FI$3,0,0,'Données projet'!$E$16+1,1))-AVERAGE(OFFSET($H$3,0,0,'Données projet'!$E$16+1,1))</f>
        <v>232.26937455765062</v>
      </c>
      <c r="FK103" s="59">
        <f t="shared" si="102"/>
        <v>115.80853281120301</v>
      </c>
      <c r="FL103" s="15">
        <f>IF(ISNA(VLOOKUP(A103,'Données projet'!$A$217:$I$237,3,0)),0,VLOOKUP(A103,'Données projet'!$A$217:$I$237,3,0))</f>
        <v>8</v>
      </c>
      <c r="FM103" s="15">
        <f>IF(ISNA(VLOOKUP(A103,'Données projet'!$A$217:$I$237,4,0)),0,VLOOKUP(A103,'Données projet'!$A$217:$I$237,4,0))</f>
        <v>73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0.55331666718610828</v>
      </c>
      <c r="FR103" s="21">
        <f>EXP(-LN(2)/25)*FR102+(1-EXP(-LN(2)/25))/(LN(2)/25)*Calculateur!FM103*Calculateur!FO103*VLOOKUP('Données projet'!$B$16,Paramètres!$A$1:$I$89,3,0)*0.475*44/12</f>
        <v>0.63309136984585013</v>
      </c>
      <c r="FS103" s="21">
        <f>EXP(-LN(2)/2)*FS102+(1-EXP(-LN(2)/2))/(LN(2)/2)*FM103*FP103*VLOOKUP('Données projet'!$B$16,Paramètres!$A$1:$I$89,3,0)*0.475*44/12</f>
        <v>2.4434787141561546E-10</v>
      </c>
      <c r="FT103" s="22">
        <f t="shared" si="78"/>
        <v>1.1864080372763064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5.6843418860808015E-14</v>
      </c>
      <c r="GA103" s="17">
        <f>FZ103*VLOOKUP('Données projet'!$B$17,Paramètres!$A$1:$I$89,3,0)*VLOOKUP('Données projet'!$B$17,Paramètres!$A$1:$I$89,5,0)</f>
        <v>4.5224624045658861E-14</v>
      </c>
      <c r="GB103" s="13">
        <f t="shared" si="103"/>
        <v>7.4514601661523691E-13</v>
      </c>
      <c r="GC103" s="20">
        <f t="shared" si="79"/>
        <v>1.3765621991510601E-12</v>
      </c>
      <c r="GD103" s="59">
        <f t="shared" si="80"/>
        <v>293.33333333333468</v>
      </c>
      <c r="GE103" s="59">
        <f ca="1">AVERAGE(OFFSET($GD$3,0,0,'Données projet'!$E$17+1,1))-AVERAGE(OFFSET($H$3,0,0,'Données projet'!$E$17+1,1))</f>
        <v>199.58763537752952</v>
      </c>
      <c r="GF103" s="59">
        <f t="shared" si="104"/>
        <v>242.62852778451929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1.4765047693608229</v>
      </c>
      <c r="GN103" s="21">
        <f>EXP(-LN(2)/2)*GN102+(1-EXP(-LN(2)/2))/(LN(2)/2)*GH103*GK103*VLOOKUP('Données projet'!$B$17,Paramètres!$A$1:$I$89,3,0)*0.475*44/12</f>
        <v>3.1320257092652085E-10</v>
      </c>
      <c r="GO103" s="21">
        <f t="shared" si="81"/>
        <v>1.4765047696740254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5.2583333333333373</v>
      </c>
      <c r="N104" s="13">
        <f>IF('Données projet'!$A$36&gt;35,N103+M104-V103,IF(A104&lt;'Données projet'!$A$36,$K$205^A104,IF(A104='Données projet'!$A$36,'Données projet'!$B$36,N103+M104-V103)))</f>
        <v>224.25256410256381</v>
      </c>
      <c r="O104" s="13">
        <f>N104*VLOOKUP('Données projet'!$B$9,Paramètres!$A$1:$I$89,3,0)*VLOOKUP('Données projet'!$B$9,Paramètres!$A$1:$I$89,5,0)</f>
        <v>202.90371999999974</v>
      </c>
      <c r="P104" s="13">
        <f t="shared" si="87"/>
        <v>50.381781160298395</v>
      </c>
      <c r="Q104" s="20">
        <f t="shared" si="107"/>
        <v>441.13891452085255</v>
      </c>
      <c r="R104" s="59">
        <f t="shared" si="55"/>
        <v>734.47224785418587</v>
      </c>
      <c r="S104" s="59">
        <f ca="1">AVERAGE(OFFSET($R$3,0,0,'Données projet'!$E$9+1,1))-AVERAGE(OFFSET($H$3,0,0,'Données projet'!$E$9+1,1))</f>
        <v>153.45079678708987</v>
      </c>
      <c r="T104" s="59">
        <f t="shared" si="88"/>
        <v>115.4217868409637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227.39209999999972</v>
      </c>
      <c r="AK104" s="13">
        <f t="shared" si="89"/>
        <v>55.718418881655332</v>
      </c>
      <c r="AL104" s="20">
        <f t="shared" si="58"/>
        <v>493.08415371888253</v>
      </c>
      <c r="AM104" s="59">
        <f t="shared" si="59"/>
        <v>786.41748705221585</v>
      </c>
      <c r="AN104" s="59">
        <f ca="1">AVERAGE(OFFSET($AM$3,0,0,'Données projet'!$E$10+1,1))-AVERAGE(OFFSET($H$3,0,0,'Données projet'!$E$10+1,1))</f>
        <v>190.21499310415584</v>
      </c>
      <c r="AO104" s="59">
        <f t="shared" si="90"/>
        <v>136.15730566500173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497</v>
      </c>
      <c r="BE104" s="13">
        <f>BD104*VLOOKUP('Données projet'!$B$11,Paramètres!$A$1:$I$89,3,0)*VLOOKUP('Données projet'!$B$11,Paramètres!$A$1:$I$89,5,0)</f>
        <v>297.20600000000002</v>
      </c>
      <c r="BF104" s="13">
        <f t="shared" si="91"/>
        <v>70.590415164571112</v>
      </c>
      <c r="BG104" s="20">
        <f t="shared" si="61"/>
        <v>640.57875641162809</v>
      </c>
      <c r="BH104" s="59">
        <f t="shared" si="62"/>
        <v>933.91208974496135</v>
      </c>
      <c r="BI104" s="59">
        <f ca="1">AVERAGE(OFFSET($BH$3,0,0,'Données projet'!$E$11+1,1))-AVERAGE(OFFSET($H$3,0,0,'Données projet'!$E$11+1,1))</f>
        <v>270.30888762640245</v>
      </c>
      <c r="BJ104" s="59">
        <f t="shared" si="92"/>
        <v>202.23783851977691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0.52496754661203004</v>
      </c>
      <c r="BQ104" s="21">
        <f>EXP(-LN(2)/25)*BQ103+(1-EXP(-LN(2)/25))/(LN(2)/25)*Calculateur!BL104*Calculateur!BN104*VLOOKUP('Données projet'!$B$11,Paramètres!$A$1:$I$89,3,0)*0.475*44/12</f>
        <v>1.7171597438456296</v>
      </c>
      <c r="BR104" s="21">
        <f>EXP(-LN(2)/2)*BR103+(1-EXP(-LN(2)/2))/(LN(2)/2)*BL104*BO104*VLOOKUP('Données projet'!$B$11,Paramètres!$A$1:$I$89,3,0)*0.475*44/12</f>
        <v>3.8056893196528162E-10</v>
      </c>
      <c r="BS104" s="22">
        <f t="shared" si="63"/>
        <v>2.2421272908382286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497</v>
      </c>
      <c r="BZ104" s="13">
        <f>BY104*VLOOKUP('Données projet'!$B$12,Paramètres!$A$1:$I$89,3,0)*VLOOKUP('Données projet'!$B$12,Paramètres!$A$1:$I$89,5,0)</f>
        <v>297.20600000000002</v>
      </c>
      <c r="CA104" s="13">
        <f t="shared" si="93"/>
        <v>70.590415164571112</v>
      </c>
      <c r="CB104" s="20">
        <f t="shared" si="64"/>
        <v>640.57875641162809</v>
      </c>
      <c r="CC104" s="59">
        <f t="shared" si="65"/>
        <v>933.91208974496135</v>
      </c>
      <c r="CD104" s="59">
        <f ca="1">AVERAGE(OFFSET($CC$3,0,0,'Données projet'!$E$12+1,1))-AVERAGE(OFFSET($H$3,0,0,'Données projet'!$E$12+1,1))</f>
        <v>270.30888762640245</v>
      </c>
      <c r="CE104" s="59">
        <f t="shared" si="94"/>
        <v>202.23783851977691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0.52496754661203004</v>
      </c>
      <c r="CL104" s="21">
        <f>EXP(-LN(2)/25)*CL103+(1-EXP(-LN(2)/25))/(LN(2)/25)*Calculateur!CG104*Calculateur!CI104*VLOOKUP('Données projet'!$B$12,Paramètres!$A$1:$I$89,3,0)*0.475*44/12</f>
        <v>1.7171597438456296</v>
      </c>
      <c r="CM104" s="21">
        <f>EXP(-LN(2)/2)*CM103+(1-EXP(-LN(2)/2))/(LN(2)/2)*CG104*CJ104*VLOOKUP('Données projet'!$B$12,Paramètres!$A$1:$I$89,3,0)*0.475*44/12</f>
        <v>3.8056893196528162E-10</v>
      </c>
      <c r="CN104" s="22">
        <f t="shared" si="66"/>
        <v>2.2421272908382286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7.5015384615384617</v>
      </c>
      <c r="CT104" s="12">
        <f>IF('Données projet'!$A$140&gt;35,CT103+CS104-DB103,IF(A104&lt;'Données projet'!$A$140,$CQ$205^A104,IF(A104='Données projet'!$A$140,'Données projet'!$B$140,CT103+CS104-DB103)))</f>
        <v>279.70923076923106</v>
      </c>
      <c r="CU104" s="17">
        <f>CT104*VLOOKUP('Données projet'!$B$13,Paramètres!$A$1:$I$89,3,0)*VLOOKUP('Données projet'!$B$13,Paramètres!$A$1:$I$89,5,0)</f>
        <v>130.90392000000014</v>
      </c>
      <c r="CV104" s="13">
        <f t="shared" si="95"/>
        <v>34.205144397668505</v>
      </c>
      <c r="CW104" s="20">
        <f t="shared" si="67"/>
        <v>287.56495382593954</v>
      </c>
      <c r="CX104" s="59">
        <f t="shared" si="68"/>
        <v>580.89828715927285</v>
      </c>
      <c r="CY104" s="59">
        <f ca="1">AVERAGE(OFFSET($CX$3,0,0,'Données projet'!$E$13+1,1))-AVERAGE(OFFSET($H$3,0,0,'Données projet'!$E$13+1,1))</f>
        <v>158.58786357608489</v>
      </c>
      <c r="CZ104" s="59">
        <f t="shared" si="96"/>
        <v>163.20074068819849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3.813056537183002E-14</v>
      </c>
      <c r="DQ104" s="13">
        <f t="shared" si="97"/>
        <v>6.4086286045526829E-13</v>
      </c>
      <c r="DR104" s="20">
        <f t="shared" si="70"/>
        <v>1.1825802166488628E-12</v>
      </c>
      <c r="DS104" s="59">
        <f t="shared" si="71"/>
        <v>293.33333333333451</v>
      </c>
      <c r="DT104" s="59">
        <f ca="1">AVERAGE(OFFSET($DS$3,0,0,'Données projet'!$E$14+1,1))-AVERAGE(OFFSET($H$3,0,0,'Données projet'!$E$14+1,1))</f>
        <v>156.63226020379989</v>
      </c>
      <c r="DU104" s="59">
        <f t="shared" si="98"/>
        <v>196.0481096619543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1.2108544266324617</v>
      </c>
      <c r="EC104" s="21">
        <f>EXP(-LN(2)/2)*EC103+(1-EXP(-LN(2)/2))/(LN(2)/2)*DW104*DZ104*VLOOKUP('Données projet'!$B$14,Paramètres!$A$1:$I$89,3,0)*0.475*44/12</f>
        <v>1.8672763640881847E-10</v>
      </c>
      <c r="ED104" s="22">
        <f t="shared" si="72"/>
        <v>1.2108544268191894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5.2583333333333373</v>
      </c>
      <c r="EJ104" s="12">
        <f>IF('Données projet'!$A$192&gt;35,EJ103+EI104-ER103,IF(A104&lt;'Données projet'!$A$192,$EG$205^A104,IF(A104='Données projet'!$A$192,'Données projet'!$B$192,EJ103+EI104-ER103)))</f>
        <v>224.25256410256381</v>
      </c>
      <c r="EK104" s="17">
        <f>EJ104*VLOOKUP('Données projet'!$B$15,Paramètres!$A$1:$I$89,3,0)*VLOOKUP('Données projet'!$B$15,Paramètres!$A$1:$I$89,5,0)</f>
        <v>241.38545999999968</v>
      </c>
      <c r="EL104" s="13">
        <f t="shared" si="99"/>
        <v>58.737519014834092</v>
      </c>
      <c r="EM104" s="20">
        <f t="shared" si="73"/>
        <v>522.71418845083542</v>
      </c>
      <c r="EN104" s="59">
        <f t="shared" si="74"/>
        <v>816.04752178416879</v>
      </c>
      <c r="EO104" s="59">
        <f ca="1">AVERAGE(OFFSET($EN$3,0,0,'Données projet'!$E$15+1,1))-AVERAGE(OFFSET($H$3,0,0,'Données projet'!$E$15+1,1))</f>
        <v>211.18501783767226</v>
      </c>
      <c r="EP104" s="59">
        <f t="shared" si="100"/>
        <v>147.98306963466246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498</v>
      </c>
      <c r="FF104" s="17">
        <f>FE104*VLOOKUP('Données projet'!$B$16,Paramètres!$A$1:$I$89,3,0)*VLOOKUP('Données projet'!$B$16,Paramètres!$A$1:$I$89,5,0)</f>
        <v>297.80400000000003</v>
      </c>
      <c r="FG104" s="13">
        <f t="shared" si="101"/>
        <v>70.715900863123025</v>
      </c>
      <c r="FH104" s="20">
        <f t="shared" si="76"/>
        <v>641.83882733660596</v>
      </c>
      <c r="FI104" s="59">
        <f t="shared" si="77"/>
        <v>935.17216066993933</v>
      </c>
      <c r="FJ104" s="59">
        <f ca="1">AVERAGE(OFFSET($FI$3,0,0,'Données projet'!$E$16+1,1))-AVERAGE(OFFSET($H$3,0,0,'Données projet'!$E$16+1,1))</f>
        <v>232.26937455765062</v>
      </c>
      <c r="FK104" s="59">
        <f t="shared" si="102"/>
        <v>115.80853281120301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0.54246646483243133</v>
      </c>
      <c r="FR104" s="21">
        <f>EXP(-LN(2)/25)*FR103+(1-EXP(-LN(2)/25))/(LN(2)/25)*Calculateur!FM104*Calculateur!FO104*VLOOKUP('Données projet'!$B$16,Paramètres!$A$1:$I$89,3,0)*0.475*44/12</f>
        <v>0.61577945304458714</v>
      </c>
      <c r="FS104" s="21">
        <f>EXP(-LN(2)/2)*FS103+(1-EXP(-LN(2)/2))/(LN(2)/2)*FM104*FP104*VLOOKUP('Données projet'!$B$16,Paramètres!$A$1:$I$89,3,0)*0.475*44/12</f>
        <v>1.7278003684648025E-10</v>
      </c>
      <c r="FT104" s="22">
        <f t="shared" si="78"/>
        <v>1.1582459180497984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5.6843418860808015E-14</v>
      </c>
      <c r="GA104" s="17">
        <f>FZ104*VLOOKUP('Données projet'!$B$17,Paramètres!$A$1:$I$89,3,0)*VLOOKUP('Données projet'!$B$17,Paramètres!$A$1:$I$89,5,0)</f>
        <v>4.5224624045658861E-14</v>
      </c>
      <c r="GB104" s="13">
        <f t="shared" si="103"/>
        <v>7.4514601661523691E-13</v>
      </c>
      <c r="GC104" s="20">
        <f t="shared" si="79"/>
        <v>1.3765621991510601E-12</v>
      </c>
      <c r="GD104" s="59">
        <f t="shared" si="80"/>
        <v>293.33333333333468</v>
      </c>
      <c r="GE104" s="59">
        <f ca="1">AVERAGE(OFFSET($GD$3,0,0,'Données projet'!$E$17+1,1))-AVERAGE(OFFSET($H$3,0,0,'Données projet'!$E$17+1,1))</f>
        <v>199.58763537752952</v>
      </c>
      <c r="GF104" s="59">
        <f t="shared" si="104"/>
        <v>242.62852778451929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1.4361296687966398</v>
      </c>
      <c r="GN104" s="21">
        <f>EXP(-LN(2)/2)*GN103+(1-EXP(-LN(2)/2))/(LN(2)/2)*GH104*GK104*VLOOKUP('Données projet'!$B$17,Paramètres!$A$1:$I$89,3,0)*0.475*44/12</f>
        <v>2.2146766178720352E-10</v>
      </c>
      <c r="GO104" s="21">
        <f t="shared" si="81"/>
        <v>1.4361296690181076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5.2583333333333373</v>
      </c>
      <c r="N105" s="13">
        <f>IF('Données projet'!$A$36&gt;35,N104+M105-V104,IF(A105&lt;'Données projet'!$A$36,$K$205^A105,IF(A105='Données projet'!$A$36,'Données projet'!$B$36,N104+M105-V104)))</f>
        <v>229.51089743589714</v>
      </c>
      <c r="O105" s="13">
        <f>N105*VLOOKUP('Données projet'!$B$9,Paramètres!$A$1:$I$89,3,0)*VLOOKUP('Données projet'!$B$9,Paramètres!$A$1:$I$89,5,0)</f>
        <v>207.66145999999972</v>
      </c>
      <c r="P105" s="13">
        <f t="shared" si="87"/>
        <v>51.424223287461992</v>
      </c>
      <c r="Q105" s="20">
        <f t="shared" si="107"/>
        <v>451.2408983923292</v>
      </c>
      <c r="R105" s="59">
        <f t="shared" si="55"/>
        <v>744.57423172566246</v>
      </c>
      <c r="S105" s="59">
        <f ca="1">AVERAGE(OFFSET($R$3,0,0,'Données projet'!$E$9+1,1))-AVERAGE(OFFSET($H$3,0,0,'Données projet'!$E$9+1,1))</f>
        <v>153.45079678708987</v>
      </c>
      <c r="T105" s="59">
        <f t="shared" si="88"/>
        <v>115.4217868409637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232.72404999999969</v>
      </c>
      <c r="AK105" s="13">
        <f t="shared" si="89"/>
        <v>56.871280605943788</v>
      </c>
      <c r="AL105" s="20">
        <f t="shared" si="58"/>
        <v>504.37853413868493</v>
      </c>
      <c r="AM105" s="59">
        <f t="shared" si="59"/>
        <v>797.71186747201818</v>
      </c>
      <c r="AN105" s="59">
        <f ca="1">AVERAGE(OFFSET($AM$3,0,0,'Données projet'!$E$10+1,1))-AVERAGE(OFFSET($H$3,0,0,'Données projet'!$E$10+1,1))</f>
        <v>190.21499310415584</v>
      </c>
      <c r="AO105" s="59">
        <f t="shared" si="90"/>
        <v>136.15730566500173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497</v>
      </c>
      <c r="BE105" s="13">
        <f>BD105*VLOOKUP('Données projet'!$B$11,Paramètres!$A$1:$I$89,3,0)*VLOOKUP('Données projet'!$B$11,Paramètres!$A$1:$I$89,5,0)</f>
        <v>297.20600000000002</v>
      </c>
      <c r="BF105" s="13">
        <f t="shared" si="91"/>
        <v>70.590415164571112</v>
      </c>
      <c r="BG105" s="20">
        <f t="shared" si="61"/>
        <v>640.57875641162809</v>
      </c>
      <c r="BH105" s="59">
        <f t="shared" si="62"/>
        <v>933.91208974496135</v>
      </c>
      <c r="BI105" s="59">
        <f ca="1">AVERAGE(OFFSET($BH$3,0,0,'Données projet'!$E$11+1,1))-AVERAGE(OFFSET($H$3,0,0,'Données projet'!$E$11+1,1))</f>
        <v>270.30888762640245</v>
      </c>
      <c r="BJ105" s="59">
        <f t="shared" si="92"/>
        <v>202.23783851977691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0.51467325322155455</v>
      </c>
      <c r="BQ105" s="21">
        <f>EXP(-LN(2)/25)*BQ104+(1-EXP(-LN(2)/25))/(LN(2)/25)*Calculateur!BL105*Calculateur!BN105*VLOOKUP('Données projet'!$B$11,Paramètres!$A$1:$I$89,3,0)*0.475*44/12</f>
        <v>1.6702039203486645</v>
      </c>
      <c r="BR105" s="21">
        <f>EXP(-LN(2)/2)*BR104+(1-EXP(-LN(2)/2))/(LN(2)/2)*BL105*BO105*VLOOKUP('Données projet'!$B$11,Paramètres!$A$1:$I$89,3,0)*0.475*44/12</f>
        <v>2.6910287250157248E-10</v>
      </c>
      <c r="BS105" s="22">
        <f t="shared" si="63"/>
        <v>2.1848771738393218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497</v>
      </c>
      <c r="BZ105" s="13">
        <f>BY105*VLOOKUP('Données projet'!$B$12,Paramètres!$A$1:$I$89,3,0)*VLOOKUP('Données projet'!$B$12,Paramètres!$A$1:$I$89,5,0)</f>
        <v>297.20600000000002</v>
      </c>
      <c r="CA105" s="13">
        <f t="shared" si="93"/>
        <v>70.590415164571112</v>
      </c>
      <c r="CB105" s="20">
        <f t="shared" si="64"/>
        <v>640.57875641162809</v>
      </c>
      <c r="CC105" s="59">
        <f t="shared" si="65"/>
        <v>933.91208974496135</v>
      </c>
      <c r="CD105" s="59">
        <f ca="1">AVERAGE(OFFSET($CC$3,0,0,'Données projet'!$E$12+1,1))-AVERAGE(OFFSET($H$3,0,0,'Données projet'!$E$12+1,1))</f>
        <v>270.30888762640245</v>
      </c>
      <c r="CE105" s="59">
        <f t="shared" si="94"/>
        <v>202.23783851977691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0.51467325322155455</v>
      </c>
      <c r="CL105" s="21">
        <f>EXP(-LN(2)/25)*CL104+(1-EXP(-LN(2)/25))/(LN(2)/25)*Calculateur!CG105*Calculateur!CI105*VLOOKUP('Données projet'!$B$12,Paramètres!$A$1:$I$89,3,0)*0.475*44/12</f>
        <v>1.6702039203486645</v>
      </c>
      <c r="CM105" s="21">
        <f>EXP(-LN(2)/2)*CM104+(1-EXP(-LN(2)/2))/(LN(2)/2)*CG105*CJ105*VLOOKUP('Données projet'!$B$12,Paramètres!$A$1:$I$89,3,0)*0.475*44/12</f>
        <v>2.6910287250157248E-10</v>
      </c>
      <c r="CN105" s="22">
        <f t="shared" si="66"/>
        <v>2.1848771738393218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7.5015384615384617</v>
      </c>
      <c r="CT105" s="12">
        <f>IF('Données projet'!$A$140&gt;35,CT104+CS105-DB104,IF(A105&lt;'Données projet'!$A$140,$CQ$205^A105,IF(A105='Données projet'!$A$140,'Données projet'!$B$140,CT104+CS105-DB104)))</f>
        <v>287.21076923076953</v>
      </c>
      <c r="CU105" s="17">
        <f>CT105*VLOOKUP('Données projet'!$B$13,Paramètres!$A$1:$I$89,3,0)*VLOOKUP('Données projet'!$B$13,Paramètres!$A$1:$I$89,5,0)</f>
        <v>134.41464000000013</v>
      </c>
      <c r="CV105" s="13">
        <f t="shared" si="95"/>
        <v>35.014461935490388</v>
      </c>
      <c r="CW105" s="20">
        <f t="shared" si="67"/>
        <v>295.08901920431265</v>
      </c>
      <c r="CX105" s="59">
        <f t="shared" si="68"/>
        <v>588.42235253764602</v>
      </c>
      <c r="CY105" s="59">
        <f ca="1">AVERAGE(OFFSET($CX$3,0,0,'Données projet'!$E$13+1,1))-AVERAGE(OFFSET($H$3,0,0,'Données projet'!$E$13+1,1))</f>
        <v>158.58786357608489</v>
      </c>
      <c r="CZ105" s="59">
        <f t="shared" si="96"/>
        <v>163.20074068819849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3.813056537183002E-14</v>
      </c>
      <c r="DQ105" s="13">
        <f t="shared" si="97"/>
        <v>6.4086286045526829E-13</v>
      </c>
      <c r="DR105" s="20">
        <f t="shared" si="70"/>
        <v>1.1825802166488628E-12</v>
      </c>
      <c r="DS105" s="59">
        <f t="shared" si="71"/>
        <v>293.33333333333451</v>
      </c>
      <c r="DT105" s="59">
        <f ca="1">AVERAGE(OFFSET($DS$3,0,0,'Données projet'!$E$14+1,1))-AVERAGE(OFFSET($H$3,0,0,'Données projet'!$E$14+1,1))</f>
        <v>156.63226020379989</v>
      </c>
      <c r="DU105" s="59">
        <f t="shared" si="98"/>
        <v>196.0481096619543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1.1777435486601302</v>
      </c>
      <c r="EC105" s="21">
        <f>EXP(-LN(2)/2)*EC104+(1-EXP(-LN(2)/2))/(LN(2)/2)*DW105*DZ105*VLOOKUP('Données projet'!$B$14,Paramètres!$A$1:$I$89,3,0)*0.475*44/12</f>
        <v>1.3203637793961161E-10</v>
      </c>
      <c r="ED105" s="22">
        <f t="shared" si="72"/>
        <v>1.1777435487921666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5.2583333333333373</v>
      </c>
      <c r="EJ105" s="12">
        <f>IF('Données projet'!$A$192&gt;35,EJ104+EI105-ER104,IF(A105&lt;'Données projet'!$A$192,$EG$205^A105,IF(A105='Données projet'!$A$192,'Données projet'!$B$192,EJ104+EI105-ER104)))</f>
        <v>229.51089743589714</v>
      </c>
      <c r="EK105" s="17">
        <f>EJ105*VLOOKUP('Données projet'!$B$15,Paramètres!$A$1:$I$89,3,0)*VLOOKUP('Données projet'!$B$15,Paramètres!$A$1:$I$89,5,0)</f>
        <v>247.04552999999967</v>
      </c>
      <c r="EL105" s="13">
        <f t="shared" si="99"/>
        <v>59.952848502120737</v>
      </c>
      <c r="EM105" s="20">
        <f t="shared" si="73"/>
        <v>534.68884255785974</v>
      </c>
      <c r="EN105" s="59">
        <f t="shared" si="74"/>
        <v>828.022175891193</v>
      </c>
      <c r="EO105" s="59">
        <f ca="1">AVERAGE(OFFSET($EN$3,0,0,'Données projet'!$E$15+1,1))-AVERAGE(OFFSET($H$3,0,0,'Données projet'!$E$15+1,1))</f>
        <v>211.18501783767226</v>
      </c>
      <c r="EP105" s="59">
        <f t="shared" si="100"/>
        <v>147.98306963466246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498</v>
      </c>
      <c r="FF105" s="17">
        <f>FE105*VLOOKUP('Données projet'!$B$16,Paramètres!$A$1:$I$89,3,0)*VLOOKUP('Données projet'!$B$16,Paramètres!$A$1:$I$89,5,0)</f>
        <v>297.80400000000003</v>
      </c>
      <c r="FG105" s="13">
        <f t="shared" si="101"/>
        <v>70.715900863123025</v>
      </c>
      <c r="FH105" s="20">
        <f t="shared" si="76"/>
        <v>641.83882733660596</v>
      </c>
      <c r="FI105" s="59">
        <f t="shared" si="77"/>
        <v>935.17216066993933</v>
      </c>
      <c r="FJ105" s="59">
        <f ca="1">AVERAGE(OFFSET($FI$3,0,0,'Données projet'!$E$16+1,1))-AVERAGE(OFFSET($H$3,0,0,'Données projet'!$E$16+1,1))</f>
        <v>232.26937455765062</v>
      </c>
      <c r="FK105" s="59">
        <f t="shared" si="102"/>
        <v>115.80853281120301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0.53182902832893997</v>
      </c>
      <c r="FR105" s="21">
        <f>EXP(-LN(2)/25)*FR104+(1-EXP(-LN(2)/25))/(LN(2)/25)*Calculateur!FM105*Calculateur!FO105*VLOOKUP('Données projet'!$B$16,Paramètres!$A$1:$I$89,3,0)*0.475*44/12</f>
        <v>0.59894093151864891</v>
      </c>
      <c r="FS105" s="21">
        <f>EXP(-LN(2)/2)*FS104+(1-EXP(-LN(2)/2))/(LN(2)/2)*FM105*FP105*VLOOKUP('Données projet'!$B$16,Paramètres!$A$1:$I$89,3,0)*0.475*44/12</f>
        <v>1.2217393570780773E-10</v>
      </c>
      <c r="FT105" s="22">
        <f t="shared" si="78"/>
        <v>1.1307699599697627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5.6843418860808015E-14</v>
      </c>
      <c r="GA105" s="17">
        <f>FZ105*VLOOKUP('Données projet'!$B$17,Paramètres!$A$1:$I$89,3,0)*VLOOKUP('Données projet'!$B$17,Paramètres!$A$1:$I$89,5,0)</f>
        <v>4.5224624045658861E-14</v>
      </c>
      <c r="GB105" s="13">
        <f t="shared" si="103"/>
        <v>7.4514601661523691E-13</v>
      </c>
      <c r="GC105" s="20">
        <f t="shared" si="79"/>
        <v>1.3765621991510601E-12</v>
      </c>
      <c r="GD105" s="59">
        <f t="shared" si="80"/>
        <v>293.33333333333468</v>
      </c>
      <c r="GE105" s="59">
        <f ca="1">AVERAGE(OFFSET($GD$3,0,0,'Données projet'!$E$17+1,1))-AVERAGE(OFFSET($H$3,0,0,'Données projet'!$E$17+1,1))</f>
        <v>199.58763537752952</v>
      </c>
      <c r="GF105" s="59">
        <f t="shared" si="104"/>
        <v>242.62852778451929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1.3968586274806187</v>
      </c>
      <c r="GN105" s="21">
        <f>EXP(-LN(2)/2)*GN104+(1-EXP(-LN(2)/2))/(LN(2)/2)*GH105*GK105*VLOOKUP('Données projet'!$B$17,Paramètres!$A$1:$I$89,3,0)*0.475*44/12</f>
        <v>1.5660128546326043E-10</v>
      </c>
      <c r="GO105" s="21">
        <f t="shared" si="81"/>
        <v>1.3968586276372199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234.76923076923077</v>
      </c>
      <c r="L106" s="12">
        <f>VLOOKUP(A106,'Données projet'!$A$35:$I$55,9,0)</f>
        <v>5.2583333333333373</v>
      </c>
      <c r="M106" s="12">
        <f t="array" ref="M106">INDEX(L:L,MIN(IF(ISNUMBER(L106:L302),ROW(L106:L302),"")))</f>
        <v>5.2583333333333373</v>
      </c>
      <c r="N106" s="13">
        <f>IF('Données projet'!$A$36&gt;35,N105+M106-V105,IF(A106&lt;'Données projet'!$A$36,$K$205^A106,IF(A106='Données projet'!$A$36,'Données projet'!$B$36,N105+M106-V105)))</f>
        <v>234.76923076923046</v>
      </c>
      <c r="O106" s="13">
        <f>N106*VLOOKUP('Données projet'!$B$9,Paramètres!$A$1:$I$89,3,0)*VLOOKUP('Données projet'!$B$9,Paramètres!$A$1:$I$89,5,0)</f>
        <v>212.41919999999973</v>
      </c>
      <c r="P106" s="13">
        <f t="shared" si="87"/>
        <v>52.463888829926184</v>
      </c>
      <c r="Q106" s="20">
        <f t="shared" si="107"/>
        <v>461.33804637878757</v>
      </c>
      <c r="R106" s="59">
        <f t="shared" si="55"/>
        <v>754.67137971212082</v>
      </c>
      <c r="S106" s="59">
        <f ca="1">AVERAGE(OFFSET($R$3,0,0,'Données projet'!$E$9+1,1))-AVERAGE(OFFSET($H$3,0,0,'Données projet'!$E$9+1,1))</f>
        <v>153.45079678708987</v>
      </c>
      <c r="T106" s="59">
        <f t="shared" si="88"/>
        <v>115.4217868409637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39.512820512820511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238.0559999999997</v>
      </c>
      <c r="AK106" s="13">
        <f t="shared" si="89"/>
        <v>58.021071638689058</v>
      </c>
      <c r="AL106" s="20">
        <f t="shared" si="58"/>
        <v>515.6675664373829</v>
      </c>
      <c r="AM106" s="59">
        <f t="shared" si="59"/>
        <v>809.00089977071616</v>
      </c>
      <c r="AN106" s="59">
        <f ca="1">AVERAGE(OFFSET($AM$3,0,0,'Données projet'!$E$10+1,1))-AVERAGE(OFFSET($H$3,0,0,'Données projet'!$E$10+1,1))</f>
        <v>190.21499310415584</v>
      </c>
      <c r="AO106" s="59">
        <f t="shared" si="90"/>
        <v>136.15730566500173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497</v>
      </c>
      <c r="BE106" s="13">
        <f>BD106*VLOOKUP('Données projet'!$B$11,Paramètres!$A$1:$I$89,3,0)*VLOOKUP('Données projet'!$B$11,Paramètres!$A$1:$I$89,5,0)</f>
        <v>297.20600000000002</v>
      </c>
      <c r="BF106" s="13">
        <f t="shared" si="91"/>
        <v>70.590415164571112</v>
      </c>
      <c r="BG106" s="20">
        <f t="shared" si="61"/>
        <v>640.57875641162809</v>
      </c>
      <c r="BH106" s="59">
        <f t="shared" si="62"/>
        <v>933.91208974496135</v>
      </c>
      <c r="BI106" s="59">
        <f ca="1">AVERAGE(OFFSET($BH$3,0,0,'Données projet'!$E$11+1,1))-AVERAGE(OFFSET($H$3,0,0,'Données projet'!$E$11+1,1))</f>
        <v>270.30888762640245</v>
      </c>
      <c r="BJ106" s="59">
        <f t="shared" si="92"/>
        <v>202.23783851977691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0.50458082464556731</v>
      </c>
      <c r="BQ106" s="21">
        <f>EXP(-LN(2)/25)*BQ105+(1-EXP(-LN(2)/25))/(LN(2)/25)*Calculateur!BL106*Calculateur!BN106*VLOOKUP('Données projet'!$B$11,Paramètres!$A$1:$I$89,3,0)*0.475*44/12</f>
        <v>1.6245321063145235</v>
      </c>
      <c r="BR106" s="21">
        <f>EXP(-LN(2)/2)*BR105+(1-EXP(-LN(2)/2))/(LN(2)/2)*BL106*BO106*VLOOKUP('Données projet'!$B$11,Paramètres!$A$1:$I$89,3,0)*0.475*44/12</f>
        <v>1.9028446598264081E-10</v>
      </c>
      <c r="BS106" s="22">
        <f t="shared" si="63"/>
        <v>2.1291129311503756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497</v>
      </c>
      <c r="BZ106" s="13">
        <f>BY106*VLOOKUP('Données projet'!$B$12,Paramètres!$A$1:$I$89,3,0)*VLOOKUP('Données projet'!$B$12,Paramètres!$A$1:$I$89,5,0)</f>
        <v>297.20600000000002</v>
      </c>
      <c r="CA106" s="13">
        <f t="shared" si="93"/>
        <v>70.590415164571112</v>
      </c>
      <c r="CB106" s="20">
        <f t="shared" si="64"/>
        <v>640.57875641162809</v>
      </c>
      <c r="CC106" s="59">
        <f t="shared" si="65"/>
        <v>933.91208974496135</v>
      </c>
      <c r="CD106" s="59">
        <f ca="1">AVERAGE(OFFSET($CC$3,0,0,'Données projet'!$E$12+1,1))-AVERAGE(OFFSET($H$3,0,0,'Données projet'!$E$12+1,1))</f>
        <v>270.30888762640245</v>
      </c>
      <c r="CE106" s="59">
        <f t="shared" si="94"/>
        <v>202.23783851977691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0.50458082464556731</v>
      </c>
      <c r="CL106" s="21">
        <f>EXP(-LN(2)/25)*CL105+(1-EXP(-LN(2)/25))/(LN(2)/25)*Calculateur!CG106*Calculateur!CI106*VLOOKUP('Données projet'!$B$12,Paramètres!$A$1:$I$89,3,0)*0.475*44/12</f>
        <v>1.6245321063145235</v>
      </c>
      <c r="CM106" s="21">
        <f>EXP(-LN(2)/2)*CM105+(1-EXP(-LN(2)/2))/(LN(2)/2)*CG106*CJ106*VLOOKUP('Données projet'!$B$12,Paramètres!$A$1:$I$89,3,0)*0.475*44/12</f>
        <v>1.9028446598264081E-10</v>
      </c>
      <c r="CN106" s="22">
        <f t="shared" si="66"/>
        <v>2.1291129311503756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7.5015384615384617</v>
      </c>
      <c r="CT106" s="12">
        <f>IF('Données projet'!$A$140&gt;35,CT105+CS106-DB105,IF(A106&lt;'Données projet'!$A$140,$CQ$205^A106,IF(A106='Données projet'!$A$140,'Données projet'!$B$140,CT105+CS106-DB105)))</f>
        <v>294.712307692308</v>
      </c>
      <c r="CU106" s="17">
        <f>CT106*VLOOKUP('Données projet'!$B$13,Paramètres!$A$1:$I$89,3,0)*VLOOKUP('Données projet'!$B$13,Paramètres!$A$1:$I$89,5,0)</f>
        <v>137.92536000000015</v>
      </c>
      <c r="CV106" s="13">
        <f t="shared" si="95"/>
        <v>35.82132242479814</v>
      </c>
      <c r="CW106" s="20">
        <f t="shared" si="67"/>
        <v>302.6088052231903</v>
      </c>
      <c r="CX106" s="59">
        <f t="shared" si="68"/>
        <v>595.94213855652356</v>
      </c>
      <c r="CY106" s="59">
        <f ca="1">AVERAGE(OFFSET($CX$3,0,0,'Données projet'!$E$13+1,1))-AVERAGE(OFFSET($H$3,0,0,'Données projet'!$E$13+1,1))</f>
        <v>158.58786357608489</v>
      </c>
      <c r="CZ106" s="59">
        <f t="shared" si="96"/>
        <v>163.20074068819849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3.813056537183002E-14</v>
      </c>
      <c r="DQ106" s="13">
        <f t="shared" si="97"/>
        <v>6.4086286045526829E-13</v>
      </c>
      <c r="DR106" s="20">
        <f t="shared" si="70"/>
        <v>1.1825802166488628E-12</v>
      </c>
      <c r="DS106" s="59">
        <f t="shared" si="71"/>
        <v>293.33333333333451</v>
      </c>
      <c r="DT106" s="59">
        <f ca="1">AVERAGE(OFFSET($DS$3,0,0,'Données projet'!$E$14+1,1))-AVERAGE(OFFSET($H$3,0,0,'Données projet'!$E$14+1,1))</f>
        <v>156.63226020379989</v>
      </c>
      <c r="DU106" s="59">
        <f t="shared" si="98"/>
        <v>196.0481096619543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1.1455380893871774</v>
      </c>
      <c r="EC106" s="21">
        <f>EXP(-LN(2)/2)*EC105+(1-EXP(-LN(2)/2))/(LN(2)/2)*DW106*DZ106*VLOOKUP('Données projet'!$B$14,Paramètres!$A$1:$I$89,3,0)*0.475*44/12</f>
        <v>9.3363818204409236E-11</v>
      </c>
      <c r="ED106" s="22">
        <f t="shared" si="72"/>
        <v>1.1455380894805411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234.76923076923077</v>
      </c>
      <c r="EH106" s="12">
        <f>VLOOKUP(A106,'Données projet'!$A$191:$I$211,9,0)</f>
        <v>5.2583333333333373</v>
      </c>
      <c r="EI106" s="12">
        <f t="array" ref="EI106">INDEX(EH:EH,MIN(IF(ISNUMBER(EH106:EH302),ROW(EH106:EH302),"")))</f>
        <v>5.2583333333333373</v>
      </c>
      <c r="EJ106" s="12">
        <f>IF('Données projet'!$A$192&gt;35,EJ105+EI106-ER105,IF(A106&lt;'Données projet'!$A$192,$EG$205^A106,IF(A106='Données projet'!$A$192,'Données projet'!$B$192,EJ105+EI106-ER105)))</f>
        <v>234.76923076923046</v>
      </c>
      <c r="EK106" s="17">
        <f>EJ106*VLOOKUP('Données projet'!$B$15,Paramètres!$A$1:$I$89,3,0)*VLOOKUP('Données projet'!$B$15,Paramètres!$A$1:$I$89,5,0)</f>
        <v>252.70559999999969</v>
      </c>
      <c r="EL106" s="13">
        <f t="shared" si="99"/>
        <v>61.164940912574906</v>
      </c>
      <c r="EM106" s="20">
        <f t="shared" si="73"/>
        <v>546.65785875606741</v>
      </c>
      <c r="EN106" s="59">
        <f t="shared" si="74"/>
        <v>839.99119208940078</v>
      </c>
      <c r="EO106" s="59">
        <f ca="1">AVERAGE(OFFSET($EN$3,0,0,'Données projet'!$E$15+1,1))-AVERAGE(OFFSET($H$3,0,0,'Données projet'!$E$15+1,1))</f>
        <v>211.18501783767226</v>
      </c>
      <c r="EP106" s="59">
        <f t="shared" si="100"/>
        <v>147.98306963466246</v>
      </c>
      <c r="EQ106" s="15">
        <f>IF(ISNA(VLOOKUP(A106,'Données projet'!$A$191:$I$211,3,0)),0,VLOOKUP(A106,'Données projet'!$A$191:$I$211,3,0))</f>
        <v>8</v>
      </c>
      <c r="ER106" s="15">
        <f>IF(ISNA(VLOOKUP(A106,'Données projet'!$A$191:$I$211,4,0)),0,VLOOKUP(A106,'Données projet'!$A$191:$I$211,4,0))</f>
        <v>39.512820512820511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498</v>
      </c>
      <c r="FF106" s="17">
        <f>FE106*VLOOKUP('Données projet'!$B$16,Paramètres!$A$1:$I$89,3,0)*VLOOKUP('Données projet'!$B$16,Paramètres!$A$1:$I$89,5,0)</f>
        <v>297.80400000000003</v>
      </c>
      <c r="FG106" s="13">
        <f t="shared" si="101"/>
        <v>70.715900863123025</v>
      </c>
      <c r="FH106" s="20">
        <f t="shared" si="76"/>
        <v>641.83882733660596</v>
      </c>
      <c r="FI106" s="59">
        <f t="shared" si="77"/>
        <v>935.17216066993933</v>
      </c>
      <c r="FJ106" s="59">
        <f ca="1">AVERAGE(OFFSET($FI$3,0,0,'Données projet'!$E$16+1,1))-AVERAGE(OFFSET($H$3,0,0,'Données projet'!$E$16+1,1))</f>
        <v>232.26937455765062</v>
      </c>
      <c r="FK106" s="59">
        <f t="shared" si="102"/>
        <v>115.80853281120301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0.52140018546708655</v>
      </c>
      <c r="FR106" s="21">
        <f>EXP(-LN(2)/25)*FR105+(1-EXP(-LN(2)/25))/(LN(2)/25)*Calculateur!FM106*Calculateur!FO106*VLOOKUP('Données projet'!$B$16,Paramètres!$A$1:$I$89,3,0)*0.475*44/12</f>
        <v>0.58256286024933679</v>
      </c>
      <c r="FS106" s="21">
        <f>EXP(-LN(2)/2)*FS105+(1-EXP(-LN(2)/2))/(LN(2)/2)*FM106*FP106*VLOOKUP('Données projet'!$B$16,Paramètres!$A$1:$I$89,3,0)*0.475*44/12</f>
        <v>8.6390018423240127E-11</v>
      </c>
      <c r="FT106" s="22">
        <f t="shared" si="78"/>
        <v>1.1039630458028133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5.6843418860808015E-14</v>
      </c>
      <c r="GA106" s="17">
        <f>FZ106*VLOOKUP('Données projet'!$B$17,Paramètres!$A$1:$I$89,3,0)*VLOOKUP('Données projet'!$B$17,Paramètres!$A$1:$I$89,5,0)</f>
        <v>4.5224624045658861E-14</v>
      </c>
      <c r="GB106" s="13">
        <f t="shared" si="103"/>
        <v>7.4514601661523691E-13</v>
      </c>
      <c r="GC106" s="20">
        <f t="shared" si="79"/>
        <v>1.3765621991510601E-12</v>
      </c>
      <c r="GD106" s="59">
        <f t="shared" si="80"/>
        <v>293.33333333333468</v>
      </c>
      <c r="GE106" s="59">
        <f ca="1">AVERAGE(OFFSET($GD$3,0,0,'Données projet'!$E$17+1,1))-AVERAGE(OFFSET($H$3,0,0,'Données projet'!$E$17+1,1))</f>
        <v>199.58763537752952</v>
      </c>
      <c r="GF106" s="59">
        <f t="shared" si="104"/>
        <v>242.62852778451929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1.3586614548545586</v>
      </c>
      <c r="GN106" s="21">
        <f>EXP(-LN(2)/2)*GN105+(1-EXP(-LN(2)/2))/(LN(2)/2)*GH106*GK106*VLOOKUP('Données projet'!$B$17,Paramètres!$A$1:$I$89,3,0)*0.475*44/12</f>
        <v>1.1073383089360176E-10</v>
      </c>
      <c r="GO106" s="21">
        <f t="shared" si="81"/>
        <v>1.3586614549652924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5.0961538461538449</v>
      </c>
      <c r="N107" s="13">
        <f>IF('Données projet'!$A$36&gt;35,N106+M107-V106,IF(A107&lt;'Données projet'!$A$36,$K$205^A107,IF(A107='Données projet'!$A$36,'Données projet'!$B$36,N106+M107-V106)))</f>
        <v>200.3525641025638</v>
      </c>
      <c r="O107" s="13">
        <f>N107*VLOOKUP('Données projet'!$B$9,Paramètres!$A$1:$I$89,3,0)*VLOOKUP('Données projet'!$B$9,Paramètres!$A$1:$I$89,5,0)</f>
        <v>181.27899999999974</v>
      </c>
      <c r="P107" s="13">
        <f t="shared" si="87"/>
        <v>45.606622736998297</v>
      </c>
      <c r="Q107" s="20">
        <f t="shared" si="107"/>
        <v>395.15912626693824</v>
      </c>
      <c r="R107" s="59">
        <f t="shared" si="55"/>
        <v>688.49245960027156</v>
      </c>
      <c r="S107" s="59">
        <f ca="1">AVERAGE(OFFSET($R$3,0,0,'Données projet'!$E$9+1,1))-AVERAGE(OFFSET($H$3,0,0,'Données projet'!$E$9+1,1))</f>
        <v>153.45079678708987</v>
      </c>
      <c r="T107" s="59">
        <f t="shared" si="88"/>
        <v>115.4217868409637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203.15749999999971</v>
      </c>
      <c r="AK107" s="13">
        <f t="shared" si="89"/>
        <v>50.437456773365234</v>
      </c>
      <c r="AL107" s="20">
        <f t="shared" si="58"/>
        <v>441.67788304694392</v>
      </c>
      <c r="AM107" s="59">
        <f t="shared" si="59"/>
        <v>735.01121638027723</v>
      </c>
      <c r="AN107" s="59">
        <f ca="1">AVERAGE(OFFSET($AM$3,0,0,'Données projet'!$E$10+1,1))-AVERAGE(OFFSET($H$3,0,0,'Données projet'!$E$10+1,1))</f>
        <v>190.21499310415584</v>
      </c>
      <c r="AO107" s="59">
        <f t="shared" si="90"/>
        <v>136.15730566500173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497</v>
      </c>
      <c r="BE107" s="13">
        <f>BD107*VLOOKUP('Données projet'!$B$11,Paramètres!$A$1:$I$89,3,0)*VLOOKUP('Données projet'!$B$11,Paramètres!$A$1:$I$89,5,0)</f>
        <v>297.20600000000002</v>
      </c>
      <c r="BF107" s="13">
        <f t="shared" si="91"/>
        <v>70.590415164571112</v>
      </c>
      <c r="BG107" s="20">
        <f t="shared" si="61"/>
        <v>640.57875641162809</v>
      </c>
      <c r="BH107" s="59">
        <f t="shared" si="62"/>
        <v>933.91208974496135</v>
      </c>
      <c r="BI107" s="59">
        <f ca="1">AVERAGE(OFFSET($BH$3,0,0,'Données projet'!$E$11+1,1))-AVERAGE(OFFSET($H$3,0,0,'Données projet'!$E$11+1,1))</f>
        <v>270.30888762640245</v>
      </c>
      <c r="BJ107" s="59">
        <f t="shared" si="92"/>
        <v>202.23783851977691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0.49468630243818162</v>
      </c>
      <c r="BQ107" s="21">
        <f>EXP(-LN(2)/25)*BQ106+(1-EXP(-LN(2)/25))/(LN(2)/25)*Calculateur!BL107*Calculateur!BN107*VLOOKUP('Données projet'!$B$11,Paramètres!$A$1:$I$89,3,0)*0.475*44/12</f>
        <v>1.5801091904369222</v>
      </c>
      <c r="BR107" s="21">
        <f>EXP(-LN(2)/2)*BR106+(1-EXP(-LN(2)/2))/(LN(2)/2)*BL107*BO107*VLOOKUP('Données projet'!$B$11,Paramètres!$A$1:$I$89,3,0)*0.475*44/12</f>
        <v>1.3455143625078624E-10</v>
      </c>
      <c r="BS107" s="22">
        <f t="shared" si="63"/>
        <v>2.0747954930096553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497</v>
      </c>
      <c r="BZ107" s="13">
        <f>BY107*VLOOKUP('Données projet'!$B$12,Paramètres!$A$1:$I$89,3,0)*VLOOKUP('Données projet'!$B$12,Paramètres!$A$1:$I$89,5,0)</f>
        <v>297.20600000000002</v>
      </c>
      <c r="CA107" s="13">
        <f t="shared" si="93"/>
        <v>70.590415164571112</v>
      </c>
      <c r="CB107" s="20">
        <f t="shared" si="64"/>
        <v>640.57875641162809</v>
      </c>
      <c r="CC107" s="59">
        <f t="shared" si="65"/>
        <v>933.91208974496135</v>
      </c>
      <c r="CD107" s="59">
        <f ca="1">AVERAGE(OFFSET($CC$3,0,0,'Données projet'!$E$12+1,1))-AVERAGE(OFFSET($H$3,0,0,'Données projet'!$E$12+1,1))</f>
        <v>270.30888762640245</v>
      </c>
      <c r="CE107" s="59">
        <f t="shared" si="94"/>
        <v>202.23783851977691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0.49468630243818162</v>
      </c>
      <c r="CL107" s="21">
        <f>EXP(-LN(2)/25)*CL106+(1-EXP(-LN(2)/25))/(LN(2)/25)*Calculateur!CG107*Calculateur!CI107*VLOOKUP('Données projet'!$B$12,Paramètres!$A$1:$I$89,3,0)*0.475*44/12</f>
        <v>1.5801091904369222</v>
      </c>
      <c r="CM107" s="21">
        <f>EXP(-LN(2)/2)*CM106+(1-EXP(-LN(2)/2))/(LN(2)/2)*CG107*CJ107*VLOOKUP('Données projet'!$B$12,Paramètres!$A$1:$I$89,3,0)*0.475*44/12</f>
        <v>1.3455143625078624E-10</v>
      </c>
      <c r="CN107" s="22">
        <f t="shared" si="66"/>
        <v>2.0747954930096553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7.5015384615384617</v>
      </c>
      <c r="CT107" s="12">
        <f>IF('Données projet'!$A$140&gt;35,CT106+CS107-DB106,IF(A107&lt;'Données projet'!$A$140,$CQ$205^A107,IF(A107='Données projet'!$A$140,'Données projet'!$B$140,CT106+CS107-DB106)))</f>
        <v>302.21384615384648</v>
      </c>
      <c r="CU107" s="17">
        <f>CT107*VLOOKUP('Données projet'!$B$13,Paramètres!$A$1:$I$89,3,0)*VLOOKUP('Données projet'!$B$13,Paramètres!$A$1:$I$89,5,0)</f>
        <v>141.43608000000015</v>
      </c>
      <c r="CV107" s="13">
        <f t="shared" si="95"/>
        <v>36.625795598426585</v>
      </c>
      <c r="CW107" s="20">
        <f t="shared" si="67"/>
        <v>310.12443333392656</v>
      </c>
      <c r="CX107" s="59">
        <f t="shared" si="68"/>
        <v>603.45776666725988</v>
      </c>
      <c r="CY107" s="59">
        <f ca="1">AVERAGE(OFFSET($CX$3,0,0,'Données projet'!$E$13+1,1))-AVERAGE(OFFSET($H$3,0,0,'Données projet'!$E$13+1,1))</f>
        <v>158.58786357608489</v>
      </c>
      <c r="CZ107" s="59">
        <f t="shared" si="96"/>
        <v>163.20074068819849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3.813056537183002E-14</v>
      </c>
      <c r="DQ107" s="13">
        <f t="shared" si="97"/>
        <v>6.4086286045526829E-13</v>
      </c>
      <c r="DR107" s="20">
        <f t="shared" si="70"/>
        <v>1.1825802166488628E-12</v>
      </c>
      <c r="DS107" s="59">
        <f t="shared" si="71"/>
        <v>293.33333333333451</v>
      </c>
      <c r="DT107" s="59">
        <f ca="1">AVERAGE(OFFSET($DS$3,0,0,'Données projet'!$E$14+1,1))-AVERAGE(OFFSET($H$3,0,0,'Données projet'!$E$14+1,1))</f>
        <v>156.63226020379989</v>
      </c>
      <c r="DU107" s="59">
        <f t="shared" si="98"/>
        <v>196.0481096619543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1.114213290091655</v>
      </c>
      <c r="EC107" s="21">
        <f>EXP(-LN(2)/2)*EC106+(1-EXP(-LN(2)/2))/(LN(2)/2)*DW107*DZ107*VLOOKUP('Données projet'!$B$14,Paramètres!$A$1:$I$89,3,0)*0.475*44/12</f>
        <v>6.6018188969805804E-11</v>
      </c>
      <c r="ED107" s="22">
        <f t="shared" si="72"/>
        <v>1.1142132901576731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5.0961538461538449</v>
      </c>
      <c r="EJ107" s="12">
        <f>IF('Données projet'!$A$192&gt;35,EJ106+EI107-ER106,IF(A107&lt;'Données projet'!$A$192,$EG$205^A107,IF(A107='Données projet'!$A$192,'Données projet'!$B$192,EJ106+EI107-ER106)))</f>
        <v>200.3525641025638</v>
      </c>
      <c r="EK107" s="17">
        <f>EJ107*VLOOKUP('Données projet'!$B$15,Paramètres!$A$1:$I$89,3,0)*VLOOKUP('Données projet'!$B$15,Paramètres!$A$1:$I$89,5,0)</f>
        <v>215.65949999999967</v>
      </c>
      <c r="EL107" s="13">
        <f t="shared" si="99"/>
        <v>53.17040820160107</v>
      </c>
      <c r="EM107" s="20">
        <f t="shared" si="73"/>
        <v>468.21209011778797</v>
      </c>
      <c r="EN107" s="59">
        <f t="shared" si="74"/>
        <v>761.54542345112122</v>
      </c>
      <c r="EO107" s="59">
        <f ca="1">AVERAGE(OFFSET($EN$3,0,0,'Données projet'!$E$15+1,1))-AVERAGE(OFFSET($H$3,0,0,'Données projet'!$E$15+1,1))</f>
        <v>211.18501783767226</v>
      </c>
      <c r="EP107" s="59">
        <f t="shared" si="100"/>
        <v>147.98306963466246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498</v>
      </c>
      <c r="FF107" s="17">
        <f>FE107*VLOOKUP('Données projet'!$B$16,Paramètres!$A$1:$I$89,3,0)*VLOOKUP('Données projet'!$B$16,Paramètres!$A$1:$I$89,5,0)</f>
        <v>297.80400000000003</v>
      </c>
      <c r="FG107" s="13">
        <f t="shared" si="101"/>
        <v>70.715900863123025</v>
      </c>
      <c r="FH107" s="20">
        <f t="shared" si="76"/>
        <v>641.83882733660596</v>
      </c>
      <c r="FI107" s="59">
        <f t="shared" si="77"/>
        <v>935.17216066993933</v>
      </c>
      <c r="FJ107" s="59">
        <f ca="1">AVERAGE(OFFSET($FI$3,0,0,'Données projet'!$E$16+1,1))-AVERAGE(OFFSET($H$3,0,0,'Données projet'!$E$16+1,1))</f>
        <v>232.26937455765062</v>
      </c>
      <c r="FK107" s="59">
        <f t="shared" si="102"/>
        <v>115.80853281120301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0.51117584585278797</v>
      </c>
      <c r="FR107" s="21">
        <f>EXP(-LN(2)/25)*FR106+(1-EXP(-LN(2)/25))/(LN(2)/25)*Calculateur!FM107*Calculateur!FO107*VLOOKUP('Données projet'!$B$16,Paramètres!$A$1:$I$89,3,0)*0.475*44/12</f>
        <v>0.56663264820016934</v>
      </c>
      <c r="FS107" s="21">
        <f>EXP(-LN(2)/2)*FS106+(1-EXP(-LN(2)/2))/(LN(2)/2)*FM107*FP107*VLOOKUP('Données projet'!$B$16,Paramètres!$A$1:$I$89,3,0)*0.475*44/12</f>
        <v>6.1086967853903864E-11</v>
      </c>
      <c r="FT107" s="22">
        <f t="shared" si="78"/>
        <v>1.0778084941140442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5.6843418860808015E-14</v>
      </c>
      <c r="GA107" s="17">
        <f>FZ107*VLOOKUP('Données projet'!$B$17,Paramètres!$A$1:$I$89,3,0)*VLOOKUP('Données projet'!$B$17,Paramètres!$A$1:$I$89,5,0)</f>
        <v>4.5224624045658861E-14</v>
      </c>
      <c r="GB107" s="13">
        <f t="shared" si="103"/>
        <v>7.4514601661523691E-13</v>
      </c>
      <c r="GC107" s="20">
        <f t="shared" si="79"/>
        <v>1.3765621991510601E-12</v>
      </c>
      <c r="GD107" s="59">
        <f t="shared" si="80"/>
        <v>293.33333333333468</v>
      </c>
      <c r="GE107" s="59">
        <f ca="1">AVERAGE(OFFSET($GD$3,0,0,'Données projet'!$E$17+1,1))-AVERAGE(OFFSET($H$3,0,0,'Données projet'!$E$17+1,1))</f>
        <v>199.58763537752952</v>
      </c>
      <c r="GF107" s="59">
        <f t="shared" si="104"/>
        <v>242.62852778451929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1.32150878592266</v>
      </c>
      <c r="GN107" s="21">
        <f>EXP(-LN(2)/2)*GN106+(1-EXP(-LN(2)/2))/(LN(2)/2)*GH107*GK107*VLOOKUP('Données projet'!$B$17,Paramètres!$A$1:$I$89,3,0)*0.475*44/12</f>
        <v>7.8300642731630214E-11</v>
      </c>
      <c r="GO107" s="21">
        <f t="shared" si="81"/>
        <v>1.3215087860009607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5.0961538461538449</v>
      </c>
      <c r="N108" s="13">
        <f>IF('Données projet'!$A$36&gt;35,N107+M108-V107,IF(A108&lt;'Données projet'!$A$36,$K$205^A108,IF(A108='Données projet'!$A$36,'Données projet'!$B$36,N107+M108-V107)))</f>
        <v>205.44871794871764</v>
      </c>
      <c r="O108" s="13">
        <f>N108*VLOOKUP('Données projet'!$B$9,Paramètres!$A$1:$I$89,3,0)*VLOOKUP('Données projet'!$B$9,Paramètres!$A$1:$I$89,5,0)</f>
        <v>185.8899999999997</v>
      </c>
      <c r="P108" s="13">
        <f t="shared" si="87"/>
        <v>46.630136922287527</v>
      </c>
      <c r="Q108" s="20">
        <f t="shared" si="107"/>
        <v>404.97257180631692</v>
      </c>
      <c r="R108" s="59">
        <f t="shared" si="55"/>
        <v>698.30590513965024</v>
      </c>
      <c r="S108" s="59">
        <f ca="1">AVERAGE(OFFSET($R$3,0,0,'Données projet'!$E$9+1,1))-AVERAGE(OFFSET($H$3,0,0,'Données projet'!$E$9+1,1))</f>
        <v>153.45079678708987</v>
      </c>
      <c r="T108" s="59">
        <f t="shared" si="88"/>
        <v>115.4217868409637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208.32499999999973</v>
      </c>
      <c r="AK108" s="13">
        <f t="shared" si="89"/>
        <v>51.569385633240543</v>
      </c>
      <c r="AL108" s="20">
        <f t="shared" si="58"/>
        <v>452.64938831122686</v>
      </c>
      <c r="AM108" s="59">
        <f t="shared" si="59"/>
        <v>745.98272164456012</v>
      </c>
      <c r="AN108" s="59">
        <f ca="1">AVERAGE(OFFSET($AM$3,0,0,'Données projet'!$E$10+1,1))-AVERAGE(OFFSET($H$3,0,0,'Données projet'!$E$10+1,1))</f>
        <v>190.21499310415584</v>
      </c>
      <c r="AO108" s="59">
        <f t="shared" si="90"/>
        <v>136.15730566500173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497</v>
      </c>
      <c r="BE108" s="13">
        <f>BD108*VLOOKUP('Données projet'!$B$11,Paramètres!$A$1:$I$89,3,0)*VLOOKUP('Données projet'!$B$11,Paramètres!$A$1:$I$89,5,0)</f>
        <v>297.20600000000002</v>
      </c>
      <c r="BF108" s="13">
        <f t="shared" si="91"/>
        <v>70.590415164571112</v>
      </c>
      <c r="BG108" s="20">
        <f t="shared" si="61"/>
        <v>640.57875641162809</v>
      </c>
      <c r="BH108" s="59">
        <f t="shared" si="62"/>
        <v>933.91208974496135</v>
      </c>
      <c r="BI108" s="59">
        <f ca="1">AVERAGE(OFFSET($BH$3,0,0,'Données projet'!$E$11+1,1))-AVERAGE(OFFSET($H$3,0,0,'Données projet'!$E$11+1,1))</f>
        <v>270.30888762640245</v>
      </c>
      <c r="BJ108" s="59">
        <f t="shared" si="92"/>
        <v>202.23783851977691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0.48498580577622014</v>
      </c>
      <c r="BQ108" s="21">
        <f>EXP(-LN(2)/25)*BQ107+(1-EXP(-LN(2)/25))/(LN(2)/25)*Calculateur!BL108*Calculateur!BN108*VLOOKUP('Données projet'!$B$11,Paramètres!$A$1:$I$89,3,0)*0.475*44/12</f>
        <v>1.5369010215300936</v>
      </c>
      <c r="BR108" s="21">
        <f>EXP(-LN(2)/2)*BR107+(1-EXP(-LN(2)/2))/(LN(2)/2)*BL108*BO108*VLOOKUP('Données projet'!$B$11,Paramètres!$A$1:$I$89,3,0)*0.475*44/12</f>
        <v>9.5142232991320404E-11</v>
      </c>
      <c r="BS108" s="22">
        <f t="shared" si="63"/>
        <v>2.0218868274014556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497</v>
      </c>
      <c r="BZ108" s="13">
        <f>BY108*VLOOKUP('Données projet'!$B$12,Paramètres!$A$1:$I$89,3,0)*VLOOKUP('Données projet'!$B$12,Paramètres!$A$1:$I$89,5,0)</f>
        <v>297.20600000000002</v>
      </c>
      <c r="CA108" s="13">
        <f t="shared" si="93"/>
        <v>70.590415164571112</v>
      </c>
      <c r="CB108" s="20">
        <f t="shared" si="64"/>
        <v>640.57875641162809</v>
      </c>
      <c r="CC108" s="59">
        <f t="shared" si="65"/>
        <v>933.91208974496135</v>
      </c>
      <c r="CD108" s="59">
        <f ca="1">AVERAGE(OFFSET($CC$3,0,0,'Données projet'!$E$12+1,1))-AVERAGE(OFFSET($H$3,0,0,'Données projet'!$E$12+1,1))</f>
        <v>270.30888762640245</v>
      </c>
      <c r="CE108" s="59">
        <f t="shared" si="94"/>
        <v>202.23783851977691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0.48498580577622014</v>
      </c>
      <c r="CL108" s="21">
        <f>EXP(-LN(2)/25)*CL107+(1-EXP(-LN(2)/25))/(LN(2)/25)*Calculateur!CG108*Calculateur!CI108*VLOOKUP('Données projet'!$B$12,Paramètres!$A$1:$I$89,3,0)*0.475*44/12</f>
        <v>1.5369010215300936</v>
      </c>
      <c r="CM108" s="21">
        <f>EXP(-LN(2)/2)*CM107+(1-EXP(-LN(2)/2))/(LN(2)/2)*CG108*CJ108*VLOOKUP('Données projet'!$B$12,Paramètres!$A$1:$I$89,3,0)*0.475*44/12</f>
        <v>9.5142232991320404E-11</v>
      </c>
      <c r="CN108" s="22">
        <f t="shared" si="66"/>
        <v>2.0218868274014556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309.71538461538461</v>
      </c>
      <c r="CR108" s="12">
        <f>VLOOKUP(A108,'Données projet'!$A$139:$I$159,9,0)</f>
        <v>7.5015384615384617</v>
      </c>
      <c r="CS108" s="12">
        <f t="array" ref="CS108">INDEX(CR:CR,MIN(IF(ISNUMBER(CR108:CR304),ROW(CR108:CR304),"")))</f>
        <v>7.5015384615384617</v>
      </c>
      <c r="CT108" s="12">
        <f>IF('Données projet'!$A$140&gt;35,CT107+CS108-DB107,IF(A108&lt;'Données projet'!$A$140,$CQ$205^A108,IF(A108='Données projet'!$A$140,'Données projet'!$B$140,CT107+CS108-DB107)))</f>
        <v>309.71538461538495</v>
      </c>
      <c r="CU108" s="17">
        <f>CT108*VLOOKUP('Données projet'!$B$13,Paramètres!$A$1:$I$89,3,0)*VLOOKUP('Données projet'!$B$13,Paramètres!$A$1:$I$89,5,0)</f>
        <v>144.94680000000017</v>
      </c>
      <c r="CV108" s="13">
        <f t="shared" si="95"/>
        <v>37.427947530076956</v>
      </c>
      <c r="CW108" s="20">
        <f t="shared" si="67"/>
        <v>317.63601861488428</v>
      </c>
      <c r="CX108" s="59">
        <f t="shared" si="68"/>
        <v>610.96935194821754</v>
      </c>
      <c r="CY108" s="59">
        <f ca="1">AVERAGE(OFFSET($CX$3,0,0,'Données projet'!$E$13+1,1))-AVERAGE(OFFSET($H$3,0,0,'Données projet'!$E$13+1,1))</f>
        <v>158.58786357608489</v>
      </c>
      <c r="CZ108" s="59">
        <f t="shared" si="96"/>
        <v>163.20074068819849</v>
      </c>
      <c r="DA108" s="15">
        <f>IF(ISNA(VLOOKUP(A108,'Données projet'!$A$139:$I$159,3,0)),0,VLOOKUP(A108,'Données projet'!$A$139:$I$159,3,0))</f>
        <v>9</v>
      </c>
      <c r="DB108" s="15">
        <f>IF(ISNA(VLOOKUP(A108,'Données projet'!$A$139:$I$159,4,0)),0,VLOOKUP(A108,'Données projet'!$A$139:$I$159,4,0))</f>
        <v>309.71538461538461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3.813056537183002E-14</v>
      </c>
      <c r="DQ108" s="13">
        <f t="shared" si="97"/>
        <v>6.4086286045526829E-13</v>
      </c>
      <c r="DR108" s="20">
        <f t="shared" si="70"/>
        <v>1.1825802166488628E-12</v>
      </c>
      <c r="DS108" s="59">
        <f t="shared" si="71"/>
        <v>293.33333333333451</v>
      </c>
      <c r="DT108" s="59">
        <f ca="1">AVERAGE(OFFSET($DS$3,0,0,'Données projet'!$E$14+1,1))-AVERAGE(OFFSET($H$3,0,0,'Données projet'!$E$14+1,1))</f>
        <v>156.63226020379989</v>
      </c>
      <c r="DU108" s="59">
        <f t="shared" si="98"/>
        <v>196.0481096619543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1.0837450690801684</v>
      </c>
      <c r="EC108" s="21">
        <f>EXP(-LN(2)/2)*EC107+(1-EXP(-LN(2)/2))/(LN(2)/2)*DW108*DZ108*VLOOKUP('Données projet'!$B$14,Paramètres!$A$1:$I$89,3,0)*0.475*44/12</f>
        <v>4.6681909102204618E-11</v>
      </c>
      <c r="ED108" s="22">
        <f t="shared" si="72"/>
        <v>1.0837450691268504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5.0961538461538449</v>
      </c>
      <c r="EJ108" s="12">
        <f>IF('Données projet'!$A$192&gt;35,EJ107+EI108-ER107,IF(A108&lt;'Données projet'!$A$192,$EG$205^A108,IF(A108='Données projet'!$A$192,'Données projet'!$B$192,EJ107+EI108-ER107)))</f>
        <v>205.44871794871764</v>
      </c>
      <c r="EK108" s="17">
        <f>EJ108*VLOOKUP('Données projet'!$B$15,Paramètres!$A$1:$I$89,3,0)*VLOOKUP('Données projet'!$B$15,Paramètres!$A$1:$I$89,5,0)</f>
        <v>221.14499999999967</v>
      </c>
      <c r="EL108" s="13">
        <f t="shared" si="99"/>
        <v>54.363670578115759</v>
      </c>
      <c r="EM108" s="20">
        <f t="shared" si="73"/>
        <v>479.84426792355094</v>
      </c>
      <c r="EN108" s="59">
        <f t="shared" si="74"/>
        <v>773.17760125688426</v>
      </c>
      <c r="EO108" s="59">
        <f ca="1">AVERAGE(OFFSET($EN$3,0,0,'Données projet'!$E$15+1,1))-AVERAGE(OFFSET($H$3,0,0,'Données projet'!$E$15+1,1))</f>
        <v>211.18501783767226</v>
      </c>
      <c r="EP108" s="59">
        <f t="shared" si="100"/>
        <v>147.98306963466246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498</v>
      </c>
      <c r="FF108" s="17">
        <f>FE108*VLOOKUP('Données projet'!$B$16,Paramètres!$A$1:$I$89,3,0)*VLOOKUP('Données projet'!$B$16,Paramètres!$A$1:$I$89,5,0)</f>
        <v>297.80400000000003</v>
      </c>
      <c r="FG108" s="13">
        <f t="shared" si="101"/>
        <v>70.715900863123025</v>
      </c>
      <c r="FH108" s="20">
        <f t="shared" si="76"/>
        <v>641.83882733660596</v>
      </c>
      <c r="FI108" s="59">
        <f t="shared" si="77"/>
        <v>935.17216066993933</v>
      </c>
      <c r="FJ108" s="59">
        <f ca="1">AVERAGE(OFFSET($FI$3,0,0,'Données projet'!$E$16+1,1))-AVERAGE(OFFSET($H$3,0,0,'Données projet'!$E$16+1,1))</f>
        <v>232.26937455765062</v>
      </c>
      <c r="FK108" s="59">
        <f t="shared" si="102"/>
        <v>115.80853281120301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0.50115199930209442</v>
      </c>
      <c r="FR108" s="21">
        <f>EXP(-LN(2)/25)*FR107+(1-EXP(-LN(2)/25))/(LN(2)/25)*Calculateur!FM108*Calculateur!FO108*VLOOKUP('Données projet'!$B$16,Paramètres!$A$1:$I$89,3,0)*0.475*44/12</f>
        <v>0.55113804863721982</v>
      </c>
      <c r="FS108" s="21">
        <f>EXP(-LN(2)/2)*FS107+(1-EXP(-LN(2)/2))/(LN(2)/2)*FM108*FP108*VLOOKUP('Données projet'!$B$16,Paramètres!$A$1:$I$89,3,0)*0.475*44/12</f>
        <v>4.3195009211620063E-11</v>
      </c>
      <c r="FT108" s="22">
        <f t="shared" si="78"/>
        <v>1.0522900479825092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5.6843418860808015E-14</v>
      </c>
      <c r="GA108" s="17">
        <f>FZ108*VLOOKUP('Données projet'!$B$17,Paramètres!$A$1:$I$89,3,0)*VLOOKUP('Données projet'!$B$17,Paramètres!$A$1:$I$89,5,0)</f>
        <v>4.5224624045658861E-14</v>
      </c>
      <c r="GB108" s="13">
        <f t="shared" si="103"/>
        <v>7.4514601661523691E-13</v>
      </c>
      <c r="GC108" s="20">
        <f t="shared" si="79"/>
        <v>1.3765621991510601E-12</v>
      </c>
      <c r="GD108" s="59">
        <f t="shared" si="80"/>
        <v>293.33333333333468</v>
      </c>
      <c r="GE108" s="59">
        <f ca="1">AVERAGE(OFFSET($GD$3,0,0,'Données projet'!$E$17+1,1))-AVERAGE(OFFSET($H$3,0,0,'Données projet'!$E$17+1,1))</f>
        <v>199.58763537752952</v>
      </c>
      <c r="GF108" s="59">
        <f t="shared" si="104"/>
        <v>242.62852778451929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1.2853720586764781</v>
      </c>
      <c r="GN108" s="21">
        <f>EXP(-LN(2)/2)*GN107+(1-EXP(-LN(2)/2))/(LN(2)/2)*GH108*GK108*VLOOKUP('Données projet'!$B$17,Paramètres!$A$1:$I$89,3,0)*0.475*44/12</f>
        <v>5.5366915446800879E-11</v>
      </c>
      <c r="GO108" s="21">
        <f t="shared" si="81"/>
        <v>1.2853720587318449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5.0961538461538449</v>
      </c>
      <c r="N109" s="13">
        <f>IF('Données projet'!$A$36&gt;35,N108+M109-V108,IF(A109&lt;'Données projet'!$A$36,$K$205^A109,IF(A109='Données projet'!$A$36,'Données projet'!$B$36,N108+M109-V108)))</f>
        <v>210.54487179487148</v>
      </c>
      <c r="O109" s="13">
        <f>N109*VLOOKUP('Données projet'!$B$9,Paramètres!$A$1:$I$89,3,0)*VLOOKUP('Données projet'!$B$9,Paramètres!$A$1:$I$89,5,0)</f>
        <v>190.50099999999969</v>
      </c>
      <c r="P109" s="13">
        <f t="shared" si="87"/>
        <v>47.65069985627148</v>
      </c>
      <c r="Q109" s="20">
        <f t="shared" si="107"/>
        <v>414.78087724967219</v>
      </c>
      <c r="R109" s="59">
        <f t="shared" si="55"/>
        <v>708.1142105830055</v>
      </c>
      <c r="S109" s="59">
        <f ca="1">AVERAGE(OFFSET($R$3,0,0,'Données projet'!$E$9+1,1))-AVERAGE(OFFSET($H$3,0,0,'Données projet'!$E$9+1,1))</f>
        <v>153.45079678708987</v>
      </c>
      <c r="T109" s="59">
        <f t="shared" si="88"/>
        <v>115.4217868409637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213.49249999999969</v>
      </c>
      <c r="AK109" s="13">
        <f t="shared" si="89"/>
        <v>52.698050633588259</v>
      </c>
      <c r="AL109" s="20">
        <f t="shared" si="58"/>
        <v>463.61520902016565</v>
      </c>
      <c r="AM109" s="59">
        <f t="shared" si="59"/>
        <v>756.94854235349896</v>
      </c>
      <c r="AN109" s="59">
        <f ca="1">AVERAGE(OFFSET($AM$3,0,0,'Données projet'!$E$10+1,1))-AVERAGE(OFFSET($H$3,0,0,'Données projet'!$E$10+1,1))</f>
        <v>190.21499310415584</v>
      </c>
      <c r="AO109" s="59">
        <f t="shared" si="90"/>
        <v>136.15730566500173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497</v>
      </c>
      <c r="BE109" s="13">
        <f>BD109*VLOOKUP('Données projet'!$B$11,Paramètres!$A$1:$I$89,3,0)*VLOOKUP('Données projet'!$B$11,Paramètres!$A$1:$I$89,5,0)</f>
        <v>297.20600000000002</v>
      </c>
      <c r="BF109" s="13">
        <f t="shared" si="91"/>
        <v>70.590415164571112</v>
      </c>
      <c r="BG109" s="20">
        <f t="shared" si="61"/>
        <v>640.57875641162809</v>
      </c>
      <c r="BH109" s="59">
        <f t="shared" si="62"/>
        <v>933.91208974496135</v>
      </c>
      <c r="BI109" s="59">
        <f ca="1">AVERAGE(OFFSET($BH$3,0,0,'Données projet'!$E$11+1,1))-AVERAGE(OFFSET($H$3,0,0,'Données projet'!$E$11+1,1))</f>
        <v>270.30888762640245</v>
      </c>
      <c r="BJ109" s="59">
        <f t="shared" si="92"/>
        <v>202.23783851977691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0.47547552993708098</v>
      </c>
      <c r="BQ109" s="21">
        <f>EXP(-LN(2)/25)*BQ108+(1-EXP(-LN(2)/25))/(LN(2)/25)*Calculateur!BL109*Calculateur!BN109*VLOOKUP('Données projet'!$B$11,Paramètres!$A$1:$I$89,3,0)*0.475*44/12</f>
        <v>1.494874382274241</v>
      </c>
      <c r="BR109" s="21">
        <f>EXP(-LN(2)/2)*BR108+(1-EXP(-LN(2)/2))/(LN(2)/2)*BL109*BO109*VLOOKUP('Données projet'!$B$11,Paramètres!$A$1:$I$89,3,0)*0.475*44/12</f>
        <v>6.7275718125393119E-11</v>
      </c>
      <c r="BS109" s="22">
        <f t="shared" si="63"/>
        <v>1.9703499122785977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497</v>
      </c>
      <c r="BZ109" s="13">
        <f>BY109*VLOOKUP('Données projet'!$B$12,Paramètres!$A$1:$I$89,3,0)*VLOOKUP('Données projet'!$B$12,Paramètres!$A$1:$I$89,5,0)</f>
        <v>297.20600000000002</v>
      </c>
      <c r="CA109" s="13">
        <f t="shared" si="93"/>
        <v>70.590415164571112</v>
      </c>
      <c r="CB109" s="20">
        <f t="shared" si="64"/>
        <v>640.57875641162809</v>
      </c>
      <c r="CC109" s="59">
        <f t="shared" si="65"/>
        <v>933.91208974496135</v>
      </c>
      <c r="CD109" s="59">
        <f ca="1">AVERAGE(OFFSET($CC$3,0,0,'Données projet'!$E$12+1,1))-AVERAGE(OFFSET($H$3,0,0,'Données projet'!$E$12+1,1))</f>
        <v>270.30888762640245</v>
      </c>
      <c r="CE109" s="59">
        <f t="shared" si="94"/>
        <v>202.23783851977691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0.47547552993708098</v>
      </c>
      <c r="CL109" s="21">
        <f>EXP(-LN(2)/25)*CL108+(1-EXP(-LN(2)/25))/(LN(2)/25)*Calculateur!CG109*Calculateur!CI109*VLOOKUP('Données projet'!$B$12,Paramètres!$A$1:$I$89,3,0)*0.475*44/12</f>
        <v>1.494874382274241</v>
      </c>
      <c r="CM109" s="21">
        <f>EXP(-LN(2)/2)*CM108+(1-EXP(-LN(2)/2))/(LN(2)/2)*CG109*CJ109*VLOOKUP('Données projet'!$B$12,Paramètres!$A$1:$I$89,3,0)*0.475*44/12</f>
        <v>6.7275718125393119E-11</v>
      </c>
      <c r="CN109" s="22">
        <f t="shared" si="66"/>
        <v>1.9703499122785977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3.4106051316484809E-13</v>
      </c>
      <c r="CU109" s="17">
        <f>CT109*VLOOKUP('Données projet'!$B$13,Paramètres!$A$1:$I$89,3,0)*VLOOKUP('Données projet'!$B$13,Paramètres!$A$1:$I$89,5,0)</f>
        <v>1.5961632016114892E-13</v>
      </c>
      <c r="CV109" s="13">
        <f t="shared" si="95"/>
        <v>2.2708641912150958E-12</v>
      </c>
      <c r="CW109" s="20">
        <f t="shared" si="67"/>
        <v>4.2330868906469593E-12</v>
      </c>
      <c r="CX109" s="59">
        <f t="shared" si="68"/>
        <v>293.33333333333752</v>
      </c>
      <c r="CY109" s="59">
        <f ca="1">AVERAGE(OFFSET($CX$3,0,0,'Données projet'!$E$13+1,1))-AVERAGE(OFFSET($H$3,0,0,'Données projet'!$E$13+1,1))</f>
        <v>158.58786357608489</v>
      </c>
      <c r="CZ109" s="59">
        <f t="shared" si="96"/>
        <v>163.20074068819849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3.813056537183002E-14</v>
      </c>
      <c r="DQ109" s="13">
        <f t="shared" si="97"/>
        <v>6.4086286045526829E-13</v>
      </c>
      <c r="DR109" s="20">
        <f t="shared" si="70"/>
        <v>1.1825802166488628E-12</v>
      </c>
      <c r="DS109" s="59">
        <f t="shared" si="71"/>
        <v>293.33333333333451</v>
      </c>
      <c r="DT109" s="59">
        <f ca="1">AVERAGE(OFFSET($DS$3,0,0,'Données projet'!$E$14+1,1))-AVERAGE(OFFSET($H$3,0,0,'Données projet'!$E$14+1,1))</f>
        <v>156.63226020379989</v>
      </c>
      <c r="DU109" s="59">
        <f t="shared" si="98"/>
        <v>196.0481096619543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1.054110003174495</v>
      </c>
      <c r="EC109" s="21">
        <f>EXP(-LN(2)/2)*EC108+(1-EXP(-LN(2)/2))/(LN(2)/2)*DW109*DZ109*VLOOKUP('Données projet'!$B$14,Paramètres!$A$1:$I$89,3,0)*0.475*44/12</f>
        <v>3.3009094484902902E-11</v>
      </c>
      <c r="ED109" s="22">
        <f t="shared" si="72"/>
        <v>1.0541100032075041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5.0961538461538449</v>
      </c>
      <c r="EJ109" s="12">
        <f>IF('Données projet'!$A$192&gt;35,EJ108+EI109-ER108,IF(A109&lt;'Données projet'!$A$192,$EG$205^A109,IF(A109='Données projet'!$A$192,'Données projet'!$B$192,EJ108+EI109-ER108)))</f>
        <v>210.54487179487148</v>
      </c>
      <c r="EK109" s="17">
        <f>EJ109*VLOOKUP('Données projet'!$B$15,Paramètres!$A$1:$I$89,3,0)*VLOOKUP('Données projet'!$B$15,Paramètres!$A$1:$I$89,5,0)</f>
        <v>226.63049999999964</v>
      </c>
      <c r="EL109" s="13">
        <f t="shared" si="99"/>
        <v>55.553492243014645</v>
      </c>
      <c r="EM109" s="20">
        <f t="shared" si="73"/>
        <v>491.47045315658323</v>
      </c>
      <c r="EN109" s="59">
        <f t="shared" si="74"/>
        <v>784.80378648991655</v>
      </c>
      <c r="EO109" s="59">
        <f ca="1">AVERAGE(OFFSET($EN$3,0,0,'Données projet'!$E$15+1,1))-AVERAGE(OFFSET($H$3,0,0,'Données projet'!$E$15+1,1))</f>
        <v>211.18501783767226</v>
      </c>
      <c r="EP109" s="59">
        <f t="shared" si="100"/>
        <v>147.98306963466246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498</v>
      </c>
      <c r="FF109" s="17">
        <f>FE109*VLOOKUP('Données projet'!$B$16,Paramètres!$A$1:$I$89,3,0)*VLOOKUP('Données projet'!$B$16,Paramètres!$A$1:$I$89,5,0)</f>
        <v>297.80400000000003</v>
      </c>
      <c r="FG109" s="13">
        <f t="shared" si="101"/>
        <v>70.715900863123025</v>
      </c>
      <c r="FH109" s="20">
        <f t="shared" si="76"/>
        <v>641.83882733660596</v>
      </c>
      <c r="FI109" s="59">
        <f t="shared" si="77"/>
        <v>935.17216066993933</v>
      </c>
      <c r="FJ109" s="59">
        <f ca="1">AVERAGE(OFFSET($FI$3,0,0,'Données projet'!$E$16+1,1))-AVERAGE(OFFSET($H$3,0,0,'Données projet'!$E$16+1,1))</f>
        <v>232.26937455765062</v>
      </c>
      <c r="FK109" s="59">
        <f t="shared" si="102"/>
        <v>115.80853281120301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0.49132471426831725</v>
      </c>
      <c r="FR109" s="21">
        <f>EXP(-LN(2)/25)*FR108+(1-EXP(-LN(2)/25))/(LN(2)/25)*Calculateur!FM109*Calculateur!FO109*VLOOKUP('Données projet'!$B$16,Paramètres!$A$1:$I$89,3,0)*0.475*44/12</f>
        <v>0.53606714971414471</v>
      </c>
      <c r="FS109" s="21">
        <f>EXP(-LN(2)/2)*FS108+(1-EXP(-LN(2)/2))/(LN(2)/2)*FM109*FP109*VLOOKUP('Données projet'!$B$16,Paramètres!$A$1:$I$89,3,0)*0.475*44/12</f>
        <v>3.0543483926951932E-11</v>
      </c>
      <c r="FT109" s="22">
        <f t="shared" si="78"/>
        <v>1.0273918640130055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5.6843418860808015E-14</v>
      </c>
      <c r="GA109" s="17">
        <f>FZ109*VLOOKUP('Données projet'!$B$17,Paramètres!$A$1:$I$89,3,0)*VLOOKUP('Données projet'!$B$17,Paramètres!$A$1:$I$89,5,0)</f>
        <v>4.5224624045658861E-14</v>
      </c>
      <c r="GB109" s="13">
        <f t="shared" si="103"/>
        <v>7.4514601661523691E-13</v>
      </c>
      <c r="GC109" s="20">
        <f t="shared" si="79"/>
        <v>1.3765621991510601E-12</v>
      </c>
      <c r="GD109" s="59">
        <f t="shared" si="80"/>
        <v>293.33333333333468</v>
      </c>
      <c r="GE109" s="59">
        <f ca="1">AVERAGE(OFFSET($GD$3,0,0,'Données projet'!$E$17+1,1))-AVERAGE(OFFSET($H$3,0,0,'Données projet'!$E$17+1,1))</f>
        <v>199.58763537752952</v>
      </c>
      <c r="GF109" s="59">
        <f t="shared" si="104"/>
        <v>242.62852778451929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1.2502234921371911</v>
      </c>
      <c r="GN109" s="21">
        <f>EXP(-LN(2)/2)*GN108+(1-EXP(-LN(2)/2))/(LN(2)/2)*GH109*GK109*VLOOKUP('Données projet'!$B$17,Paramètres!$A$1:$I$89,3,0)*0.475*44/12</f>
        <v>3.9150321365815107E-11</v>
      </c>
      <c r="GO109" s="21">
        <f t="shared" si="81"/>
        <v>1.2502234921763413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5.0961538461538449</v>
      </c>
      <c r="N110" s="13">
        <f>IF('Données projet'!$A$36&gt;35,N109+M110-V109,IF(A110&lt;'Données projet'!$A$36,$K$205^A110,IF(A110='Données projet'!$A$36,'Données projet'!$B$36,N109+M110-V109)))</f>
        <v>215.64102564102532</v>
      </c>
      <c r="O110" s="13">
        <f>N110*VLOOKUP('Données projet'!$B$9,Paramètres!$A$1:$I$89,3,0)*VLOOKUP('Données projet'!$B$9,Paramètres!$A$1:$I$89,5,0)</f>
        <v>195.11199999999971</v>
      </c>
      <c r="P110" s="13">
        <f t="shared" si="87"/>
        <v>48.668391191190658</v>
      </c>
      <c r="Q110" s="20">
        <f t="shared" si="107"/>
        <v>424.58418132465653</v>
      </c>
      <c r="R110" s="59">
        <f t="shared" si="55"/>
        <v>717.91751465798984</v>
      </c>
      <c r="S110" s="59">
        <f ca="1">AVERAGE(OFFSET($R$3,0,0,'Données projet'!$E$9+1,1))-AVERAGE(OFFSET($H$3,0,0,'Données projet'!$E$9+1,1))</f>
        <v>153.45079678708987</v>
      </c>
      <c r="T110" s="59">
        <f t="shared" si="88"/>
        <v>115.4217868409637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218.65999999999968</v>
      </c>
      <c r="AK110" s="13">
        <f t="shared" si="89"/>
        <v>53.823539863729678</v>
      </c>
      <c r="AL110" s="20">
        <f t="shared" si="58"/>
        <v>474.57549859599521</v>
      </c>
      <c r="AM110" s="59">
        <f t="shared" si="59"/>
        <v>767.90883192932847</v>
      </c>
      <c r="AN110" s="59">
        <f ca="1">AVERAGE(OFFSET($AM$3,0,0,'Données projet'!$E$10+1,1))-AVERAGE(OFFSET($H$3,0,0,'Données projet'!$E$10+1,1))</f>
        <v>190.21499310415584</v>
      </c>
      <c r="AO110" s="59">
        <f t="shared" si="90"/>
        <v>136.15730566500173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497</v>
      </c>
      <c r="BE110" s="13">
        <f>BD110*VLOOKUP('Données projet'!$B$11,Paramètres!$A$1:$I$89,3,0)*VLOOKUP('Données projet'!$B$11,Paramètres!$A$1:$I$89,5,0)</f>
        <v>297.20600000000002</v>
      </c>
      <c r="BF110" s="13">
        <f t="shared" si="91"/>
        <v>70.590415164571112</v>
      </c>
      <c r="BG110" s="20">
        <f t="shared" si="61"/>
        <v>640.57875641162809</v>
      </c>
      <c r="BH110" s="59">
        <f t="shared" si="62"/>
        <v>933.91208974496135</v>
      </c>
      <c r="BI110" s="59">
        <f ca="1">AVERAGE(OFFSET($BH$3,0,0,'Données projet'!$E$11+1,1))-AVERAGE(OFFSET($H$3,0,0,'Données projet'!$E$11+1,1))</f>
        <v>270.30888762640245</v>
      </c>
      <c r="BJ110" s="59">
        <f t="shared" si="92"/>
        <v>202.23783851977691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0.46615174480645183</v>
      </c>
      <c r="BQ110" s="21">
        <f>EXP(-LN(2)/25)*BQ109+(1-EXP(-LN(2)/25))/(LN(2)/25)*Calculateur!BL110*Calculateur!BN110*VLOOKUP('Données projet'!$B$11,Paramètres!$A$1:$I$89,3,0)*0.475*44/12</f>
        <v>1.4539969636789247</v>
      </c>
      <c r="BR110" s="21">
        <f>EXP(-LN(2)/2)*BR109+(1-EXP(-LN(2)/2))/(LN(2)/2)*BL110*BO110*VLOOKUP('Données projet'!$B$11,Paramètres!$A$1:$I$89,3,0)*0.475*44/12</f>
        <v>4.7571116495660202E-11</v>
      </c>
      <c r="BS110" s="22">
        <f t="shared" si="63"/>
        <v>1.9201487085329476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497</v>
      </c>
      <c r="BZ110" s="13">
        <f>BY110*VLOOKUP('Données projet'!$B$12,Paramètres!$A$1:$I$89,3,0)*VLOOKUP('Données projet'!$B$12,Paramètres!$A$1:$I$89,5,0)</f>
        <v>297.20600000000002</v>
      </c>
      <c r="CA110" s="13">
        <f t="shared" si="93"/>
        <v>70.590415164571112</v>
      </c>
      <c r="CB110" s="20">
        <f t="shared" si="64"/>
        <v>640.57875641162809</v>
      </c>
      <c r="CC110" s="59">
        <f t="shared" si="65"/>
        <v>933.91208974496135</v>
      </c>
      <c r="CD110" s="59">
        <f ca="1">AVERAGE(OFFSET($CC$3,0,0,'Données projet'!$E$12+1,1))-AVERAGE(OFFSET($H$3,0,0,'Données projet'!$E$12+1,1))</f>
        <v>270.30888762640245</v>
      </c>
      <c r="CE110" s="59">
        <f t="shared" si="94"/>
        <v>202.23783851977691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0.46615174480645183</v>
      </c>
      <c r="CL110" s="21">
        <f>EXP(-LN(2)/25)*CL109+(1-EXP(-LN(2)/25))/(LN(2)/25)*Calculateur!CG110*Calculateur!CI110*VLOOKUP('Données projet'!$B$12,Paramètres!$A$1:$I$89,3,0)*0.475*44/12</f>
        <v>1.4539969636789247</v>
      </c>
      <c r="CM110" s="21">
        <f>EXP(-LN(2)/2)*CM109+(1-EXP(-LN(2)/2))/(LN(2)/2)*CG110*CJ110*VLOOKUP('Données projet'!$B$12,Paramètres!$A$1:$I$89,3,0)*0.475*44/12</f>
        <v>4.7571116495660202E-11</v>
      </c>
      <c r="CN110" s="22">
        <f t="shared" si="66"/>
        <v>1.9201487085329476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3.4106051316484809E-13</v>
      </c>
      <c r="CU110" s="17">
        <f>CT110*VLOOKUP('Données projet'!$B$13,Paramètres!$A$1:$I$89,3,0)*VLOOKUP('Données projet'!$B$13,Paramètres!$A$1:$I$89,5,0)</f>
        <v>1.5961632016114892E-13</v>
      </c>
      <c r="CV110" s="13">
        <f t="shared" si="95"/>
        <v>2.2708641912150958E-12</v>
      </c>
      <c r="CW110" s="20">
        <f t="shared" si="67"/>
        <v>4.2330868906469593E-12</v>
      </c>
      <c r="CX110" s="59">
        <f t="shared" si="68"/>
        <v>293.33333333333752</v>
      </c>
      <c r="CY110" s="59">
        <f ca="1">AVERAGE(OFFSET($CX$3,0,0,'Données projet'!$E$13+1,1))-AVERAGE(OFFSET($H$3,0,0,'Données projet'!$E$13+1,1))</f>
        <v>158.58786357608489</v>
      </c>
      <c r="CZ110" s="59">
        <f t="shared" si="96"/>
        <v>163.20074068819849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3.813056537183002E-14</v>
      </c>
      <c r="DQ110" s="13">
        <f t="shared" si="97"/>
        <v>6.4086286045526829E-13</v>
      </c>
      <c r="DR110" s="20">
        <f t="shared" si="70"/>
        <v>1.1825802166488628E-12</v>
      </c>
      <c r="DS110" s="59">
        <f t="shared" si="71"/>
        <v>293.33333333333451</v>
      </c>
      <c r="DT110" s="59">
        <f ca="1">AVERAGE(OFFSET($DS$3,0,0,'Données projet'!$E$14+1,1))-AVERAGE(OFFSET($H$3,0,0,'Données projet'!$E$14+1,1))</f>
        <v>156.63226020379989</v>
      </c>
      <c r="DU110" s="59">
        <f t="shared" si="98"/>
        <v>196.0481096619543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1.0252853097044525</v>
      </c>
      <c r="EC110" s="21">
        <f>EXP(-LN(2)/2)*EC109+(1-EXP(-LN(2)/2))/(LN(2)/2)*DW110*DZ110*VLOOKUP('Données projet'!$B$14,Paramètres!$A$1:$I$89,3,0)*0.475*44/12</f>
        <v>2.3340954551102309E-11</v>
      </c>
      <c r="ED110" s="22">
        <f t="shared" si="72"/>
        <v>1.0252853097277934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5.0961538461538449</v>
      </c>
      <c r="EJ110" s="12">
        <f>IF('Données projet'!$A$192&gt;35,EJ109+EI110-ER109,IF(A110&lt;'Données projet'!$A$192,$EG$205^A110,IF(A110='Données projet'!$A$192,'Données projet'!$B$192,EJ109+EI110-ER109)))</f>
        <v>215.64102564102532</v>
      </c>
      <c r="EK110" s="17">
        <f>EJ110*VLOOKUP('Données projet'!$B$15,Paramètres!$A$1:$I$89,3,0)*VLOOKUP('Données projet'!$B$15,Paramètres!$A$1:$I$89,5,0)</f>
        <v>232.11599999999967</v>
      </c>
      <c r="EL110" s="13">
        <f t="shared" si="99"/>
        <v>56.739966058734943</v>
      </c>
      <c r="EM110" s="20">
        <f t="shared" si="73"/>
        <v>503.0908075522961</v>
      </c>
      <c r="EN110" s="59">
        <f t="shared" si="74"/>
        <v>796.42414088562941</v>
      </c>
      <c r="EO110" s="59">
        <f ca="1">AVERAGE(OFFSET($EN$3,0,0,'Données projet'!$E$15+1,1))-AVERAGE(OFFSET($H$3,0,0,'Données projet'!$E$15+1,1))</f>
        <v>211.18501783767226</v>
      </c>
      <c r="EP110" s="59">
        <f t="shared" si="100"/>
        <v>147.98306963466246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498</v>
      </c>
      <c r="FF110" s="17">
        <f>FE110*VLOOKUP('Données projet'!$B$16,Paramètres!$A$1:$I$89,3,0)*VLOOKUP('Données projet'!$B$16,Paramètres!$A$1:$I$89,5,0)</f>
        <v>297.80400000000003</v>
      </c>
      <c r="FG110" s="13">
        <f t="shared" si="101"/>
        <v>70.715900863123025</v>
      </c>
      <c r="FH110" s="20">
        <f t="shared" si="76"/>
        <v>641.83882733660596</v>
      </c>
      <c r="FI110" s="59">
        <f t="shared" si="77"/>
        <v>935.17216066993933</v>
      </c>
      <c r="FJ110" s="59">
        <f ca="1">AVERAGE(OFFSET($FI$3,0,0,'Données projet'!$E$16+1,1))-AVERAGE(OFFSET($H$3,0,0,'Données projet'!$E$16+1,1))</f>
        <v>232.26937455765062</v>
      </c>
      <c r="FK110" s="59">
        <f t="shared" si="102"/>
        <v>115.80853281120301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0.48169013630000046</v>
      </c>
      <c r="FR110" s="21">
        <f>EXP(-LN(2)/25)*FR109+(1-EXP(-LN(2)/25))/(LN(2)/25)*Calculateur!FM110*Calculateur!FO110*VLOOKUP('Données projet'!$B$16,Paramètres!$A$1:$I$89,3,0)*0.475*44/12</f>
        <v>0.52140836531466517</v>
      </c>
      <c r="FS110" s="21">
        <f>EXP(-LN(2)/2)*FS109+(1-EXP(-LN(2)/2))/(LN(2)/2)*FM110*FP110*VLOOKUP('Données projet'!$B$16,Paramètres!$A$1:$I$89,3,0)*0.475*44/12</f>
        <v>2.1597504605810032E-11</v>
      </c>
      <c r="FT110" s="22">
        <f t="shared" si="78"/>
        <v>1.0030985016362632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5.6843418860808015E-14</v>
      </c>
      <c r="GA110" s="17">
        <f>FZ110*VLOOKUP('Données projet'!$B$17,Paramètres!$A$1:$I$89,3,0)*VLOOKUP('Données projet'!$B$17,Paramètres!$A$1:$I$89,5,0)</f>
        <v>4.5224624045658861E-14</v>
      </c>
      <c r="GB110" s="13">
        <f t="shared" si="103"/>
        <v>7.4514601661523691E-13</v>
      </c>
      <c r="GC110" s="20">
        <f t="shared" si="79"/>
        <v>1.3765621991510601E-12</v>
      </c>
      <c r="GD110" s="59">
        <f t="shared" si="80"/>
        <v>293.33333333333468</v>
      </c>
      <c r="GE110" s="59">
        <f ca="1">AVERAGE(OFFSET($GD$3,0,0,'Données projet'!$E$17+1,1))-AVERAGE(OFFSET($H$3,0,0,'Données projet'!$E$17+1,1))</f>
        <v>199.58763537752952</v>
      </c>
      <c r="GF110" s="59">
        <f t="shared" si="104"/>
        <v>242.62852778451929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1.2160360649983035</v>
      </c>
      <c r="GN110" s="21">
        <f>EXP(-LN(2)/2)*GN109+(1-EXP(-LN(2)/2))/(LN(2)/2)*GH110*GK110*VLOOKUP('Données projet'!$B$17,Paramètres!$A$1:$I$89,3,0)*0.475*44/12</f>
        <v>2.7683457723400439E-11</v>
      </c>
      <c r="GO110" s="21">
        <f t="shared" si="81"/>
        <v>1.2160360650259869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5.0961538461538449</v>
      </c>
      <c r="N111" s="13">
        <f>IF('Données projet'!$A$36&gt;35,N110+M111-V110,IF(A111&lt;'Données projet'!$A$36,$K$205^A111,IF(A111='Données projet'!$A$36,'Données projet'!$B$36,N110+M111-V110)))</f>
        <v>220.73717948717916</v>
      </c>
      <c r="O111" s="13">
        <f>N111*VLOOKUP('Données projet'!$B$9,Paramètres!$A$1:$I$89,3,0)*VLOOKUP('Données projet'!$B$9,Paramètres!$A$1:$I$89,5,0)</f>
        <v>199.7229999999997</v>
      </c>
      <c r="P111" s="13">
        <f t="shared" si="87"/>
        <v>49.683286599758986</v>
      </c>
      <c r="Q111" s="20">
        <f t="shared" si="107"/>
        <v>434.38261582791301</v>
      </c>
      <c r="R111" s="59">
        <f t="shared" si="55"/>
        <v>727.71594916124627</v>
      </c>
      <c r="S111" s="59">
        <f ca="1">AVERAGE(OFFSET($R$3,0,0,'Données projet'!$E$9+1,1))-AVERAGE(OFFSET($H$3,0,0,'Données projet'!$E$9+1,1))</f>
        <v>153.45079678708987</v>
      </c>
      <c r="T111" s="59">
        <f t="shared" si="88"/>
        <v>115.4217868409637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223.82749999999967</v>
      </c>
      <c r="AK111" s="13">
        <f t="shared" si="89"/>
        <v>54.94593701193218</v>
      </c>
      <c r="AL111" s="20">
        <f t="shared" si="58"/>
        <v>485.53040279578119</v>
      </c>
      <c r="AM111" s="59">
        <f t="shared" si="59"/>
        <v>778.8637361291145</v>
      </c>
      <c r="AN111" s="59">
        <f ca="1">AVERAGE(OFFSET($AM$3,0,0,'Données projet'!$E$10+1,1))-AVERAGE(OFFSET($H$3,0,0,'Données projet'!$E$10+1,1))</f>
        <v>190.21499310415584</v>
      </c>
      <c r="AO111" s="59">
        <f t="shared" si="90"/>
        <v>136.15730566500173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497</v>
      </c>
      <c r="BE111" s="13">
        <f>BD111*VLOOKUP('Données projet'!$B$11,Paramètres!$A$1:$I$89,3,0)*VLOOKUP('Données projet'!$B$11,Paramètres!$A$1:$I$89,5,0)</f>
        <v>297.20600000000002</v>
      </c>
      <c r="BF111" s="13">
        <f t="shared" si="91"/>
        <v>70.590415164571112</v>
      </c>
      <c r="BG111" s="20">
        <f t="shared" si="61"/>
        <v>640.57875641162809</v>
      </c>
      <c r="BH111" s="59">
        <f t="shared" si="62"/>
        <v>933.91208974496135</v>
      </c>
      <c r="BI111" s="59">
        <f ca="1">AVERAGE(OFFSET($BH$3,0,0,'Données projet'!$E$11+1,1))-AVERAGE(OFFSET($H$3,0,0,'Données projet'!$E$11+1,1))</f>
        <v>270.30888762640245</v>
      </c>
      <c r="BJ111" s="59">
        <f t="shared" si="92"/>
        <v>202.23783851977691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0.45701079341528694</v>
      </c>
      <c r="BQ111" s="21">
        <f>EXP(-LN(2)/25)*BQ110+(1-EXP(-LN(2)/25))/(LN(2)/25)*Calculateur!BL111*Calculateur!BN111*VLOOKUP('Données projet'!$B$11,Paramètres!$A$1:$I$89,3,0)*0.475*44/12</f>
        <v>1.4142373402447475</v>
      </c>
      <c r="BR111" s="21">
        <f>EXP(-LN(2)/2)*BR110+(1-EXP(-LN(2)/2))/(LN(2)/2)*BL111*BO111*VLOOKUP('Données projet'!$B$11,Paramètres!$A$1:$I$89,3,0)*0.475*44/12</f>
        <v>3.363785906269656E-11</v>
      </c>
      <c r="BS111" s="22">
        <f t="shared" si="63"/>
        <v>1.8712481336936722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497</v>
      </c>
      <c r="BZ111" s="13">
        <f>BY111*VLOOKUP('Données projet'!$B$12,Paramètres!$A$1:$I$89,3,0)*VLOOKUP('Données projet'!$B$12,Paramètres!$A$1:$I$89,5,0)</f>
        <v>297.20600000000002</v>
      </c>
      <c r="CA111" s="13">
        <f t="shared" si="93"/>
        <v>70.590415164571112</v>
      </c>
      <c r="CB111" s="20">
        <f t="shared" si="64"/>
        <v>640.57875641162809</v>
      </c>
      <c r="CC111" s="59">
        <f t="shared" si="65"/>
        <v>933.91208974496135</v>
      </c>
      <c r="CD111" s="59">
        <f ca="1">AVERAGE(OFFSET($CC$3,0,0,'Données projet'!$E$12+1,1))-AVERAGE(OFFSET($H$3,0,0,'Données projet'!$E$12+1,1))</f>
        <v>270.30888762640245</v>
      </c>
      <c r="CE111" s="59">
        <f t="shared" si="94"/>
        <v>202.23783851977691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0.45701079341528694</v>
      </c>
      <c r="CL111" s="21">
        <f>EXP(-LN(2)/25)*CL110+(1-EXP(-LN(2)/25))/(LN(2)/25)*Calculateur!CG111*Calculateur!CI111*VLOOKUP('Données projet'!$B$12,Paramètres!$A$1:$I$89,3,0)*0.475*44/12</f>
        <v>1.4142373402447475</v>
      </c>
      <c r="CM111" s="21">
        <f>EXP(-LN(2)/2)*CM110+(1-EXP(-LN(2)/2))/(LN(2)/2)*CG111*CJ111*VLOOKUP('Données projet'!$B$12,Paramètres!$A$1:$I$89,3,0)*0.475*44/12</f>
        <v>3.363785906269656E-11</v>
      </c>
      <c r="CN111" s="22">
        <f t="shared" si="66"/>
        <v>1.8712481336936722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3.4106051316484809E-13</v>
      </c>
      <c r="CU111" s="17">
        <f>CT111*VLOOKUP('Données projet'!$B$13,Paramètres!$A$1:$I$89,3,0)*VLOOKUP('Données projet'!$B$13,Paramètres!$A$1:$I$89,5,0)</f>
        <v>1.5961632016114892E-13</v>
      </c>
      <c r="CV111" s="13">
        <f t="shared" si="95"/>
        <v>2.2708641912150958E-12</v>
      </c>
      <c r="CW111" s="20">
        <f t="shared" si="67"/>
        <v>4.2330868906469593E-12</v>
      </c>
      <c r="CX111" s="59">
        <f t="shared" si="68"/>
        <v>293.33333333333752</v>
      </c>
      <c r="CY111" s="59">
        <f ca="1">AVERAGE(OFFSET($CX$3,0,0,'Données projet'!$E$13+1,1))-AVERAGE(OFFSET($H$3,0,0,'Données projet'!$E$13+1,1))</f>
        <v>158.58786357608489</v>
      </c>
      <c r="CZ111" s="59">
        <f t="shared" si="96"/>
        <v>163.20074068819849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3.813056537183002E-14</v>
      </c>
      <c r="DQ111" s="13">
        <f t="shared" si="97"/>
        <v>6.4086286045526829E-13</v>
      </c>
      <c r="DR111" s="20">
        <f t="shared" si="70"/>
        <v>1.1825802166488628E-12</v>
      </c>
      <c r="DS111" s="59">
        <f t="shared" si="71"/>
        <v>293.33333333333451</v>
      </c>
      <c r="DT111" s="59">
        <f ca="1">AVERAGE(OFFSET($DS$3,0,0,'Données projet'!$E$14+1,1))-AVERAGE(OFFSET($H$3,0,0,'Données projet'!$E$14+1,1))</f>
        <v>156.63226020379989</v>
      </c>
      <c r="DU111" s="59">
        <f t="shared" si="98"/>
        <v>196.0481096619543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0.99724882899317313</v>
      </c>
      <c r="EC111" s="21">
        <f>EXP(-LN(2)/2)*EC110+(1-EXP(-LN(2)/2))/(LN(2)/2)*DW111*DZ111*VLOOKUP('Données projet'!$B$14,Paramètres!$A$1:$I$89,3,0)*0.475*44/12</f>
        <v>1.6504547242451451E-11</v>
      </c>
      <c r="ED111" s="22">
        <f t="shared" si="72"/>
        <v>0.99724882900967771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5.0961538461538449</v>
      </c>
      <c r="EJ111" s="12">
        <f>IF('Données projet'!$A$192&gt;35,EJ110+EI111-ER110,IF(A111&lt;'Données projet'!$A$192,$EG$205^A111,IF(A111='Données projet'!$A$192,'Données projet'!$B$192,EJ110+EI111-ER110)))</f>
        <v>220.73717948717916</v>
      </c>
      <c r="EK111" s="17">
        <f>EJ111*VLOOKUP('Données projet'!$B$15,Paramètres!$A$1:$I$89,3,0)*VLOOKUP('Données projet'!$B$15,Paramètres!$A$1:$I$89,5,0)</f>
        <v>237.60149999999965</v>
      </c>
      <c r="EL111" s="13">
        <f t="shared" si="99"/>
        <v>57.923180248189368</v>
      </c>
      <c r="EM111" s="20">
        <f t="shared" si="73"/>
        <v>514.70548476559588</v>
      </c>
      <c r="EN111" s="59">
        <f t="shared" si="74"/>
        <v>808.03881809892914</v>
      </c>
      <c r="EO111" s="59">
        <f ca="1">AVERAGE(OFFSET($EN$3,0,0,'Données projet'!$E$15+1,1))-AVERAGE(OFFSET($H$3,0,0,'Données projet'!$E$15+1,1))</f>
        <v>211.18501783767226</v>
      </c>
      <c r="EP111" s="59">
        <f t="shared" si="100"/>
        <v>147.98306963466246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498</v>
      </c>
      <c r="FF111" s="17">
        <f>FE111*VLOOKUP('Données projet'!$B$16,Paramètres!$A$1:$I$89,3,0)*VLOOKUP('Données projet'!$B$16,Paramètres!$A$1:$I$89,5,0)</f>
        <v>297.80400000000003</v>
      </c>
      <c r="FG111" s="13">
        <f t="shared" si="101"/>
        <v>70.715900863123025</v>
      </c>
      <c r="FH111" s="20">
        <f t="shared" si="76"/>
        <v>641.83882733660596</v>
      </c>
      <c r="FI111" s="59">
        <f t="shared" si="77"/>
        <v>935.17216066993933</v>
      </c>
      <c r="FJ111" s="59">
        <f ca="1">AVERAGE(OFFSET($FI$3,0,0,'Données projet'!$E$16+1,1))-AVERAGE(OFFSET($H$3,0,0,'Données projet'!$E$16+1,1))</f>
        <v>232.26937455765062</v>
      </c>
      <c r="FK111" s="59">
        <f t="shared" si="102"/>
        <v>115.80853281120301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0.47224448652913004</v>
      </c>
      <c r="FR111" s="21">
        <f>EXP(-LN(2)/25)*FR110+(1-EXP(-LN(2)/25))/(LN(2)/25)*Calculateur!FM111*Calculateur!FO111*VLOOKUP('Données projet'!$B$16,Paramètres!$A$1:$I$89,3,0)*0.475*44/12</f>
        <v>0.50715042614546146</v>
      </c>
      <c r="FS111" s="21">
        <f>EXP(-LN(2)/2)*FS110+(1-EXP(-LN(2)/2))/(LN(2)/2)*FM111*FP111*VLOOKUP('Données projet'!$B$16,Paramètres!$A$1:$I$89,3,0)*0.475*44/12</f>
        <v>1.5271741963475966E-11</v>
      </c>
      <c r="FT111" s="22">
        <f t="shared" si="78"/>
        <v>0.97939491268986334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5.6843418860808015E-14</v>
      </c>
      <c r="GA111" s="17">
        <f>FZ111*VLOOKUP('Données projet'!$B$17,Paramètres!$A$1:$I$89,3,0)*VLOOKUP('Données projet'!$B$17,Paramètres!$A$1:$I$89,5,0)</f>
        <v>4.5224624045658861E-14</v>
      </c>
      <c r="GB111" s="13">
        <f t="shared" si="103"/>
        <v>7.4514601661523691E-13</v>
      </c>
      <c r="GC111" s="20">
        <f t="shared" si="79"/>
        <v>1.3765621991510601E-12</v>
      </c>
      <c r="GD111" s="59">
        <f t="shared" si="80"/>
        <v>293.33333333333468</v>
      </c>
      <c r="GE111" s="59">
        <f ca="1">AVERAGE(OFFSET($GD$3,0,0,'Données projet'!$E$17+1,1))-AVERAGE(OFFSET($H$3,0,0,'Données projet'!$E$17+1,1))</f>
        <v>199.58763537752952</v>
      </c>
      <c r="GF111" s="59">
        <f t="shared" si="104"/>
        <v>242.62852778451929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1.1827834948523674</v>
      </c>
      <c r="GN111" s="21">
        <f>EXP(-LN(2)/2)*GN110+(1-EXP(-LN(2)/2))/(LN(2)/2)*GH111*GK111*VLOOKUP('Données projet'!$B$17,Paramètres!$A$1:$I$89,3,0)*0.475*44/12</f>
        <v>1.9575160682907553E-11</v>
      </c>
      <c r="GO111" s="21">
        <f t="shared" si="81"/>
        <v>1.1827834948719427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5.0961538461538449</v>
      </c>
      <c r="N112" s="13">
        <f>IF('Données projet'!$A$36&gt;35,N111+M112-V111,IF(A112&lt;'Données projet'!$A$36,$K$205^A112,IF(A112='Données projet'!$A$36,'Données projet'!$B$36,N111+M112-V111)))</f>
        <v>225.833333333333</v>
      </c>
      <c r="O112" s="13">
        <f>N112*VLOOKUP('Données projet'!$B$9,Paramètres!$A$1:$I$89,3,0)*VLOOKUP('Données projet'!$B$9,Paramètres!$A$1:$I$89,5,0)</f>
        <v>204.33399999999966</v>
      </c>
      <c r="P112" s="13">
        <f t="shared" si="87"/>
        <v>50.695458061201691</v>
      </c>
      <c r="Q112" s="20">
        <f t="shared" si="107"/>
        <v>444.17630612325894</v>
      </c>
      <c r="R112" s="59">
        <f t="shared" si="55"/>
        <v>737.50963945659225</v>
      </c>
      <c r="S112" s="59">
        <f ca="1">AVERAGE(OFFSET($R$3,0,0,'Données projet'!$E$9+1,1))-AVERAGE(OFFSET($H$3,0,0,'Données projet'!$E$9+1,1))</f>
        <v>153.45079678708987</v>
      </c>
      <c r="T112" s="59">
        <f t="shared" si="88"/>
        <v>115.4217868409637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228.99499999999969</v>
      </c>
      <c r="AK112" s="13">
        <f t="shared" si="89"/>
        <v>56.065321681745388</v>
      </c>
      <c r="AL112" s="20">
        <f t="shared" si="58"/>
        <v>496.48006026237272</v>
      </c>
      <c r="AM112" s="59">
        <f t="shared" si="59"/>
        <v>789.81339359570597</v>
      </c>
      <c r="AN112" s="59">
        <f ca="1">AVERAGE(OFFSET($AM$3,0,0,'Données projet'!$E$10+1,1))-AVERAGE(OFFSET($H$3,0,0,'Données projet'!$E$10+1,1))</f>
        <v>190.21499310415584</v>
      </c>
      <c r="AO112" s="59">
        <f t="shared" si="90"/>
        <v>136.15730566500173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497</v>
      </c>
      <c r="BE112" s="13">
        <f>BD112*VLOOKUP('Données projet'!$B$11,Paramètres!$A$1:$I$89,3,0)*VLOOKUP('Données projet'!$B$11,Paramètres!$A$1:$I$89,5,0)</f>
        <v>297.20600000000002</v>
      </c>
      <c r="BF112" s="13">
        <f t="shared" si="91"/>
        <v>70.590415164571112</v>
      </c>
      <c r="BG112" s="20">
        <f t="shared" si="61"/>
        <v>640.57875641162809</v>
      </c>
      <c r="BH112" s="59">
        <f t="shared" si="62"/>
        <v>933.91208974496135</v>
      </c>
      <c r="BI112" s="59">
        <f ca="1">AVERAGE(OFFSET($BH$3,0,0,'Données projet'!$E$11+1,1))-AVERAGE(OFFSET($H$3,0,0,'Données projet'!$E$11+1,1))</f>
        <v>270.30888762640245</v>
      </c>
      <c r="BJ112" s="59">
        <f t="shared" si="92"/>
        <v>202.23783851977691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0.44804909050547298</v>
      </c>
      <c r="BQ112" s="21">
        <f>EXP(-LN(2)/25)*BQ111+(1-EXP(-LN(2)/25))/(LN(2)/25)*Calculateur!BL112*Calculateur!BN112*VLOOKUP('Données projet'!$B$11,Paramètres!$A$1:$I$89,3,0)*0.475*44/12</f>
        <v>1.3755649458042454</v>
      </c>
      <c r="BR112" s="21">
        <f>EXP(-LN(2)/2)*BR111+(1-EXP(-LN(2)/2))/(LN(2)/2)*BL112*BO112*VLOOKUP('Données projet'!$B$11,Paramètres!$A$1:$I$89,3,0)*0.475*44/12</f>
        <v>2.3785558247830101E-11</v>
      </c>
      <c r="BS112" s="22">
        <f t="shared" si="63"/>
        <v>1.8236140363335041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497</v>
      </c>
      <c r="BZ112" s="13">
        <f>BY112*VLOOKUP('Données projet'!$B$12,Paramètres!$A$1:$I$89,3,0)*VLOOKUP('Données projet'!$B$12,Paramètres!$A$1:$I$89,5,0)</f>
        <v>297.20600000000002</v>
      </c>
      <c r="CA112" s="13">
        <f t="shared" si="93"/>
        <v>70.590415164571112</v>
      </c>
      <c r="CB112" s="20">
        <f t="shared" si="64"/>
        <v>640.57875641162809</v>
      </c>
      <c r="CC112" s="59">
        <f t="shared" si="65"/>
        <v>933.91208974496135</v>
      </c>
      <c r="CD112" s="59">
        <f ca="1">AVERAGE(OFFSET($CC$3,0,0,'Données projet'!$E$12+1,1))-AVERAGE(OFFSET($H$3,0,0,'Données projet'!$E$12+1,1))</f>
        <v>270.30888762640245</v>
      </c>
      <c r="CE112" s="59">
        <f t="shared" si="94"/>
        <v>202.23783851977691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0.44804909050547298</v>
      </c>
      <c r="CL112" s="21">
        <f>EXP(-LN(2)/25)*CL111+(1-EXP(-LN(2)/25))/(LN(2)/25)*Calculateur!CG112*Calculateur!CI112*VLOOKUP('Données projet'!$B$12,Paramètres!$A$1:$I$89,3,0)*0.475*44/12</f>
        <v>1.3755649458042454</v>
      </c>
      <c r="CM112" s="21">
        <f>EXP(-LN(2)/2)*CM111+(1-EXP(-LN(2)/2))/(LN(2)/2)*CG112*CJ112*VLOOKUP('Données projet'!$B$12,Paramètres!$A$1:$I$89,3,0)*0.475*44/12</f>
        <v>2.3785558247830101E-11</v>
      </c>
      <c r="CN112" s="22">
        <f t="shared" si="66"/>
        <v>1.8236140363335041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3.4106051316484809E-13</v>
      </c>
      <c r="CU112" s="17">
        <f>CT112*VLOOKUP('Données projet'!$B$13,Paramètres!$A$1:$I$89,3,0)*VLOOKUP('Données projet'!$B$13,Paramètres!$A$1:$I$89,5,0)</f>
        <v>1.5961632016114892E-13</v>
      </c>
      <c r="CV112" s="13">
        <f t="shared" si="95"/>
        <v>2.2708641912150958E-12</v>
      </c>
      <c r="CW112" s="20">
        <f t="shared" si="67"/>
        <v>4.2330868906469593E-12</v>
      </c>
      <c r="CX112" s="59">
        <f t="shared" si="68"/>
        <v>293.33333333333752</v>
      </c>
      <c r="CY112" s="59">
        <f ca="1">AVERAGE(OFFSET($CX$3,0,0,'Données projet'!$E$13+1,1))-AVERAGE(OFFSET($H$3,0,0,'Données projet'!$E$13+1,1))</f>
        <v>158.58786357608489</v>
      </c>
      <c r="CZ112" s="59">
        <f t="shared" si="96"/>
        <v>163.20074068819849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3.813056537183002E-14</v>
      </c>
      <c r="DQ112" s="13">
        <f t="shared" si="97"/>
        <v>6.4086286045526829E-13</v>
      </c>
      <c r="DR112" s="20">
        <f t="shared" si="70"/>
        <v>1.1825802166488628E-12</v>
      </c>
      <c r="DS112" s="59">
        <f t="shared" si="71"/>
        <v>293.33333333333451</v>
      </c>
      <c r="DT112" s="59">
        <f ca="1">AVERAGE(OFFSET($DS$3,0,0,'Données projet'!$E$14+1,1))-AVERAGE(OFFSET($H$3,0,0,'Données projet'!$E$14+1,1))</f>
        <v>156.63226020379989</v>
      </c>
      <c r="DU112" s="59">
        <f t="shared" si="98"/>
        <v>196.0481096619543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0.96997900732131814</v>
      </c>
      <c r="EC112" s="21">
        <f>EXP(-LN(2)/2)*EC111+(1-EXP(-LN(2)/2))/(LN(2)/2)*DW112*DZ112*VLOOKUP('Données projet'!$B$14,Paramètres!$A$1:$I$89,3,0)*0.475*44/12</f>
        <v>1.1670477275551155E-11</v>
      </c>
      <c r="ED112" s="22">
        <f t="shared" si="72"/>
        <v>0.96997900733298859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5.0961538461538449</v>
      </c>
      <c r="EJ112" s="12">
        <f>IF('Données projet'!$A$192&gt;35,EJ111+EI112-ER111,IF(A112&lt;'Données projet'!$A$192,$EG$205^A112,IF(A112='Données projet'!$A$192,'Données projet'!$B$192,EJ111+EI112-ER111)))</f>
        <v>225.833333333333</v>
      </c>
      <c r="EK112" s="17">
        <f>EJ112*VLOOKUP('Données projet'!$B$15,Paramètres!$A$1:$I$89,3,0)*VLOOKUP('Données projet'!$B$15,Paramètres!$A$1:$I$89,5,0)</f>
        <v>243.08699999999965</v>
      </c>
      <c r="EL112" s="13">
        <f t="shared" si="99"/>
        <v>59.10321872824241</v>
      </c>
      <c r="EM112" s="20">
        <f t="shared" si="73"/>
        <v>526.31463095168817</v>
      </c>
      <c r="EN112" s="59">
        <f t="shared" si="74"/>
        <v>819.64796428502154</v>
      </c>
      <c r="EO112" s="59">
        <f ca="1">AVERAGE(OFFSET($EN$3,0,0,'Données projet'!$E$15+1,1))-AVERAGE(OFFSET($H$3,0,0,'Données projet'!$E$15+1,1))</f>
        <v>211.18501783767226</v>
      </c>
      <c r="EP112" s="59">
        <f t="shared" si="100"/>
        <v>147.98306963466246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498</v>
      </c>
      <c r="FF112" s="17">
        <f>FE112*VLOOKUP('Données projet'!$B$16,Paramètres!$A$1:$I$89,3,0)*VLOOKUP('Données projet'!$B$16,Paramètres!$A$1:$I$89,5,0)</f>
        <v>297.80400000000003</v>
      </c>
      <c r="FG112" s="13">
        <f t="shared" si="101"/>
        <v>70.715900863123025</v>
      </c>
      <c r="FH112" s="20">
        <f t="shared" si="76"/>
        <v>641.83882733660596</v>
      </c>
      <c r="FI112" s="59">
        <f t="shared" si="77"/>
        <v>935.17216066993933</v>
      </c>
      <c r="FJ112" s="59">
        <f ca="1">AVERAGE(OFFSET($FI$3,0,0,'Données projet'!$E$16+1,1))-AVERAGE(OFFSET($H$3,0,0,'Données projet'!$E$16+1,1))</f>
        <v>232.26937455765062</v>
      </c>
      <c r="FK112" s="59">
        <f t="shared" si="102"/>
        <v>115.80853281120301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0.46298406018898891</v>
      </c>
      <c r="FR112" s="21">
        <f>EXP(-LN(2)/25)*FR111+(1-EXP(-LN(2)/25))/(LN(2)/25)*Calculateur!FM112*Calculateur!FO112*VLOOKUP('Données projet'!$B$16,Paramètres!$A$1:$I$89,3,0)*0.475*44/12</f>
        <v>0.49328237107263201</v>
      </c>
      <c r="FS112" s="21">
        <f>EXP(-LN(2)/2)*FS111+(1-EXP(-LN(2)/2))/(LN(2)/2)*FM112*FP112*VLOOKUP('Données projet'!$B$16,Paramètres!$A$1:$I$89,3,0)*0.475*44/12</f>
        <v>1.0798752302905016E-11</v>
      </c>
      <c r="FT112" s="22">
        <f t="shared" si="78"/>
        <v>0.95626643127241973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5.6843418860808015E-14</v>
      </c>
      <c r="GA112" s="17">
        <f>FZ112*VLOOKUP('Données projet'!$B$17,Paramètres!$A$1:$I$89,3,0)*VLOOKUP('Données projet'!$B$17,Paramètres!$A$1:$I$89,5,0)</f>
        <v>4.5224624045658861E-14</v>
      </c>
      <c r="GB112" s="13">
        <f t="shared" si="103"/>
        <v>7.4514601661523691E-13</v>
      </c>
      <c r="GC112" s="20">
        <f t="shared" si="79"/>
        <v>1.3765621991510601E-12</v>
      </c>
      <c r="GD112" s="59">
        <f t="shared" si="80"/>
        <v>293.33333333333468</v>
      </c>
      <c r="GE112" s="59">
        <f ca="1">AVERAGE(OFFSET($GD$3,0,0,'Données projet'!$E$17+1,1))-AVERAGE(OFFSET($H$3,0,0,'Données projet'!$E$17+1,1))</f>
        <v>199.58763537752952</v>
      </c>
      <c r="GF112" s="59">
        <f t="shared" si="104"/>
        <v>242.62852778451929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1.1504402179857487</v>
      </c>
      <c r="GN112" s="21">
        <f>EXP(-LN(2)/2)*GN111+(1-EXP(-LN(2)/2))/(LN(2)/2)*GH112*GK112*VLOOKUP('Données projet'!$B$17,Paramètres!$A$1:$I$89,3,0)*0.475*44/12</f>
        <v>1.384172886170022E-11</v>
      </c>
      <c r="GO112" s="21">
        <f t="shared" si="81"/>
        <v>1.1504402179995905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5.0961538461538449</v>
      </c>
      <c r="N113" s="13">
        <f>IF('Données projet'!$A$36&gt;35,N112+M113-V112,IF(A113&lt;'Données projet'!$A$36,$K$205^A113,IF(A113='Données projet'!$A$36,'Données projet'!$B$36,N112+M113-V112)))</f>
        <v>230.92948717948684</v>
      </c>
      <c r="O113" s="13">
        <f>N113*VLOOKUP('Données projet'!$B$9,Paramètres!$A$1:$I$89,3,0)*VLOOKUP('Données projet'!$B$9,Paramètres!$A$1:$I$89,5,0)</f>
        <v>208.94499999999971</v>
      </c>
      <c r="P113" s="13">
        <f t="shared" si="87"/>
        <v>51.704974120746144</v>
      </c>
      <c r="Q113" s="20">
        <f t="shared" si="107"/>
        <v>453.96537159363237</v>
      </c>
      <c r="R113" s="59">
        <f t="shared" si="55"/>
        <v>747.29870492696568</v>
      </c>
      <c r="S113" s="59">
        <f ca="1">AVERAGE(OFFSET($R$3,0,0,'Données projet'!$E$9+1,1))-AVERAGE(OFFSET($H$3,0,0,'Données projet'!$E$9+1,1))</f>
        <v>153.45079678708987</v>
      </c>
      <c r="T113" s="59">
        <f t="shared" si="88"/>
        <v>115.4217868409637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234.16249999999968</v>
      </c>
      <c r="AK113" s="13">
        <f t="shared" si="89"/>
        <v>57.181769678978526</v>
      </c>
      <c r="AL113" s="20">
        <f t="shared" si="58"/>
        <v>507.42460302422029</v>
      </c>
      <c r="AM113" s="59">
        <f t="shared" si="59"/>
        <v>800.7579363575536</v>
      </c>
      <c r="AN113" s="59">
        <f ca="1">AVERAGE(OFFSET($AM$3,0,0,'Données projet'!$E$10+1,1))-AVERAGE(OFFSET($H$3,0,0,'Données projet'!$E$10+1,1))</f>
        <v>190.21499310415584</v>
      </c>
      <c r="AO113" s="59">
        <f t="shared" si="90"/>
        <v>136.15730566500173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497</v>
      </c>
      <c r="BE113" s="13">
        <f>BD113*VLOOKUP('Données projet'!$B$11,Paramètres!$A$1:$I$89,3,0)*VLOOKUP('Données projet'!$B$11,Paramètres!$A$1:$I$89,5,0)</f>
        <v>297.20600000000002</v>
      </c>
      <c r="BF113" s="13">
        <f t="shared" si="91"/>
        <v>70.590415164571112</v>
      </c>
      <c r="BG113" s="20">
        <f t="shared" si="61"/>
        <v>640.57875641162809</v>
      </c>
      <c r="BH113" s="59">
        <f t="shared" si="62"/>
        <v>933.91208974496135</v>
      </c>
      <c r="BI113" s="59">
        <f ca="1">AVERAGE(OFFSET($BH$3,0,0,'Données projet'!$E$11+1,1))-AVERAGE(OFFSET($H$3,0,0,'Données projet'!$E$11+1,1))</f>
        <v>270.30888762640245</v>
      </c>
      <c r="BJ113" s="59">
        <f t="shared" si="92"/>
        <v>202.23783851977691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0.43926312112362143</v>
      </c>
      <c r="BQ113" s="21">
        <f>EXP(-LN(2)/25)*BQ112+(1-EXP(-LN(2)/25))/(LN(2)/25)*Calculateur!BL113*Calculateur!BN113*VLOOKUP('Données projet'!$B$11,Paramètres!$A$1:$I$89,3,0)*0.475*44/12</f>
        <v>1.3379500500234116</v>
      </c>
      <c r="BR113" s="21">
        <f>EXP(-LN(2)/2)*BR112+(1-EXP(-LN(2)/2))/(LN(2)/2)*BL113*BO113*VLOOKUP('Données projet'!$B$11,Paramètres!$A$1:$I$89,3,0)*0.475*44/12</f>
        <v>1.681892953134828E-11</v>
      </c>
      <c r="BS113" s="22">
        <f t="shared" si="63"/>
        <v>1.7772131711638521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497</v>
      </c>
      <c r="BZ113" s="13">
        <f>BY113*VLOOKUP('Données projet'!$B$12,Paramètres!$A$1:$I$89,3,0)*VLOOKUP('Données projet'!$B$12,Paramètres!$A$1:$I$89,5,0)</f>
        <v>297.20600000000002</v>
      </c>
      <c r="CA113" s="13">
        <f t="shared" si="93"/>
        <v>70.590415164571112</v>
      </c>
      <c r="CB113" s="20">
        <f t="shared" si="64"/>
        <v>640.57875641162809</v>
      </c>
      <c r="CC113" s="59">
        <f t="shared" si="65"/>
        <v>933.91208974496135</v>
      </c>
      <c r="CD113" s="59">
        <f ca="1">AVERAGE(OFFSET($CC$3,0,0,'Données projet'!$E$12+1,1))-AVERAGE(OFFSET($H$3,0,0,'Données projet'!$E$12+1,1))</f>
        <v>270.30888762640245</v>
      </c>
      <c r="CE113" s="59">
        <f t="shared" si="94"/>
        <v>202.23783851977691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0.43926312112362143</v>
      </c>
      <c r="CL113" s="21">
        <f>EXP(-LN(2)/25)*CL112+(1-EXP(-LN(2)/25))/(LN(2)/25)*Calculateur!CG113*Calculateur!CI113*VLOOKUP('Données projet'!$B$12,Paramètres!$A$1:$I$89,3,0)*0.475*44/12</f>
        <v>1.3379500500234116</v>
      </c>
      <c r="CM113" s="21">
        <f>EXP(-LN(2)/2)*CM112+(1-EXP(-LN(2)/2))/(LN(2)/2)*CG113*CJ113*VLOOKUP('Données projet'!$B$12,Paramètres!$A$1:$I$89,3,0)*0.475*44/12</f>
        <v>1.681892953134828E-11</v>
      </c>
      <c r="CN113" s="22">
        <f t="shared" si="66"/>
        <v>1.7772131711638521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3.4106051316484809E-13</v>
      </c>
      <c r="CU113" s="17">
        <f>CT113*VLOOKUP('Données projet'!$B$13,Paramètres!$A$1:$I$89,3,0)*VLOOKUP('Données projet'!$B$13,Paramètres!$A$1:$I$89,5,0)</f>
        <v>1.5961632016114892E-13</v>
      </c>
      <c r="CV113" s="13">
        <f t="shared" si="95"/>
        <v>2.2708641912150958E-12</v>
      </c>
      <c r="CW113" s="20">
        <f t="shared" si="67"/>
        <v>4.2330868906469593E-12</v>
      </c>
      <c r="CX113" s="59">
        <f t="shared" si="68"/>
        <v>293.33333333333752</v>
      </c>
      <c r="CY113" s="59">
        <f ca="1">AVERAGE(OFFSET($CX$3,0,0,'Données projet'!$E$13+1,1))-AVERAGE(OFFSET($H$3,0,0,'Données projet'!$E$13+1,1))</f>
        <v>158.58786357608489</v>
      </c>
      <c r="CZ113" s="59">
        <f t="shared" si="96"/>
        <v>163.20074068819849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3.813056537183002E-14</v>
      </c>
      <c r="DQ113" s="13">
        <f t="shared" si="97"/>
        <v>6.4086286045526829E-13</v>
      </c>
      <c r="DR113" s="20">
        <f t="shared" si="70"/>
        <v>1.1825802166488628E-12</v>
      </c>
      <c r="DS113" s="59">
        <f t="shared" si="71"/>
        <v>293.33333333333451</v>
      </c>
      <c r="DT113" s="59">
        <f ca="1">AVERAGE(OFFSET($DS$3,0,0,'Données projet'!$E$14+1,1))-AVERAGE(OFFSET($H$3,0,0,'Données projet'!$E$14+1,1))</f>
        <v>156.63226020379989</v>
      </c>
      <c r="DU113" s="59">
        <f t="shared" si="98"/>
        <v>196.0481096619543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0.94345488035713765</v>
      </c>
      <c r="EC113" s="21">
        <f>EXP(-LN(2)/2)*EC112+(1-EXP(-LN(2)/2))/(LN(2)/2)*DW113*DZ113*VLOOKUP('Données projet'!$B$14,Paramètres!$A$1:$I$89,3,0)*0.475*44/12</f>
        <v>8.2522736212257255E-12</v>
      </c>
      <c r="ED113" s="22">
        <f t="shared" si="72"/>
        <v>0.94345488036538994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5.0961538461538449</v>
      </c>
      <c r="EJ113" s="12">
        <f>IF('Données projet'!$A$192&gt;35,EJ112+EI113-ER112,IF(A113&lt;'Données projet'!$A$192,$EG$205^A113,IF(A113='Données projet'!$A$192,'Données projet'!$B$192,EJ112+EI113-ER112)))</f>
        <v>230.92948717948684</v>
      </c>
      <c r="EK113" s="17">
        <f>EJ113*VLOOKUP('Données projet'!$B$15,Paramètres!$A$1:$I$89,3,0)*VLOOKUP('Données projet'!$B$15,Paramètres!$A$1:$I$89,5,0)</f>
        <v>248.57249999999962</v>
      </c>
      <c r="EL113" s="13">
        <f t="shared" si="99"/>
        <v>60.280161412237796</v>
      </c>
      <c r="EM113" s="20">
        <f t="shared" si="73"/>
        <v>537.91838529298013</v>
      </c>
      <c r="EN113" s="59">
        <f t="shared" si="74"/>
        <v>831.2517186263135</v>
      </c>
      <c r="EO113" s="59">
        <f ca="1">AVERAGE(OFFSET($EN$3,0,0,'Données projet'!$E$15+1,1))-AVERAGE(OFFSET($H$3,0,0,'Données projet'!$E$15+1,1))</f>
        <v>211.18501783767226</v>
      </c>
      <c r="EP113" s="59">
        <f t="shared" si="100"/>
        <v>147.98306963466246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498</v>
      </c>
      <c r="FF113" s="17">
        <f>FE113*VLOOKUP('Données projet'!$B$16,Paramètres!$A$1:$I$89,3,0)*VLOOKUP('Données projet'!$B$16,Paramètres!$A$1:$I$89,5,0)</f>
        <v>297.80400000000003</v>
      </c>
      <c r="FG113" s="13">
        <f t="shared" si="101"/>
        <v>70.715900863123025</v>
      </c>
      <c r="FH113" s="20">
        <f t="shared" si="76"/>
        <v>641.83882733660596</v>
      </c>
      <c r="FI113" s="59">
        <f t="shared" si="77"/>
        <v>935.17216066993933</v>
      </c>
      <c r="FJ113" s="59">
        <f ca="1">AVERAGE(OFFSET($FI$3,0,0,'Données projet'!$E$16+1,1))-AVERAGE(OFFSET($H$3,0,0,'Données projet'!$E$16+1,1))</f>
        <v>232.26937455765062</v>
      </c>
      <c r="FK113" s="59">
        <f t="shared" si="102"/>
        <v>115.80853281120301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0.45390522516107562</v>
      </c>
      <c r="FR113" s="21">
        <f>EXP(-LN(2)/25)*FR112+(1-EXP(-LN(2)/25))/(LN(2)/25)*Calculateur!FM113*Calculateur!FO113*VLOOKUP('Données projet'!$B$16,Paramètres!$A$1:$I$89,3,0)*0.475*44/12</f>
        <v>0.47979353869505842</v>
      </c>
      <c r="FS113" s="21">
        <f>EXP(-LN(2)/2)*FS112+(1-EXP(-LN(2)/2))/(LN(2)/2)*FM113*FP113*VLOOKUP('Données projet'!$B$16,Paramètres!$A$1:$I$89,3,0)*0.475*44/12</f>
        <v>7.6358709817379831E-12</v>
      </c>
      <c r="FT113" s="22">
        <f t="shared" si="78"/>
        <v>0.93369876386376993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5.6843418860808015E-14</v>
      </c>
      <c r="GA113" s="17">
        <f>FZ113*VLOOKUP('Données projet'!$B$17,Paramètres!$A$1:$I$89,3,0)*VLOOKUP('Données projet'!$B$17,Paramètres!$A$1:$I$89,5,0)</f>
        <v>4.5224624045658861E-14</v>
      </c>
      <c r="GB113" s="13">
        <f t="shared" si="103"/>
        <v>7.4514601661523691E-13</v>
      </c>
      <c r="GC113" s="20">
        <f t="shared" si="79"/>
        <v>1.3765621991510601E-12</v>
      </c>
      <c r="GD113" s="59">
        <f t="shared" si="80"/>
        <v>293.33333333333468</v>
      </c>
      <c r="GE113" s="59">
        <f ca="1">AVERAGE(OFFSET($GD$3,0,0,'Données projet'!$E$17+1,1))-AVERAGE(OFFSET($H$3,0,0,'Données projet'!$E$17+1,1))</f>
        <v>199.58763537752952</v>
      </c>
      <c r="GF113" s="59">
        <f t="shared" si="104"/>
        <v>242.62852778451929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1.1189813697259068</v>
      </c>
      <c r="GN113" s="21">
        <f>EXP(-LN(2)/2)*GN112+(1-EXP(-LN(2)/2))/(LN(2)/2)*GH113*GK113*VLOOKUP('Données projet'!$B$17,Paramètres!$A$1:$I$89,3,0)*0.475*44/12</f>
        <v>9.7875803414537767E-12</v>
      </c>
      <c r="GO113" s="21">
        <f t="shared" si="81"/>
        <v>1.1189813697356943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5.0961538461538449</v>
      </c>
      <c r="N114" s="13">
        <f>IF('Données projet'!$A$36&gt;35,N113+M114-V113,IF(A114&lt;'Données projet'!$A$36,$K$205^A114,IF(A114='Données projet'!$A$36,'Données projet'!$B$36,N113+M114-V113)))</f>
        <v>236.02564102564068</v>
      </c>
      <c r="O114" s="13">
        <f>N114*VLOOKUP('Données projet'!$B$9,Paramètres!$A$1:$I$89,3,0)*VLOOKUP('Données projet'!$B$9,Paramètres!$A$1:$I$89,5,0)</f>
        <v>213.5559999999997</v>
      </c>
      <c r="P114" s="13">
        <f t="shared" si="87"/>
        <v>52.71190012556103</v>
      </c>
      <c r="Q114" s="20">
        <f t="shared" si="107"/>
        <v>463.74992605201828</v>
      </c>
      <c r="R114" s="59">
        <f t="shared" si="55"/>
        <v>757.08325938535154</v>
      </c>
      <c r="S114" s="59">
        <f ca="1">AVERAGE(OFFSET($R$3,0,0,'Données projet'!$E$9+1,1))-AVERAGE(OFFSET($H$3,0,0,'Données projet'!$E$9+1,1))</f>
        <v>153.45079678708987</v>
      </c>
      <c r="T114" s="59">
        <f t="shared" si="88"/>
        <v>115.4217868409637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239.32999999999967</v>
      </c>
      <c r="AK114" s="13">
        <f t="shared" si="89"/>
        <v>58.295353272631196</v>
      </c>
      <c r="AL114" s="20">
        <f t="shared" si="58"/>
        <v>518.36415694983214</v>
      </c>
      <c r="AM114" s="59">
        <f t="shared" si="59"/>
        <v>811.69749028316551</v>
      </c>
      <c r="AN114" s="59">
        <f ca="1">AVERAGE(OFFSET($AM$3,0,0,'Données projet'!$E$10+1,1))-AVERAGE(OFFSET($H$3,0,0,'Données projet'!$E$10+1,1))</f>
        <v>190.21499310415584</v>
      </c>
      <c r="AO114" s="59">
        <f t="shared" si="90"/>
        <v>136.15730566500173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497</v>
      </c>
      <c r="BE114" s="13">
        <f>BD114*VLOOKUP('Données projet'!$B$11,Paramètres!$A$1:$I$89,3,0)*VLOOKUP('Données projet'!$B$11,Paramètres!$A$1:$I$89,5,0)</f>
        <v>297.20600000000002</v>
      </c>
      <c r="BF114" s="13">
        <f t="shared" si="91"/>
        <v>70.590415164571112</v>
      </c>
      <c r="BG114" s="20">
        <f t="shared" si="61"/>
        <v>640.57875641162809</v>
      </c>
      <c r="BH114" s="59">
        <f t="shared" si="62"/>
        <v>933.91208974496135</v>
      </c>
      <c r="BI114" s="59">
        <f ca="1">AVERAGE(OFFSET($BH$3,0,0,'Données projet'!$E$11+1,1))-AVERAGE(OFFSET($H$3,0,0,'Données projet'!$E$11+1,1))</f>
        <v>270.30888762640245</v>
      </c>
      <c r="BJ114" s="59">
        <f t="shared" si="92"/>
        <v>202.23783851977691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0.43064943924243582</v>
      </c>
      <c r="BQ114" s="21">
        <f>EXP(-LN(2)/25)*BQ113+(1-EXP(-LN(2)/25))/(LN(2)/25)*Calculateur!BL114*Calculateur!BN114*VLOOKUP('Données projet'!$B$11,Paramètres!$A$1:$I$89,3,0)*0.475*44/12</f>
        <v>1.3013637355457861</v>
      </c>
      <c r="BR114" s="21">
        <f>EXP(-LN(2)/2)*BR113+(1-EXP(-LN(2)/2))/(LN(2)/2)*BL114*BO114*VLOOKUP('Données projet'!$B$11,Paramètres!$A$1:$I$89,3,0)*0.475*44/12</f>
        <v>1.189277912391505E-11</v>
      </c>
      <c r="BS114" s="22">
        <f t="shared" si="63"/>
        <v>1.7320131748001146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497</v>
      </c>
      <c r="BZ114" s="13">
        <f>BY114*VLOOKUP('Données projet'!$B$12,Paramètres!$A$1:$I$89,3,0)*VLOOKUP('Données projet'!$B$12,Paramètres!$A$1:$I$89,5,0)</f>
        <v>297.20600000000002</v>
      </c>
      <c r="CA114" s="13">
        <f t="shared" si="93"/>
        <v>70.590415164571112</v>
      </c>
      <c r="CB114" s="20">
        <f t="shared" si="64"/>
        <v>640.57875641162809</v>
      </c>
      <c r="CC114" s="59">
        <f t="shared" si="65"/>
        <v>933.91208974496135</v>
      </c>
      <c r="CD114" s="59">
        <f ca="1">AVERAGE(OFFSET($CC$3,0,0,'Données projet'!$E$12+1,1))-AVERAGE(OFFSET($H$3,0,0,'Données projet'!$E$12+1,1))</f>
        <v>270.30888762640245</v>
      </c>
      <c r="CE114" s="59">
        <f t="shared" si="94"/>
        <v>202.23783851977691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0.43064943924243582</v>
      </c>
      <c r="CL114" s="21">
        <f>EXP(-LN(2)/25)*CL113+(1-EXP(-LN(2)/25))/(LN(2)/25)*Calculateur!CG114*Calculateur!CI114*VLOOKUP('Données projet'!$B$12,Paramètres!$A$1:$I$89,3,0)*0.475*44/12</f>
        <v>1.3013637355457861</v>
      </c>
      <c r="CM114" s="21">
        <f>EXP(-LN(2)/2)*CM113+(1-EXP(-LN(2)/2))/(LN(2)/2)*CG114*CJ114*VLOOKUP('Données projet'!$B$12,Paramètres!$A$1:$I$89,3,0)*0.475*44/12</f>
        <v>1.189277912391505E-11</v>
      </c>
      <c r="CN114" s="22">
        <f t="shared" si="66"/>
        <v>1.7320131748001146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3.4106051316484809E-13</v>
      </c>
      <c r="CU114" s="17">
        <f>CT114*VLOOKUP('Données projet'!$B$13,Paramètres!$A$1:$I$89,3,0)*VLOOKUP('Données projet'!$B$13,Paramètres!$A$1:$I$89,5,0)</f>
        <v>1.5961632016114892E-13</v>
      </c>
      <c r="CV114" s="13">
        <f t="shared" si="95"/>
        <v>2.2708641912150958E-12</v>
      </c>
      <c r="CW114" s="20">
        <f t="shared" si="67"/>
        <v>4.2330868906469593E-12</v>
      </c>
      <c r="CX114" s="59">
        <f t="shared" si="68"/>
        <v>293.33333333333752</v>
      </c>
      <c r="CY114" s="59">
        <f ca="1">AVERAGE(OFFSET($CX$3,0,0,'Données projet'!$E$13+1,1))-AVERAGE(OFFSET($H$3,0,0,'Données projet'!$E$13+1,1))</f>
        <v>158.58786357608489</v>
      </c>
      <c r="CZ114" s="59">
        <f t="shared" si="96"/>
        <v>163.20074068819849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3.813056537183002E-14</v>
      </c>
      <c r="DQ114" s="13">
        <f t="shared" si="97"/>
        <v>6.4086286045526829E-13</v>
      </c>
      <c r="DR114" s="20">
        <f t="shared" si="70"/>
        <v>1.1825802166488628E-12</v>
      </c>
      <c r="DS114" s="59">
        <f t="shared" si="71"/>
        <v>293.33333333333451</v>
      </c>
      <c r="DT114" s="59">
        <f ca="1">AVERAGE(OFFSET($DS$3,0,0,'Données projet'!$E$14+1,1))-AVERAGE(OFFSET($H$3,0,0,'Données projet'!$E$14+1,1))</f>
        <v>156.63226020379989</v>
      </c>
      <c r="DU114" s="59">
        <f t="shared" si="98"/>
        <v>196.0481096619543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0.91765605703963582</v>
      </c>
      <c r="EC114" s="21">
        <f>EXP(-LN(2)/2)*EC113+(1-EXP(-LN(2)/2))/(LN(2)/2)*DW114*DZ114*VLOOKUP('Données projet'!$B$14,Paramètres!$A$1:$I$89,3,0)*0.475*44/12</f>
        <v>5.8352386377755773E-12</v>
      </c>
      <c r="ED114" s="22">
        <f t="shared" si="72"/>
        <v>0.91765605704547104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5.0961538461538449</v>
      </c>
      <c r="EJ114" s="12">
        <f>IF('Données projet'!$A$192&gt;35,EJ113+EI114-ER113,IF(A114&lt;'Données projet'!$A$192,$EG$205^A114,IF(A114='Données projet'!$A$192,'Données projet'!$B$192,EJ113+EI114-ER113)))</f>
        <v>236.02564102564068</v>
      </c>
      <c r="EK114" s="17">
        <f>EJ114*VLOOKUP('Données projet'!$B$15,Paramètres!$A$1:$I$89,3,0)*VLOOKUP('Données projet'!$B$15,Paramètres!$A$1:$I$89,5,0)</f>
        <v>254.05799999999959</v>
      </c>
      <c r="EL114" s="13">
        <f t="shared" si="99"/>
        <v>61.454084485067781</v>
      </c>
      <c r="EM114" s="20">
        <f t="shared" si="73"/>
        <v>549.51688047815901</v>
      </c>
      <c r="EN114" s="59">
        <f t="shared" si="74"/>
        <v>842.85021381149227</v>
      </c>
      <c r="EO114" s="59">
        <f ca="1">AVERAGE(OFFSET($EN$3,0,0,'Données projet'!$E$15+1,1))-AVERAGE(OFFSET($H$3,0,0,'Données projet'!$E$15+1,1))</f>
        <v>211.18501783767226</v>
      </c>
      <c r="EP114" s="59">
        <f t="shared" si="100"/>
        <v>147.98306963466246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498</v>
      </c>
      <c r="FF114" s="17">
        <f>FE114*VLOOKUP('Données projet'!$B$16,Paramètres!$A$1:$I$89,3,0)*VLOOKUP('Données projet'!$B$16,Paramètres!$A$1:$I$89,5,0)</f>
        <v>297.80400000000003</v>
      </c>
      <c r="FG114" s="13">
        <f t="shared" si="101"/>
        <v>70.715900863123025</v>
      </c>
      <c r="FH114" s="20">
        <f t="shared" si="76"/>
        <v>641.83882733660596</v>
      </c>
      <c r="FI114" s="59">
        <f t="shared" si="77"/>
        <v>935.17216066993933</v>
      </c>
      <c r="FJ114" s="59">
        <f ca="1">AVERAGE(OFFSET($FI$3,0,0,'Données projet'!$E$16+1,1))-AVERAGE(OFFSET($H$3,0,0,'Données projet'!$E$16+1,1))</f>
        <v>232.26937455765062</v>
      </c>
      <c r="FK114" s="59">
        <f t="shared" si="102"/>
        <v>115.80853281120301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0.44500442055051714</v>
      </c>
      <c r="FR114" s="21">
        <f>EXP(-LN(2)/25)*FR113+(1-EXP(-LN(2)/25))/(LN(2)/25)*Calculateur!FM114*Calculateur!FO114*VLOOKUP('Données projet'!$B$16,Paramètres!$A$1:$I$89,3,0)*0.475*44/12</f>
        <v>0.46667355914819642</v>
      </c>
      <c r="FS114" s="21">
        <f>EXP(-LN(2)/2)*FS113+(1-EXP(-LN(2)/2))/(LN(2)/2)*FM114*FP114*VLOOKUP('Données projet'!$B$16,Paramètres!$A$1:$I$89,3,0)*0.475*44/12</f>
        <v>5.3993761514525079E-12</v>
      </c>
      <c r="FT114" s="22">
        <f t="shared" si="78"/>
        <v>0.91167797970411291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5.6843418860808015E-14</v>
      </c>
      <c r="GA114" s="17">
        <f>FZ114*VLOOKUP('Données projet'!$B$17,Paramètres!$A$1:$I$89,3,0)*VLOOKUP('Données projet'!$B$17,Paramètres!$A$1:$I$89,5,0)</f>
        <v>4.5224624045658861E-14</v>
      </c>
      <c r="GB114" s="13">
        <f t="shared" si="103"/>
        <v>7.4514601661523691E-13</v>
      </c>
      <c r="GC114" s="20">
        <f t="shared" si="79"/>
        <v>1.3765621991510601E-12</v>
      </c>
      <c r="GD114" s="59">
        <f t="shared" si="80"/>
        <v>293.33333333333468</v>
      </c>
      <c r="GE114" s="59">
        <f ca="1">AVERAGE(OFFSET($GD$3,0,0,'Données projet'!$E$17+1,1))-AVERAGE(OFFSET($H$3,0,0,'Données projet'!$E$17+1,1))</f>
        <v>199.58763537752952</v>
      </c>
      <c r="GF114" s="59">
        <f t="shared" si="104"/>
        <v>242.62852778451929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1.0883827653260791</v>
      </c>
      <c r="GN114" s="21">
        <f>EXP(-LN(2)/2)*GN113+(1-EXP(-LN(2)/2))/(LN(2)/2)*GH114*GK114*VLOOKUP('Données projet'!$B$17,Paramètres!$A$1:$I$89,3,0)*0.475*44/12</f>
        <v>6.9208644308501099E-12</v>
      </c>
      <c r="GO114" s="21">
        <f t="shared" si="81"/>
        <v>1.088382765333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5.0961538461538449</v>
      </c>
      <c r="N115" s="13">
        <f>IF('Données projet'!$A$36&gt;35,N114+M115-V114,IF(A115&lt;'Données projet'!$A$36,$K$205^A115,IF(A115='Données projet'!$A$36,'Données projet'!$B$36,N114+M115-V114)))</f>
        <v>241.12179487179452</v>
      </c>
      <c r="O115" s="13">
        <f>N115*VLOOKUP('Données projet'!$B$9,Paramètres!$A$1:$I$89,3,0)*VLOOKUP('Données projet'!$B$9,Paramètres!$A$1:$I$89,5,0)</f>
        <v>218.16699999999966</v>
      </c>
      <c r="P115" s="13">
        <f t="shared" si="87"/>
        <v>53.716298439743952</v>
      </c>
      <c r="Q115" s="20">
        <f t="shared" si="107"/>
        <v>473.53007811588674</v>
      </c>
      <c r="R115" s="59">
        <f t="shared" si="55"/>
        <v>766.86341144922005</v>
      </c>
      <c r="S115" s="59">
        <f ca="1">AVERAGE(OFFSET($R$3,0,0,'Données projet'!$E$9+1,1))-AVERAGE(OFFSET($H$3,0,0,'Données projet'!$E$9+1,1))</f>
        <v>153.45079678708987</v>
      </c>
      <c r="T115" s="59">
        <f t="shared" si="88"/>
        <v>115.4217868409637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244.49749999999963</v>
      </c>
      <c r="AK115" s="13">
        <f t="shared" si="89"/>
        <v>59.406141432653072</v>
      </c>
      <c r="AL115" s="20">
        <f t="shared" si="58"/>
        <v>529.29884216187008</v>
      </c>
      <c r="AM115" s="59">
        <f t="shared" si="59"/>
        <v>822.63217549520346</v>
      </c>
      <c r="AN115" s="59">
        <f ca="1">AVERAGE(OFFSET($AM$3,0,0,'Données projet'!$E$10+1,1))-AVERAGE(OFFSET($H$3,0,0,'Données projet'!$E$10+1,1))</f>
        <v>190.21499310415584</v>
      </c>
      <c r="AO115" s="59">
        <f t="shared" si="90"/>
        <v>136.15730566500173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497</v>
      </c>
      <c r="BE115" s="13">
        <f>BD115*VLOOKUP('Données projet'!$B$11,Paramètres!$A$1:$I$89,3,0)*VLOOKUP('Données projet'!$B$11,Paramètres!$A$1:$I$89,5,0)</f>
        <v>297.20600000000002</v>
      </c>
      <c r="BF115" s="13">
        <f t="shared" si="91"/>
        <v>70.590415164571112</v>
      </c>
      <c r="BG115" s="20">
        <f t="shared" si="61"/>
        <v>640.57875641162809</v>
      </c>
      <c r="BH115" s="59">
        <f t="shared" si="62"/>
        <v>933.91208974496135</v>
      </c>
      <c r="BI115" s="59">
        <f ca="1">AVERAGE(OFFSET($BH$3,0,0,'Données projet'!$E$11+1,1))-AVERAGE(OFFSET($H$3,0,0,'Données projet'!$E$11+1,1))</f>
        <v>270.30888762640245</v>
      </c>
      <c r="BJ115" s="59">
        <f t="shared" si="92"/>
        <v>202.23783851977691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0.42220466640911308</v>
      </c>
      <c r="BQ115" s="21">
        <f>EXP(-LN(2)/25)*BQ114+(1-EXP(-LN(2)/25))/(LN(2)/25)*Calculateur!BL115*Calculateur!BN115*VLOOKUP('Données projet'!$B$11,Paramètres!$A$1:$I$89,3,0)*0.475*44/12</f>
        <v>1.2657778757615421</v>
      </c>
      <c r="BR115" s="21">
        <f>EXP(-LN(2)/2)*BR114+(1-EXP(-LN(2)/2))/(LN(2)/2)*BL115*BO115*VLOOKUP('Données projet'!$B$11,Paramètres!$A$1:$I$89,3,0)*0.475*44/12</f>
        <v>8.4094647656741399E-12</v>
      </c>
      <c r="BS115" s="22">
        <f t="shared" si="63"/>
        <v>1.6879825421790646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497</v>
      </c>
      <c r="BZ115" s="13">
        <f>BY115*VLOOKUP('Données projet'!$B$12,Paramètres!$A$1:$I$89,3,0)*VLOOKUP('Données projet'!$B$12,Paramètres!$A$1:$I$89,5,0)</f>
        <v>297.20600000000002</v>
      </c>
      <c r="CA115" s="13">
        <f t="shared" si="93"/>
        <v>70.590415164571112</v>
      </c>
      <c r="CB115" s="20">
        <f t="shared" si="64"/>
        <v>640.57875641162809</v>
      </c>
      <c r="CC115" s="59">
        <f t="shared" si="65"/>
        <v>933.91208974496135</v>
      </c>
      <c r="CD115" s="59">
        <f ca="1">AVERAGE(OFFSET($CC$3,0,0,'Données projet'!$E$12+1,1))-AVERAGE(OFFSET($H$3,0,0,'Données projet'!$E$12+1,1))</f>
        <v>270.30888762640245</v>
      </c>
      <c r="CE115" s="59">
        <f t="shared" si="94"/>
        <v>202.23783851977691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0.42220466640911308</v>
      </c>
      <c r="CL115" s="21">
        <f>EXP(-LN(2)/25)*CL114+(1-EXP(-LN(2)/25))/(LN(2)/25)*Calculateur!CG115*Calculateur!CI115*VLOOKUP('Données projet'!$B$12,Paramètres!$A$1:$I$89,3,0)*0.475*44/12</f>
        <v>1.2657778757615421</v>
      </c>
      <c r="CM115" s="21">
        <f>EXP(-LN(2)/2)*CM114+(1-EXP(-LN(2)/2))/(LN(2)/2)*CG115*CJ115*VLOOKUP('Données projet'!$B$12,Paramètres!$A$1:$I$89,3,0)*0.475*44/12</f>
        <v>8.4094647656741399E-12</v>
      </c>
      <c r="CN115" s="22">
        <f t="shared" si="66"/>
        <v>1.6879825421790646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3.4106051316484809E-13</v>
      </c>
      <c r="CU115" s="17">
        <f>CT115*VLOOKUP('Données projet'!$B$13,Paramètres!$A$1:$I$89,3,0)*VLOOKUP('Données projet'!$B$13,Paramètres!$A$1:$I$89,5,0)</f>
        <v>1.5961632016114892E-13</v>
      </c>
      <c r="CV115" s="13">
        <f t="shared" si="95"/>
        <v>2.2708641912150958E-12</v>
      </c>
      <c r="CW115" s="20">
        <f t="shared" si="67"/>
        <v>4.2330868906469593E-12</v>
      </c>
      <c r="CX115" s="59">
        <f t="shared" si="68"/>
        <v>293.33333333333752</v>
      </c>
      <c r="CY115" s="59">
        <f ca="1">AVERAGE(OFFSET($CX$3,0,0,'Données projet'!$E$13+1,1))-AVERAGE(OFFSET($H$3,0,0,'Données projet'!$E$13+1,1))</f>
        <v>158.58786357608489</v>
      </c>
      <c r="CZ115" s="59">
        <f t="shared" si="96"/>
        <v>163.20074068819849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3.813056537183002E-14</v>
      </c>
      <c r="DQ115" s="13">
        <f t="shared" si="97"/>
        <v>6.4086286045526829E-13</v>
      </c>
      <c r="DR115" s="20">
        <f t="shared" si="70"/>
        <v>1.1825802166488628E-12</v>
      </c>
      <c r="DS115" s="59">
        <f t="shared" si="71"/>
        <v>293.33333333333451</v>
      </c>
      <c r="DT115" s="59">
        <f ca="1">AVERAGE(OFFSET($DS$3,0,0,'Données projet'!$E$14+1,1))-AVERAGE(OFFSET($H$3,0,0,'Données projet'!$E$14+1,1))</f>
        <v>156.63226020379989</v>
      </c>
      <c r="DU115" s="59">
        <f t="shared" si="98"/>
        <v>196.0481096619543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0.89256270390245229</v>
      </c>
      <c r="EC115" s="21">
        <f>EXP(-LN(2)/2)*EC114+(1-EXP(-LN(2)/2))/(LN(2)/2)*DW115*DZ115*VLOOKUP('Données projet'!$B$14,Paramètres!$A$1:$I$89,3,0)*0.475*44/12</f>
        <v>4.1261368106128628E-12</v>
      </c>
      <c r="ED115" s="22">
        <f t="shared" si="72"/>
        <v>0.89256270390657844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5.0961538461538449</v>
      </c>
      <c r="EJ115" s="12">
        <f>IF('Données projet'!$A$192&gt;35,EJ114+EI115-ER114,IF(A115&lt;'Données projet'!$A$192,$EG$205^A115,IF(A115='Données projet'!$A$192,'Données projet'!$B$192,EJ114+EI115-ER114)))</f>
        <v>241.12179487179452</v>
      </c>
      <c r="EK115" s="17">
        <f>EJ115*VLOOKUP('Données projet'!$B$15,Paramètres!$A$1:$I$89,3,0)*VLOOKUP('Données projet'!$B$15,Paramètres!$A$1:$I$89,5,0)</f>
        <v>259.54349999999965</v>
      </c>
      <c r="EL115" s="13">
        <f t="shared" si="99"/>
        <v>62.625060653815844</v>
      </c>
      <c r="EM115" s="20">
        <f t="shared" si="73"/>
        <v>561.11024313872872</v>
      </c>
      <c r="EN115" s="59">
        <f t="shared" si="74"/>
        <v>854.44357647206198</v>
      </c>
      <c r="EO115" s="59">
        <f ca="1">AVERAGE(OFFSET($EN$3,0,0,'Données projet'!$E$15+1,1))-AVERAGE(OFFSET($H$3,0,0,'Données projet'!$E$15+1,1))</f>
        <v>211.18501783767226</v>
      </c>
      <c r="EP115" s="59">
        <f t="shared" si="100"/>
        <v>147.98306963466246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498</v>
      </c>
      <c r="FF115" s="17">
        <f>FE115*VLOOKUP('Données projet'!$B$16,Paramètres!$A$1:$I$89,3,0)*VLOOKUP('Données projet'!$B$16,Paramètres!$A$1:$I$89,5,0)</f>
        <v>297.80400000000003</v>
      </c>
      <c r="FG115" s="13">
        <f t="shared" si="101"/>
        <v>70.715900863123025</v>
      </c>
      <c r="FH115" s="20">
        <f t="shared" si="76"/>
        <v>641.83882733660596</v>
      </c>
      <c r="FI115" s="59">
        <f t="shared" si="77"/>
        <v>935.17216066993933</v>
      </c>
      <c r="FJ115" s="59">
        <f ca="1">AVERAGE(OFFSET($FI$3,0,0,'Données projet'!$E$16+1,1))-AVERAGE(OFFSET($H$3,0,0,'Données projet'!$E$16+1,1))</f>
        <v>232.26937455765062</v>
      </c>
      <c r="FK115" s="59">
        <f t="shared" si="102"/>
        <v>115.80853281120301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0.43627815528941694</v>
      </c>
      <c r="FR115" s="21">
        <f>EXP(-LN(2)/25)*FR114+(1-EXP(-LN(2)/25))/(LN(2)/25)*Calculateur!FM115*Calculateur!FO115*VLOOKUP('Données projet'!$B$16,Paramètres!$A$1:$I$89,3,0)*0.475*44/12</f>
        <v>0.45391234613199311</v>
      </c>
      <c r="FS115" s="21">
        <f>EXP(-LN(2)/2)*FS114+(1-EXP(-LN(2)/2))/(LN(2)/2)*FM115*FP115*VLOOKUP('Données projet'!$B$16,Paramètres!$A$1:$I$89,3,0)*0.475*44/12</f>
        <v>3.8179354908689915E-12</v>
      </c>
      <c r="FT115" s="22">
        <f t="shared" si="78"/>
        <v>0.89019050142522793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5.6843418860808015E-14</v>
      </c>
      <c r="GA115" s="17">
        <f>FZ115*VLOOKUP('Données projet'!$B$17,Paramètres!$A$1:$I$89,3,0)*VLOOKUP('Données projet'!$B$17,Paramètres!$A$1:$I$89,5,0)</f>
        <v>4.5224624045658861E-14</v>
      </c>
      <c r="GB115" s="13">
        <f t="shared" si="103"/>
        <v>7.4514601661523691E-13</v>
      </c>
      <c r="GC115" s="20">
        <f t="shared" si="79"/>
        <v>1.3765621991510601E-12</v>
      </c>
      <c r="GD115" s="59">
        <f t="shared" si="80"/>
        <v>293.33333333333468</v>
      </c>
      <c r="GE115" s="59">
        <f ca="1">AVERAGE(OFFSET($GD$3,0,0,'Données projet'!$E$17+1,1))-AVERAGE(OFFSET($H$3,0,0,'Données projet'!$E$17+1,1))</f>
        <v>199.58763537752952</v>
      </c>
      <c r="GF115" s="59">
        <f t="shared" si="104"/>
        <v>242.62852778451929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1.0586208813726754</v>
      </c>
      <c r="GN115" s="21">
        <f>EXP(-LN(2)/2)*GN114+(1-EXP(-LN(2)/2))/(LN(2)/2)*GH115*GK115*VLOOKUP('Données projet'!$B$17,Paramètres!$A$1:$I$89,3,0)*0.475*44/12</f>
        <v>4.8937901707268883E-12</v>
      </c>
      <c r="GO115" s="21">
        <f t="shared" si="81"/>
        <v>1.0586208813775693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246.21794871794873</v>
      </c>
      <c r="L116" s="12">
        <f>VLOOKUP(A116,'Données projet'!$A$35:$I$55,9,0)</f>
        <v>5.0961538461538449</v>
      </c>
      <c r="M116" s="12">
        <f t="array" ref="M116">INDEX(L:L,MIN(IF(ISNUMBER(L116:L312),ROW(L116:L312),"")))</f>
        <v>5.0961538461538449</v>
      </c>
      <c r="N116" s="13">
        <f>IF('Données projet'!$A$36&gt;35,N115+M116-V115,IF(A116&lt;'Données projet'!$A$36,$K$205^A116,IF(A116='Données projet'!$A$36,'Données projet'!$B$36,N115+M116-V115)))</f>
        <v>246.21794871794836</v>
      </c>
      <c r="O116" s="13">
        <f>N116*VLOOKUP('Données projet'!$B$9,Paramètres!$A$1:$I$89,3,0)*VLOOKUP('Données projet'!$B$9,Paramètres!$A$1:$I$89,5,0)</f>
        <v>222.77799999999965</v>
      </c>
      <c r="P116" s="13">
        <f t="shared" si="87"/>
        <v>54.718228640620396</v>
      </c>
      <c r="Q116" s="20">
        <f t="shared" si="107"/>
        <v>483.30593154907984</v>
      </c>
      <c r="R116" s="59">
        <f t="shared" si="55"/>
        <v>776.63926488241316</v>
      </c>
      <c r="S116" s="59">
        <f ca="1">AVERAGE(OFFSET($R$3,0,0,'Données projet'!$E$9+1,1))-AVERAGE(OFFSET($H$3,0,0,'Données projet'!$E$9+1,1))</f>
        <v>153.45079678708987</v>
      </c>
      <c r="T116" s="59">
        <f t="shared" si="88"/>
        <v>115.4217868409637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31.602564102564099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249.66499999999965</v>
      </c>
      <c r="AK116" s="13">
        <f t="shared" si="89"/>
        <v>60.514200047035814</v>
      </c>
      <c r="AL116" s="20">
        <f t="shared" si="58"/>
        <v>540.22877341525339</v>
      </c>
      <c r="AM116" s="59">
        <f t="shared" si="59"/>
        <v>833.56210674858676</v>
      </c>
      <c r="AN116" s="59">
        <f ca="1">AVERAGE(OFFSET($AM$3,0,0,'Données projet'!$E$10+1,1))-AVERAGE(OFFSET($H$3,0,0,'Données projet'!$E$10+1,1))</f>
        <v>190.21499310415584</v>
      </c>
      <c r="AO116" s="59">
        <f t="shared" si="90"/>
        <v>136.15730566500173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497</v>
      </c>
      <c r="BE116" s="13">
        <f>BD116*VLOOKUP('Données projet'!$B$11,Paramètres!$A$1:$I$89,3,0)*VLOOKUP('Données projet'!$B$11,Paramètres!$A$1:$I$89,5,0)</f>
        <v>297.20600000000002</v>
      </c>
      <c r="BF116" s="13">
        <f t="shared" si="91"/>
        <v>70.590415164571112</v>
      </c>
      <c r="BG116" s="20">
        <f t="shared" si="61"/>
        <v>640.57875641162809</v>
      </c>
      <c r="BH116" s="59">
        <f t="shared" si="62"/>
        <v>933.91208974496135</v>
      </c>
      <c r="BI116" s="59">
        <f ca="1">AVERAGE(OFFSET($BH$3,0,0,'Données projet'!$E$11+1,1))-AVERAGE(OFFSET($H$3,0,0,'Données projet'!$E$11+1,1))</f>
        <v>270.30888762640245</v>
      </c>
      <c r="BJ116" s="59">
        <f t="shared" si="92"/>
        <v>202.23783851977691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0.41392549042024895</v>
      </c>
      <c r="BQ116" s="21">
        <f>EXP(-LN(2)/25)*BQ115+(1-EXP(-LN(2)/25))/(LN(2)/25)*Calculateur!BL116*Calculateur!BN116*VLOOKUP('Données projet'!$B$11,Paramètres!$A$1:$I$89,3,0)*0.475*44/12</f>
        <v>1.2311651131844772</v>
      </c>
      <c r="BR116" s="21">
        <f>EXP(-LN(2)/2)*BR115+(1-EXP(-LN(2)/2))/(LN(2)/2)*BL116*BO116*VLOOKUP('Données projet'!$B$11,Paramètres!$A$1:$I$89,3,0)*0.475*44/12</f>
        <v>5.9463895619575252E-12</v>
      </c>
      <c r="BS116" s="22">
        <f t="shared" si="63"/>
        <v>1.6450906036106725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497</v>
      </c>
      <c r="BZ116" s="13">
        <f>BY116*VLOOKUP('Données projet'!$B$12,Paramètres!$A$1:$I$89,3,0)*VLOOKUP('Données projet'!$B$12,Paramètres!$A$1:$I$89,5,0)</f>
        <v>297.20600000000002</v>
      </c>
      <c r="CA116" s="13">
        <f t="shared" si="93"/>
        <v>70.590415164571112</v>
      </c>
      <c r="CB116" s="20">
        <f t="shared" si="64"/>
        <v>640.57875641162809</v>
      </c>
      <c r="CC116" s="59">
        <f t="shared" si="65"/>
        <v>933.91208974496135</v>
      </c>
      <c r="CD116" s="59">
        <f ca="1">AVERAGE(OFFSET($CC$3,0,0,'Données projet'!$E$12+1,1))-AVERAGE(OFFSET($H$3,0,0,'Données projet'!$E$12+1,1))</f>
        <v>270.30888762640245</v>
      </c>
      <c r="CE116" s="59">
        <f t="shared" si="94"/>
        <v>202.23783851977691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0.41392549042024895</v>
      </c>
      <c r="CL116" s="21">
        <f>EXP(-LN(2)/25)*CL115+(1-EXP(-LN(2)/25))/(LN(2)/25)*Calculateur!CG116*Calculateur!CI116*VLOOKUP('Données projet'!$B$12,Paramètres!$A$1:$I$89,3,0)*0.475*44/12</f>
        <v>1.2311651131844772</v>
      </c>
      <c r="CM116" s="21">
        <f>EXP(-LN(2)/2)*CM115+(1-EXP(-LN(2)/2))/(LN(2)/2)*CG116*CJ116*VLOOKUP('Données projet'!$B$12,Paramètres!$A$1:$I$89,3,0)*0.475*44/12</f>
        <v>5.9463895619575252E-12</v>
      </c>
      <c r="CN116" s="22">
        <f t="shared" si="66"/>
        <v>1.6450906036106725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3.4106051316484809E-13</v>
      </c>
      <c r="CU116" s="17">
        <f>CT116*VLOOKUP('Données projet'!$B$13,Paramètres!$A$1:$I$89,3,0)*VLOOKUP('Données projet'!$B$13,Paramètres!$A$1:$I$89,5,0)</f>
        <v>1.5961632016114892E-13</v>
      </c>
      <c r="CV116" s="13">
        <f t="shared" si="95"/>
        <v>2.2708641912150958E-12</v>
      </c>
      <c r="CW116" s="20">
        <f t="shared" si="67"/>
        <v>4.2330868906469593E-12</v>
      </c>
      <c r="CX116" s="59">
        <f t="shared" si="68"/>
        <v>293.33333333333752</v>
      </c>
      <c r="CY116" s="59">
        <f ca="1">AVERAGE(OFFSET($CX$3,0,0,'Données projet'!$E$13+1,1))-AVERAGE(OFFSET($H$3,0,0,'Données projet'!$E$13+1,1))</f>
        <v>158.58786357608489</v>
      </c>
      <c r="CZ116" s="59">
        <f t="shared" si="96"/>
        <v>163.20074068819849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3.813056537183002E-14</v>
      </c>
      <c r="DQ116" s="13">
        <f t="shared" si="97"/>
        <v>6.4086286045526829E-13</v>
      </c>
      <c r="DR116" s="20">
        <f t="shared" si="70"/>
        <v>1.1825802166488628E-12</v>
      </c>
      <c r="DS116" s="59">
        <f t="shared" si="71"/>
        <v>293.33333333333451</v>
      </c>
      <c r="DT116" s="59">
        <f ca="1">AVERAGE(OFFSET($DS$3,0,0,'Données projet'!$E$14+1,1))-AVERAGE(OFFSET($H$3,0,0,'Données projet'!$E$14+1,1))</f>
        <v>156.63226020379989</v>
      </c>
      <c r="DU116" s="59">
        <f t="shared" si="98"/>
        <v>196.0481096619543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0.86815552982640709</v>
      </c>
      <c r="EC116" s="21">
        <f>EXP(-LN(2)/2)*EC115+(1-EXP(-LN(2)/2))/(LN(2)/2)*DW116*DZ116*VLOOKUP('Données projet'!$B$14,Paramètres!$A$1:$I$89,3,0)*0.475*44/12</f>
        <v>2.9176193188877886E-12</v>
      </c>
      <c r="ED116" s="22">
        <f t="shared" si="72"/>
        <v>0.86815552982932476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246.21794871794873</v>
      </c>
      <c r="EH116" s="12">
        <f>VLOOKUP(A116,'Données projet'!$A$191:$I$211,9,0)</f>
        <v>5.0961538461538449</v>
      </c>
      <c r="EI116" s="12">
        <f t="array" ref="EI116">INDEX(EH:EH,MIN(IF(ISNUMBER(EH116:EH312),ROW(EH116:EH312),"")))</f>
        <v>5.0961538461538449</v>
      </c>
      <c r="EJ116" s="12">
        <f>IF('Données projet'!$A$192&gt;35,EJ115+EI116-ER115,IF(A116&lt;'Données projet'!$A$192,$EG$205^A116,IF(A116='Données projet'!$A$192,'Données projet'!$B$192,EJ115+EI116-ER115)))</f>
        <v>246.21794871794836</v>
      </c>
      <c r="EK116" s="17">
        <f>EJ116*VLOOKUP('Données projet'!$B$15,Paramètres!$A$1:$I$89,3,0)*VLOOKUP('Données projet'!$B$15,Paramètres!$A$1:$I$89,5,0)</f>
        <v>265.0289999999996</v>
      </c>
      <c r="EL116" s="13">
        <f t="shared" si="99"/>
        <v>63.793159376611477</v>
      </c>
      <c r="EM116" s="20">
        <f t="shared" si="73"/>
        <v>572.6985942475975</v>
      </c>
      <c r="EN116" s="59">
        <f t="shared" si="74"/>
        <v>866.03192758093087</v>
      </c>
      <c r="EO116" s="59">
        <f ca="1">AVERAGE(OFFSET($EN$3,0,0,'Données projet'!$E$15+1,1))-AVERAGE(OFFSET($H$3,0,0,'Données projet'!$E$15+1,1))</f>
        <v>211.18501783767226</v>
      </c>
      <c r="EP116" s="59">
        <f t="shared" si="100"/>
        <v>147.98306963466246</v>
      </c>
      <c r="EQ116" s="15">
        <f>IF(ISNA(VLOOKUP(A116,'Données projet'!$A$191:$I$211,3,0)),0,VLOOKUP(A116,'Données projet'!$A$191:$I$211,3,0))</f>
        <v>9</v>
      </c>
      <c r="ER116" s="15">
        <f>IF(ISNA(VLOOKUP(A116,'Données projet'!$A$191:$I$211,4,0)),0,VLOOKUP(A116,'Données projet'!$A$191:$I$211,4,0))</f>
        <v>31.602564102564099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498</v>
      </c>
      <c r="FF116" s="17">
        <f>FE116*VLOOKUP('Données projet'!$B$16,Paramètres!$A$1:$I$89,3,0)*VLOOKUP('Données projet'!$B$16,Paramètres!$A$1:$I$89,5,0)</f>
        <v>297.80400000000003</v>
      </c>
      <c r="FG116" s="13">
        <f t="shared" si="101"/>
        <v>70.715900863123025</v>
      </c>
      <c r="FH116" s="20">
        <f t="shared" si="76"/>
        <v>641.83882733660596</v>
      </c>
      <c r="FI116" s="59">
        <f t="shared" si="77"/>
        <v>935.17216066993933</v>
      </c>
      <c r="FJ116" s="59">
        <f ca="1">AVERAGE(OFFSET($FI$3,0,0,'Données projet'!$E$16+1,1))-AVERAGE(OFFSET($H$3,0,0,'Données projet'!$E$16+1,1))</f>
        <v>232.26937455765062</v>
      </c>
      <c r="FK116" s="59">
        <f t="shared" si="102"/>
        <v>115.80853281120301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0.42772300676759067</v>
      </c>
      <c r="FR116" s="21">
        <f>EXP(-LN(2)/25)*FR115+(1-EXP(-LN(2)/25))/(LN(2)/25)*Calculateur!FM116*Calculateur!FO116*VLOOKUP('Données projet'!$B$16,Paramètres!$A$1:$I$89,3,0)*0.475*44/12</f>
        <v>0.44150008915680089</v>
      </c>
      <c r="FS116" s="21">
        <f>EXP(-LN(2)/2)*FS115+(1-EXP(-LN(2)/2))/(LN(2)/2)*FM116*FP116*VLOOKUP('Données projet'!$B$16,Paramètres!$A$1:$I$89,3,0)*0.475*44/12</f>
        <v>2.699688075726254E-12</v>
      </c>
      <c r="FT116" s="22">
        <f t="shared" si="78"/>
        <v>0.86922309592709135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5.6843418860808015E-14</v>
      </c>
      <c r="GA116" s="17">
        <f>FZ116*VLOOKUP('Données projet'!$B$17,Paramètres!$A$1:$I$89,3,0)*VLOOKUP('Données projet'!$B$17,Paramètres!$A$1:$I$89,5,0)</f>
        <v>4.5224624045658861E-14</v>
      </c>
      <c r="GB116" s="13">
        <f t="shared" si="103"/>
        <v>7.4514601661523691E-13</v>
      </c>
      <c r="GC116" s="20">
        <f t="shared" si="79"/>
        <v>1.3765621991510601E-12</v>
      </c>
      <c r="GD116" s="59">
        <f t="shared" si="80"/>
        <v>293.33333333333468</v>
      </c>
      <c r="GE116" s="59">
        <f ca="1">AVERAGE(OFFSET($GD$3,0,0,'Données projet'!$E$17+1,1))-AVERAGE(OFFSET($H$3,0,0,'Données projet'!$E$17+1,1))</f>
        <v>199.58763537752952</v>
      </c>
      <c r="GF116" s="59">
        <f t="shared" si="104"/>
        <v>242.62852778451929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1.0296728377010869</v>
      </c>
      <c r="GN116" s="21">
        <f>EXP(-LN(2)/2)*GN115+(1-EXP(-LN(2)/2))/(LN(2)/2)*GH116*GK116*VLOOKUP('Données projet'!$B$17,Paramètres!$A$1:$I$89,3,0)*0.475*44/12</f>
        <v>3.4604322154250549E-12</v>
      </c>
      <c r="GO116" s="21">
        <f t="shared" si="81"/>
        <v>1.0296728377045472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5.3066239316239274</v>
      </c>
      <c r="N117" s="13">
        <f>IF('Données projet'!$A$36&gt;35,N116+M117-V116,IF(A117&lt;'Données projet'!$A$36,$K$205^A117,IF(A117='Données projet'!$A$36,'Données projet'!$B$36,N116+M117-V116)))</f>
        <v>219.9220085470082</v>
      </c>
      <c r="O117" s="13">
        <f>N117*VLOOKUP('Données projet'!$B$9,Paramètres!$A$1:$I$89,3,0)*VLOOKUP('Données projet'!$B$9,Paramètres!$A$1:$I$89,5,0)</f>
        <v>198.98543333333302</v>
      </c>
      <c r="P117" s="13">
        <f t="shared" si="87"/>
        <v>49.521130725595967</v>
      </c>
      <c r="Q117" s="20">
        <f t="shared" si="107"/>
        <v>432.8155990693013</v>
      </c>
      <c r="R117" s="59">
        <f t="shared" si="55"/>
        <v>726.14893240263461</v>
      </c>
      <c r="S117" s="59">
        <f ca="1">AVERAGE(OFFSET($R$3,0,0,'Données projet'!$E$9+1,1))-AVERAGE(OFFSET($H$3,0,0,'Données projet'!$E$9+1,1))</f>
        <v>153.45079678708987</v>
      </c>
      <c r="T117" s="59">
        <f t="shared" si="88"/>
        <v>115.4217868409637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223.00091666666631</v>
      </c>
      <c r="AK117" s="13">
        <f t="shared" si="89"/>
        <v>54.766604945604634</v>
      </c>
      <c r="AL117" s="20">
        <f t="shared" si="58"/>
        <v>483.77843347470525</v>
      </c>
      <c r="AM117" s="59">
        <f t="shared" si="59"/>
        <v>777.11176680803851</v>
      </c>
      <c r="AN117" s="59">
        <f ca="1">AVERAGE(OFFSET($AM$3,0,0,'Données projet'!$E$10+1,1))-AVERAGE(OFFSET($H$3,0,0,'Données projet'!$E$10+1,1))</f>
        <v>190.21499310415584</v>
      </c>
      <c r="AO117" s="59">
        <f t="shared" si="90"/>
        <v>136.15730566500173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497</v>
      </c>
      <c r="BE117" s="13">
        <f>BD117*VLOOKUP('Données projet'!$B$11,Paramètres!$A$1:$I$89,3,0)*VLOOKUP('Données projet'!$B$11,Paramètres!$A$1:$I$89,5,0)</f>
        <v>297.20600000000002</v>
      </c>
      <c r="BF117" s="13">
        <f t="shared" si="91"/>
        <v>70.590415164571112</v>
      </c>
      <c r="BG117" s="20">
        <f t="shared" si="61"/>
        <v>640.57875641162809</v>
      </c>
      <c r="BH117" s="59">
        <f t="shared" si="62"/>
        <v>933.91208974496135</v>
      </c>
      <c r="BI117" s="59">
        <f ca="1">AVERAGE(OFFSET($BH$3,0,0,'Données projet'!$E$11+1,1))-AVERAGE(OFFSET($H$3,0,0,'Données projet'!$E$11+1,1))</f>
        <v>270.30888762640245</v>
      </c>
      <c r="BJ117" s="59">
        <f t="shared" si="92"/>
        <v>202.23783851977691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0.40580866402272775</v>
      </c>
      <c r="BQ117" s="21">
        <f>EXP(-LN(2)/25)*BQ116+(1-EXP(-LN(2)/25))/(LN(2)/25)*Calculateur!BL117*Calculateur!BN117*VLOOKUP('Données projet'!$B$11,Paramètres!$A$1:$I$89,3,0)*0.475*44/12</f>
        <v>1.1974988384202883</v>
      </c>
      <c r="BR117" s="21">
        <f>EXP(-LN(2)/2)*BR116+(1-EXP(-LN(2)/2))/(LN(2)/2)*BL117*BO117*VLOOKUP('Données projet'!$B$11,Paramètres!$A$1:$I$89,3,0)*0.475*44/12</f>
        <v>4.20473238283707E-12</v>
      </c>
      <c r="BS117" s="22">
        <f t="shared" si="63"/>
        <v>1.6033075024472208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497</v>
      </c>
      <c r="BZ117" s="13">
        <f>BY117*VLOOKUP('Données projet'!$B$12,Paramètres!$A$1:$I$89,3,0)*VLOOKUP('Données projet'!$B$12,Paramètres!$A$1:$I$89,5,0)</f>
        <v>297.20600000000002</v>
      </c>
      <c r="CA117" s="13">
        <f t="shared" si="93"/>
        <v>70.590415164571112</v>
      </c>
      <c r="CB117" s="20">
        <f t="shared" si="64"/>
        <v>640.57875641162809</v>
      </c>
      <c r="CC117" s="59">
        <f t="shared" si="65"/>
        <v>933.91208974496135</v>
      </c>
      <c r="CD117" s="59">
        <f ca="1">AVERAGE(OFFSET($CC$3,0,0,'Données projet'!$E$12+1,1))-AVERAGE(OFFSET($H$3,0,0,'Données projet'!$E$12+1,1))</f>
        <v>270.30888762640245</v>
      </c>
      <c r="CE117" s="59">
        <f t="shared" si="94"/>
        <v>202.23783851977691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0.40580866402272775</v>
      </c>
      <c r="CL117" s="21">
        <f>EXP(-LN(2)/25)*CL116+(1-EXP(-LN(2)/25))/(LN(2)/25)*Calculateur!CG117*Calculateur!CI117*VLOOKUP('Données projet'!$B$12,Paramètres!$A$1:$I$89,3,0)*0.475*44/12</f>
        <v>1.1974988384202883</v>
      </c>
      <c r="CM117" s="21">
        <f>EXP(-LN(2)/2)*CM116+(1-EXP(-LN(2)/2))/(LN(2)/2)*CG117*CJ117*VLOOKUP('Données projet'!$B$12,Paramètres!$A$1:$I$89,3,0)*0.475*44/12</f>
        <v>4.20473238283707E-12</v>
      </c>
      <c r="CN117" s="22">
        <f t="shared" si="66"/>
        <v>1.6033075024472208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3.4106051316484809E-13</v>
      </c>
      <c r="CU117" s="17">
        <f>CT117*VLOOKUP('Données projet'!$B$13,Paramètres!$A$1:$I$89,3,0)*VLOOKUP('Données projet'!$B$13,Paramètres!$A$1:$I$89,5,0)</f>
        <v>1.5961632016114892E-13</v>
      </c>
      <c r="CV117" s="13">
        <f t="shared" si="95"/>
        <v>2.2708641912150958E-12</v>
      </c>
      <c r="CW117" s="20">
        <f t="shared" si="67"/>
        <v>4.2330868906469593E-12</v>
      </c>
      <c r="CX117" s="59">
        <f t="shared" si="68"/>
        <v>293.33333333333752</v>
      </c>
      <c r="CY117" s="59">
        <f ca="1">AVERAGE(OFFSET($CX$3,0,0,'Données projet'!$E$13+1,1))-AVERAGE(OFFSET($H$3,0,0,'Données projet'!$E$13+1,1))</f>
        <v>158.58786357608489</v>
      </c>
      <c r="CZ117" s="59">
        <f t="shared" si="96"/>
        <v>163.20074068819849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3.813056537183002E-14</v>
      </c>
      <c r="DQ117" s="13">
        <f t="shared" si="97"/>
        <v>6.4086286045526829E-13</v>
      </c>
      <c r="DR117" s="20">
        <f t="shared" si="70"/>
        <v>1.1825802166488628E-12</v>
      </c>
      <c r="DS117" s="59">
        <f t="shared" si="71"/>
        <v>293.33333333333451</v>
      </c>
      <c r="DT117" s="59">
        <f ca="1">AVERAGE(OFFSET($DS$3,0,0,'Données projet'!$E$14+1,1))-AVERAGE(OFFSET($H$3,0,0,'Données projet'!$E$14+1,1))</f>
        <v>156.63226020379989</v>
      </c>
      <c r="DU117" s="59">
        <f t="shared" si="98"/>
        <v>196.0481096619543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0.84441577120898892</v>
      </c>
      <c r="EC117" s="21">
        <f>EXP(-LN(2)/2)*EC116+(1-EXP(-LN(2)/2))/(LN(2)/2)*DW117*DZ117*VLOOKUP('Données projet'!$B$14,Paramètres!$A$1:$I$89,3,0)*0.475*44/12</f>
        <v>2.0630684053064314E-12</v>
      </c>
      <c r="ED117" s="22">
        <f t="shared" si="72"/>
        <v>0.84441577121105194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5.3066239316239274</v>
      </c>
      <c r="EJ117" s="12">
        <f>IF('Données projet'!$A$192&gt;35,EJ116+EI117-ER116,IF(A117&lt;'Données projet'!$A$192,$EG$205^A117,IF(A117='Données projet'!$A$192,'Données projet'!$B$192,EJ116+EI117-ER116)))</f>
        <v>219.9220085470082</v>
      </c>
      <c r="EK117" s="17">
        <f>EJ117*VLOOKUP('Données projet'!$B$15,Paramètres!$A$1:$I$89,3,0)*VLOOKUP('Données projet'!$B$15,Paramètres!$A$1:$I$89,5,0)</f>
        <v>236.72404999999964</v>
      </c>
      <c r="EL117" s="13">
        <f t="shared" si="99"/>
        <v>57.73413108155286</v>
      </c>
      <c r="EM117" s="20">
        <f t="shared" si="73"/>
        <v>512.84799871703717</v>
      </c>
      <c r="EN117" s="59">
        <f t="shared" si="74"/>
        <v>806.18133205037043</v>
      </c>
      <c r="EO117" s="59">
        <f ca="1">AVERAGE(OFFSET($EN$3,0,0,'Données projet'!$E$15+1,1))-AVERAGE(OFFSET($H$3,0,0,'Données projet'!$E$15+1,1))</f>
        <v>211.18501783767226</v>
      </c>
      <c r="EP117" s="59">
        <f t="shared" si="100"/>
        <v>147.98306963466246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498</v>
      </c>
      <c r="FF117" s="17">
        <f>FE117*VLOOKUP('Données projet'!$B$16,Paramètres!$A$1:$I$89,3,0)*VLOOKUP('Données projet'!$B$16,Paramètres!$A$1:$I$89,5,0)</f>
        <v>297.80400000000003</v>
      </c>
      <c r="FG117" s="13">
        <f t="shared" si="101"/>
        <v>70.715900863123025</v>
      </c>
      <c r="FH117" s="20">
        <f t="shared" si="76"/>
        <v>641.83882733660596</v>
      </c>
      <c r="FI117" s="59">
        <f t="shared" si="77"/>
        <v>935.17216066993933</v>
      </c>
      <c r="FJ117" s="59">
        <f ca="1">AVERAGE(OFFSET($FI$3,0,0,'Données projet'!$E$16+1,1))-AVERAGE(OFFSET($H$3,0,0,'Données projet'!$E$16+1,1))</f>
        <v>232.26937455765062</v>
      </c>
      <c r="FK117" s="59">
        <f t="shared" si="102"/>
        <v>115.80853281120301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0.41933561949015208</v>
      </c>
      <c r="FR117" s="21">
        <f>EXP(-LN(2)/25)*FR116+(1-EXP(-LN(2)/25))/(LN(2)/25)*Calculateur!FM117*Calculateur!FO117*VLOOKUP('Données projet'!$B$16,Paramètres!$A$1:$I$89,3,0)*0.475*44/12</f>
        <v>0.42942724600132753</v>
      </c>
      <c r="FS117" s="21">
        <f>EXP(-LN(2)/2)*FS116+(1-EXP(-LN(2)/2))/(LN(2)/2)*FM117*FP117*VLOOKUP('Données projet'!$B$16,Paramètres!$A$1:$I$89,3,0)*0.475*44/12</f>
        <v>1.9089677454344958E-12</v>
      </c>
      <c r="FT117" s="22">
        <f t="shared" si="78"/>
        <v>0.84876286549338853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5.6843418860808015E-14</v>
      </c>
      <c r="GA117" s="17">
        <f>FZ117*VLOOKUP('Données projet'!$B$17,Paramètres!$A$1:$I$89,3,0)*VLOOKUP('Données projet'!$B$17,Paramètres!$A$1:$I$89,5,0)</f>
        <v>4.5224624045658861E-14</v>
      </c>
      <c r="GB117" s="13">
        <f t="shared" si="103"/>
        <v>7.4514601661523691E-13</v>
      </c>
      <c r="GC117" s="20">
        <f t="shared" si="79"/>
        <v>1.3765621991510601E-12</v>
      </c>
      <c r="GD117" s="59">
        <f t="shared" si="80"/>
        <v>293.33333333333468</v>
      </c>
      <c r="GE117" s="59">
        <f ca="1">AVERAGE(OFFSET($GD$3,0,0,'Données projet'!$E$17+1,1))-AVERAGE(OFFSET($H$3,0,0,'Données projet'!$E$17+1,1))</f>
        <v>199.58763537752952</v>
      </c>
      <c r="GF117" s="59">
        <f t="shared" si="104"/>
        <v>242.62852778451929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1.0015163798060094</v>
      </c>
      <c r="GN117" s="21">
        <f>EXP(-LN(2)/2)*GN116+(1-EXP(-LN(2)/2))/(LN(2)/2)*GH117*GK117*VLOOKUP('Données projet'!$B$17,Paramètres!$A$1:$I$89,3,0)*0.475*44/12</f>
        <v>2.4468950853634442E-12</v>
      </c>
      <c r="GO117" s="21">
        <f t="shared" si="81"/>
        <v>1.0015163798084563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5.3066239316239274</v>
      </c>
      <c r="N118" s="13">
        <f>IF('Données projet'!$A$36&gt;35,N117+M118-V117,IF(A118&lt;'Données projet'!$A$36,$K$205^A118,IF(A118='Données projet'!$A$36,'Données projet'!$B$36,N117+M118-V117)))</f>
        <v>225.22863247863214</v>
      </c>
      <c r="O118" s="13">
        <f>N118*VLOOKUP('Données projet'!$B$9,Paramètres!$A$1:$I$89,3,0)*VLOOKUP('Données projet'!$B$9,Paramètres!$A$1:$I$89,5,0)</f>
        <v>203.78686666666636</v>
      </c>
      <c r="P118" s="13">
        <f t="shared" si="87"/>
        <v>50.57549569083951</v>
      </c>
      <c r="Q118" s="20">
        <f t="shared" si="107"/>
        <v>443.01444777265607</v>
      </c>
      <c r="R118" s="59">
        <f t="shared" si="55"/>
        <v>736.34778110598938</v>
      </c>
      <c r="S118" s="59">
        <f ca="1">AVERAGE(OFFSET($R$3,0,0,'Données projet'!$E$9+1,1))-AVERAGE(OFFSET($H$3,0,0,'Données projet'!$E$9+1,1))</f>
        <v>153.45079678708987</v>
      </c>
      <c r="T118" s="59">
        <f t="shared" si="88"/>
        <v>115.4217868409637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228.38183333333299</v>
      </c>
      <c r="AK118" s="13">
        <f t="shared" si="89"/>
        <v>55.932652422184837</v>
      </c>
      <c r="AL118" s="20">
        <f t="shared" si="58"/>
        <v>495.18106269086019</v>
      </c>
      <c r="AM118" s="59">
        <f t="shared" si="59"/>
        <v>788.5143960241935</v>
      </c>
      <c r="AN118" s="59">
        <f ca="1">AVERAGE(OFFSET($AM$3,0,0,'Données projet'!$E$10+1,1))-AVERAGE(OFFSET($H$3,0,0,'Données projet'!$E$10+1,1))</f>
        <v>190.21499310415584</v>
      </c>
      <c r="AO118" s="59">
        <f t="shared" si="90"/>
        <v>136.15730566500173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497</v>
      </c>
      <c r="BE118" s="13">
        <f>BD118*VLOOKUP('Données projet'!$B$11,Paramètres!$A$1:$I$89,3,0)*VLOOKUP('Données projet'!$B$11,Paramètres!$A$1:$I$89,5,0)</f>
        <v>297.20600000000002</v>
      </c>
      <c r="BF118" s="13">
        <f t="shared" si="91"/>
        <v>70.590415164571112</v>
      </c>
      <c r="BG118" s="20">
        <f t="shared" si="61"/>
        <v>640.57875641162809</v>
      </c>
      <c r="BH118" s="59">
        <f t="shared" si="62"/>
        <v>933.91208974496135</v>
      </c>
      <c r="BI118" s="59">
        <f ca="1">AVERAGE(OFFSET($BH$3,0,0,'Données projet'!$E$11+1,1))-AVERAGE(OFFSET($H$3,0,0,'Données projet'!$E$11+1,1))</f>
        <v>270.30888762640245</v>
      </c>
      <c r="BJ118" s="59">
        <f t="shared" si="92"/>
        <v>202.23783851977691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0.39785100364008663</v>
      </c>
      <c r="BQ118" s="21">
        <f>EXP(-LN(2)/25)*BQ117+(1-EXP(-LN(2)/25))/(LN(2)/25)*Calculateur!BL118*Calculateur!BN118*VLOOKUP('Données projet'!$B$11,Paramètres!$A$1:$I$89,3,0)*0.475*44/12</f>
        <v>1.1647531697099585</v>
      </c>
      <c r="BR118" s="21">
        <f>EXP(-LN(2)/2)*BR117+(1-EXP(-LN(2)/2))/(LN(2)/2)*BL118*BO118*VLOOKUP('Données projet'!$B$11,Paramètres!$A$1:$I$89,3,0)*0.475*44/12</f>
        <v>2.9731947809787626E-12</v>
      </c>
      <c r="BS118" s="22">
        <f t="shared" si="63"/>
        <v>1.5626041733530183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497</v>
      </c>
      <c r="BZ118" s="13">
        <f>BY118*VLOOKUP('Données projet'!$B$12,Paramètres!$A$1:$I$89,3,0)*VLOOKUP('Données projet'!$B$12,Paramètres!$A$1:$I$89,5,0)</f>
        <v>297.20600000000002</v>
      </c>
      <c r="CA118" s="13">
        <f t="shared" si="93"/>
        <v>70.590415164571112</v>
      </c>
      <c r="CB118" s="20">
        <f t="shared" si="64"/>
        <v>640.57875641162809</v>
      </c>
      <c r="CC118" s="59">
        <f t="shared" si="65"/>
        <v>933.91208974496135</v>
      </c>
      <c r="CD118" s="59">
        <f ca="1">AVERAGE(OFFSET($CC$3,0,0,'Données projet'!$E$12+1,1))-AVERAGE(OFFSET($H$3,0,0,'Données projet'!$E$12+1,1))</f>
        <v>270.30888762640245</v>
      </c>
      <c r="CE118" s="59">
        <f t="shared" si="94"/>
        <v>202.23783851977691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0.39785100364008663</v>
      </c>
      <c r="CL118" s="21">
        <f>EXP(-LN(2)/25)*CL117+(1-EXP(-LN(2)/25))/(LN(2)/25)*Calculateur!CG118*Calculateur!CI118*VLOOKUP('Données projet'!$B$12,Paramètres!$A$1:$I$89,3,0)*0.475*44/12</f>
        <v>1.1647531697099585</v>
      </c>
      <c r="CM118" s="21">
        <f>EXP(-LN(2)/2)*CM117+(1-EXP(-LN(2)/2))/(LN(2)/2)*CG118*CJ118*VLOOKUP('Données projet'!$B$12,Paramètres!$A$1:$I$89,3,0)*0.475*44/12</f>
        <v>2.9731947809787626E-12</v>
      </c>
      <c r="CN118" s="22">
        <f t="shared" si="66"/>
        <v>1.5626041733530183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3.4106051316484809E-13</v>
      </c>
      <c r="CU118" s="17">
        <f>CT118*VLOOKUP('Données projet'!$B$13,Paramètres!$A$1:$I$89,3,0)*VLOOKUP('Données projet'!$B$13,Paramètres!$A$1:$I$89,5,0)</f>
        <v>1.5961632016114892E-13</v>
      </c>
      <c r="CV118" s="13">
        <f t="shared" si="95"/>
        <v>2.2708641912150958E-12</v>
      </c>
      <c r="CW118" s="20">
        <f t="shared" si="67"/>
        <v>4.2330868906469593E-12</v>
      </c>
      <c r="CX118" s="59">
        <f t="shared" si="68"/>
        <v>293.33333333333752</v>
      </c>
      <c r="CY118" s="59">
        <f ca="1">AVERAGE(OFFSET($CX$3,0,0,'Données projet'!$E$13+1,1))-AVERAGE(OFFSET($H$3,0,0,'Données projet'!$E$13+1,1))</f>
        <v>158.58786357608489</v>
      </c>
      <c r="CZ118" s="59">
        <f t="shared" si="96"/>
        <v>163.20074068819849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3.813056537183002E-14</v>
      </c>
      <c r="DQ118" s="13">
        <f t="shared" si="97"/>
        <v>6.4086286045526829E-13</v>
      </c>
      <c r="DR118" s="20">
        <f t="shared" si="70"/>
        <v>1.1825802166488628E-12</v>
      </c>
      <c r="DS118" s="59">
        <f t="shared" si="71"/>
        <v>293.33333333333451</v>
      </c>
      <c r="DT118" s="59">
        <f ca="1">AVERAGE(OFFSET($DS$3,0,0,'Données projet'!$E$14+1,1))-AVERAGE(OFFSET($H$3,0,0,'Données projet'!$E$14+1,1))</f>
        <v>156.63226020379989</v>
      </c>
      <c r="DU118" s="59">
        <f t="shared" si="98"/>
        <v>196.0481096619543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0.82132517753938361</v>
      </c>
      <c r="EC118" s="21">
        <f>EXP(-LN(2)/2)*EC117+(1-EXP(-LN(2)/2))/(LN(2)/2)*DW118*DZ118*VLOOKUP('Données projet'!$B$14,Paramètres!$A$1:$I$89,3,0)*0.475*44/12</f>
        <v>1.4588096594438943E-12</v>
      </c>
      <c r="ED118" s="22">
        <f t="shared" si="72"/>
        <v>0.82132517754084244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5.3066239316239274</v>
      </c>
      <c r="EJ118" s="12">
        <f>IF('Données projet'!$A$192&gt;35,EJ117+EI118-ER117,IF(A118&lt;'Données projet'!$A$192,$EG$205^A118,IF(A118='Données projet'!$A$192,'Données projet'!$B$192,EJ117+EI118-ER117)))</f>
        <v>225.22863247863214</v>
      </c>
      <c r="EK118" s="17">
        <f>EJ118*VLOOKUP('Données projet'!$B$15,Paramètres!$A$1:$I$89,3,0)*VLOOKUP('Données projet'!$B$15,Paramètres!$A$1:$I$89,5,0)</f>
        <v>242.43609999999961</v>
      </c>
      <c r="EL118" s="13">
        <f t="shared" si="99"/>
        <v>58.963360790552656</v>
      </c>
      <c r="EM118" s="20">
        <f t="shared" si="73"/>
        <v>524.93739421021189</v>
      </c>
      <c r="EN118" s="59">
        <f t="shared" si="74"/>
        <v>818.27072754354526</v>
      </c>
      <c r="EO118" s="59">
        <f ca="1">AVERAGE(OFFSET($EN$3,0,0,'Données projet'!$E$15+1,1))-AVERAGE(OFFSET($H$3,0,0,'Données projet'!$E$15+1,1))</f>
        <v>211.18501783767226</v>
      </c>
      <c r="EP118" s="59">
        <f t="shared" si="100"/>
        <v>147.98306963466246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498</v>
      </c>
      <c r="FF118" s="17">
        <f>FE118*VLOOKUP('Données projet'!$B$16,Paramètres!$A$1:$I$89,3,0)*VLOOKUP('Données projet'!$B$16,Paramètres!$A$1:$I$89,5,0)</f>
        <v>297.80400000000003</v>
      </c>
      <c r="FG118" s="13">
        <f t="shared" si="101"/>
        <v>70.715900863123025</v>
      </c>
      <c r="FH118" s="20">
        <f t="shared" si="76"/>
        <v>641.83882733660596</v>
      </c>
      <c r="FI118" s="59">
        <f t="shared" si="77"/>
        <v>935.17216066993933</v>
      </c>
      <c r="FJ118" s="59">
        <f ca="1">AVERAGE(OFFSET($FI$3,0,0,'Données projet'!$E$16+1,1))-AVERAGE(OFFSET($H$3,0,0,'Données projet'!$E$16+1,1))</f>
        <v>232.26937455765062</v>
      </c>
      <c r="FK118" s="59">
        <f t="shared" si="102"/>
        <v>115.80853281120301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0.41111270376142295</v>
      </c>
      <c r="FR118" s="21">
        <f>EXP(-LN(2)/25)*FR117+(1-EXP(-LN(2)/25))/(LN(2)/25)*Calculateur!FM118*Calculateur!FO118*VLOOKUP('Données projet'!$B$16,Paramètres!$A$1:$I$89,3,0)*0.475*44/12</f>
        <v>0.41768453537682382</v>
      </c>
      <c r="FS118" s="21">
        <f>EXP(-LN(2)/2)*FS117+(1-EXP(-LN(2)/2))/(LN(2)/2)*FM118*FP118*VLOOKUP('Données projet'!$B$16,Paramètres!$A$1:$I$89,3,0)*0.475*44/12</f>
        <v>1.349844037863127E-12</v>
      </c>
      <c r="FT118" s="22">
        <f t="shared" si="78"/>
        <v>0.82879723913959658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5.6843418860808015E-14</v>
      </c>
      <c r="GA118" s="17">
        <f>FZ118*VLOOKUP('Données projet'!$B$17,Paramètres!$A$1:$I$89,3,0)*VLOOKUP('Données projet'!$B$17,Paramètres!$A$1:$I$89,5,0)</f>
        <v>4.5224624045658861E-14</v>
      </c>
      <c r="GB118" s="13">
        <f t="shared" si="103"/>
        <v>7.4514601661523691E-13</v>
      </c>
      <c r="GC118" s="20">
        <f t="shared" si="79"/>
        <v>1.3765621991510601E-12</v>
      </c>
      <c r="GD118" s="59">
        <f t="shared" si="80"/>
        <v>293.33333333333468</v>
      </c>
      <c r="GE118" s="59">
        <f ca="1">AVERAGE(OFFSET($GD$3,0,0,'Données projet'!$E$17+1,1))-AVERAGE(OFFSET($H$3,0,0,'Données projet'!$E$17+1,1))</f>
        <v>199.58763537752952</v>
      </c>
      <c r="GF118" s="59">
        <f t="shared" si="104"/>
        <v>242.62852778451929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0.97412986173275662</v>
      </c>
      <c r="GN118" s="21">
        <f>EXP(-LN(2)/2)*GN117+(1-EXP(-LN(2)/2))/(LN(2)/2)*GH118*GK118*VLOOKUP('Données projet'!$B$17,Paramètres!$A$1:$I$89,3,0)*0.475*44/12</f>
        <v>1.7302161077125275E-12</v>
      </c>
      <c r="GO118" s="21">
        <f t="shared" si="81"/>
        <v>0.97412986173448679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5.3066239316239274</v>
      </c>
      <c r="N119" s="13">
        <f>IF('Données projet'!$A$36&gt;35,N118+M119-V118,IF(A119&lt;'Données projet'!$A$36,$K$205^A119,IF(A119='Données projet'!$A$36,'Données projet'!$B$36,N118+M119-V118)))</f>
        <v>230.53525641025607</v>
      </c>
      <c r="O119" s="13">
        <f>N119*VLOOKUP('Données projet'!$B$9,Paramètres!$A$1:$I$89,3,0)*VLOOKUP('Données projet'!$B$9,Paramètres!$A$1:$I$89,5,0)</f>
        <v>208.58829999999969</v>
      </c>
      <c r="P119" s="13">
        <f t="shared" si="87"/>
        <v>51.626972732243416</v>
      </c>
      <c r="Q119" s="20">
        <f t="shared" si="107"/>
        <v>453.20826667532333</v>
      </c>
      <c r="R119" s="59">
        <f t="shared" si="55"/>
        <v>746.54160000865659</v>
      </c>
      <c r="S119" s="59">
        <f ca="1">AVERAGE(OFFSET($R$3,0,0,'Données projet'!$E$9+1,1))-AVERAGE(OFFSET($H$3,0,0,'Données projet'!$E$9+1,1))</f>
        <v>153.45079678708987</v>
      </c>
      <c r="T119" s="59">
        <f t="shared" si="88"/>
        <v>115.4217868409637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233.76274999999964</v>
      </c>
      <c r="AK119" s="13">
        <f t="shared" si="89"/>
        <v>57.095506074599044</v>
      </c>
      <c r="AL119" s="20">
        <f t="shared" si="58"/>
        <v>506.57812932992596</v>
      </c>
      <c r="AM119" s="59">
        <f t="shared" si="59"/>
        <v>799.91146266325927</v>
      </c>
      <c r="AN119" s="59">
        <f ca="1">AVERAGE(OFFSET($AM$3,0,0,'Données projet'!$E$10+1,1))-AVERAGE(OFFSET($H$3,0,0,'Données projet'!$E$10+1,1))</f>
        <v>190.21499310415584</v>
      </c>
      <c r="AO119" s="59">
        <f t="shared" si="90"/>
        <v>136.15730566500173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497</v>
      </c>
      <c r="BE119" s="13">
        <f>BD119*VLOOKUP('Données projet'!$B$11,Paramètres!$A$1:$I$89,3,0)*VLOOKUP('Données projet'!$B$11,Paramètres!$A$1:$I$89,5,0)</f>
        <v>297.20600000000002</v>
      </c>
      <c r="BF119" s="13">
        <f t="shared" si="91"/>
        <v>70.590415164571112</v>
      </c>
      <c r="BG119" s="20">
        <f t="shared" si="61"/>
        <v>640.57875641162809</v>
      </c>
      <c r="BH119" s="59">
        <f t="shared" si="62"/>
        <v>933.91208974496135</v>
      </c>
      <c r="BI119" s="59">
        <f ca="1">AVERAGE(OFFSET($BH$3,0,0,'Données projet'!$E$11+1,1))-AVERAGE(OFFSET($H$3,0,0,'Données projet'!$E$11+1,1))</f>
        <v>270.30888762640245</v>
      </c>
      <c r="BJ119" s="59">
        <f t="shared" si="92"/>
        <v>202.23783851977691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0.39004938812385553</v>
      </c>
      <c r="BQ119" s="21">
        <f>EXP(-LN(2)/25)*BQ118+(1-EXP(-LN(2)/25))/(LN(2)/25)*Calculateur!BL119*Calculateur!BN119*VLOOKUP('Données projet'!$B$11,Paramètres!$A$1:$I$89,3,0)*0.475*44/12</f>
        <v>1.1329029330325324</v>
      </c>
      <c r="BR119" s="21">
        <f>EXP(-LN(2)/2)*BR118+(1-EXP(-LN(2)/2))/(LN(2)/2)*BL119*BO119*VLOOKUP('Données projet'!$B$11,Paramètres!$A$1:$I$89,3,0)*0.475*44/12</f>
        <v>2.102366191418535E-12</v>
      </c>
      <c r="BS119" s="22">
        <f t="shared" si="63"/>
        <v>1.5229523211584903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497</v>
      </c>
      <c r="BZ119" s="13">
        <f>BY119*VLOOKUP('Données projet'!$B$12,Paramètres!$A$1:$I$89,3,0)*VLOOKUP('Données projet'!$B$12,Paramètres!$A$1:$I$89,5,0)</f>
        <v>297.20600000000002</v>
      </c>
      <c r="CA119" s="13">
        <f t="shared" si="93"/>
        <v>70.590415164571112</v>
      </c>
      <c r="CB119" s="20">
        <f t="shared" si="64"/>
        <v>640.57875641162809</v>
      </c>
      <c r="CC119" s="59">
        <f t="shared" si="65"/>
        <v>933.91208974496135</v>
      </c>
      <c r="CD119" s="59">
        <f ca="1">AVERAGE(OFFSET($CC$3,0,0,'Données projet'!$E$12+1,1))-AVERAGE(OFFSET($H$3,0,0,'Données projet'!$E$12+1,1))</f>
        <v>270.30888762640245</v>
      </c>
      <c r="CE119" s="59">
        <f t="shared" si="94"/>
        <v>202.23783851977691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0.39004938812385553</v>
      </c>
      <c r="CL119" s="21">
        <f>EXP(-LN(2)/25)*CL118+(1-EXP(-LN(2)/25))/(LN(2)/25)*Calculateur!CG119*Calculateur!CI119*VLOOKUP('Données projet'!$B$12,Paramètres!$A$1:$I$89,3,0)*0.475*44/12</f>
        <v>1.1329029330325324</v>
      </c>
      <c r="CM119" s="21">
        <f>EXP(-LN(2)/2)*CM118+(1-EXP(-LN(2)/2))/(LN(2)/2)*CG119*CJ119*VLOOKUP('Données projet'!$B$12,Paramètres!$A$1:$I$89,3,0)*0.475*44/12</f>
        <v>2.102366191418535E-12</v>
      </c>
      <c r="CN119" s="22">
        <f t="shared" si="66"/>
        <v>1.5229523211584903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3.4106051316484809E-13</v>
      </c>
      <c r="CU119" s="17">
        <f>CT119*VLOOKUP('Données projet'!$B$13,Paramètres!$A$1:$I$89,3,0)*VLOOKUP('Données projet'!$B$13,Paramètres!$A$1:$I$89,5,0)</f>
        <v>1.5961632016114892E-13</v>
      </c>
      <c r="CV119" s="13">
        <f t="shared" si="95"/>
        <v>2.2708641912150958E-12</v>
      </c>
      <c r="CW119" s="20">
        <f t="shared" si="67"/>
        <v>4.2330868906469593E-12</v>
      </c>
      <c r="CX119" s="59">
        <f t="shared" si="68"/>
        <v>293.33333333333752</v>
      </c>
      <c r="CY119" s="59">
        <f ca="1">AVERAGE(OFFSET($CX$3,0,0,'Données projet'!$E$13+1,1))-AVERAGE(OFFSET($H$3,0,0,'Données projet'!$E$13+1,1))</f>
        <v>158.58786357608489</v>
      </c>
      <c r="CZ119" s="59">
        <f t="shared" si="96"/>
        <v>163.20074068819849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3.813056537183002E-14</v>
      </c>
      <c r="DQ119" s="13">
        <f t="shared" si="97"/>
        <v>6.4086286045526829E-13</v>
      </c>
      <c r="DR119" s="20">
        <f t="shared" si="70"/>
        <v>1.1825802166488628E-12</v>
      </c>
      <c r="DS119" s="59">
        <f t="shared" si="71"/>
        <v>293.33333333333451</v>
      </c>
      <c r="DT119" s="59">
        <f ca="1">AVERAGE(OFFSET($DS$3,0,0,'Données projet'!$E$14+1,1))-AVERAGE(OFFSET($H$3,0,0,'Données projet'!$E$14+1,1))</f>
        <v>156.63226020379989</v>
      </c>
      <c r="DU119" s="59">
        <f t="shared" si="98"/>
        <v>196.0481096619543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0.79886599736795527</v>
      </c>
      <c r="EC119" s="21">
        <f>EXP(-LN(2)/2)*EC118+(1-EXP(-LN(2)/2))/(LN(2)/2)*DW119*DZ119*VLOOKUP('Données projet'!$B$14,Paramètres!$A$1:$I$89,3,0)*0.475*44/12</f>
        <v>1.0315342026532157E-12</v>
      </c>
      <c r="ED119" s="22">
        <f t="shared" si="72"/>
        <v>0.79886599736898678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5.3066239316239274</v>
      </c>
      <c r="EJ119" s="12">
        <f>IF('Données projet'!$A$192&gt;35,EJ118+EI119-ER118,IF(A119&lt;'Données projet'!$A$192,$EG$205^A119,IF(A119='Données projet'!$A$192,'Données projet'!$B$192,EJ118+EI119-ER118)))</f>
        <v>230.53525641025607</v>
      </c>
      <c r="EK119" s="17">
        <f>EJ119*VLOOKUP('Données projet'!$B$15,Paramètres!$A$1:$I$89,3,0)*VLOOKUP('Données projet'!$B$15,Paramètres!$A$1:$I$89,5,0)</f>
        <v>248.14814999999965</v>
      </c>
      <c r="EL119" s="13">
        <f t="shared" si="99"/>
        <v>60.1892236181613</v>
      </c>
      <c r="EM119" s="20">
        <f t="shared" si="73"/>
        <v>537.02092571829689</v>
      </c>
      <c r="EN119" s="59">
        <f t="shared" si="74"/>
        <v>830.35425905163015</v>
      </c>
      <c r="EO119" s="59">
        <f ca="1">AVERAGE(OFFSET($EN$3,0,0,'Données projet'!$E$15+1,1))-AVERAGE(OFFSET($H$3,0,0,'Données projet'!$E$15+1,1))</f>
        <v>211.18501783767226</v>
      </c>
      <c r="EP119" s="59">
        <f t="shared" si="100"/>
        <v>147.98306963466246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498</v>
      </c>
      <c r="FF119" s="17">
        <f>FE119*VLOOKUP('Données projet'!$B$16,Paramètres!$A$1:$I$89,3,0)*VLOOKUP('Données projet'!$B$16,Paramètres!$A$1:$I$89,5,0)</f>
        <v>297.80400000000003</v>
      </c>
      <c r="FG119" s="13">
        <f t="shared" si="101"/>
        <v>70.715900863123025</v>
      </c>
      <c r="FH119" s="20">
        <f t="shared" si="76"/>
        <v>641.83882733660596</v>
      </c>
      <c r="FI119" s="59">
        <f t="shared" si="77"/>
        <v>935.17216066993933</v>
      </c>
      <c r="FJ119" s="59">
        <f ca="1">AVERAGE(OFFSET($FI$3,0,0,'Données projet'!$E$16+1,1))-AVERAGE(OFFSET($H$3,0,0,'Données projet'!$E$16+1,1))</f>
        <v>232.26937455765062</v>
      </c>
      <c r="FK119" s="59">
        <f t="shared" si="102"/>
        <v>115.80853281120301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0.40305103439465084</v>
      </c>
      <c r="FR119" s="21">
        <f>EXP(-LN(2)/25)*FR118+(1-EXP(-LN(2)/25))/(LN(2)/25)*Calculateur!FM119*Calculateur!FO119*VLOOKUP('Données projet'!$B$16,Paramètres!$A$1:$I$89,3,0)*0.475*44/12</f>
        <v>0.40626292979186951</v>
      </c>
      <c r="FS119" s="21">
        <f>EXP(-LN(2)/2)*FS118+(1-EXP(-LN(2)/2))/(LN(2)/2)*FM119*FP119*VLOOKUP('Données projet'!$B$16,Paramètres!$A$1:$I$89,3,0)*0.475*44/12</f>
        <v>9.5448387271724788E-13</v>
      </c>
      <c r="FT119" s="22">
        <f t="shared" si="78"/>
        <v>0.80931396418747481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5.6843418860808015E-14</v>
      </c>
      <c r="GA119" s="17">
        <f>FZ119*VLOOKUP('Données projet'!$B$17,Paramètres!$A$1:$I$89,3,0)*VLOOKUP('Données projet'!$B$17,Paramètres!$A$1:$I$89,5,0)</f>
        <v>4.5224624045658861E-14</v>
      </c>
      <c r="GB119" s="13">
        <f t="shared" si="103"/>
        <v>7.4514601661523691E-13</v>
      </c>
      <c r="GC119" s="20">
        <f t="shared" si="79"/>
        <v>1.3765621991510601E-12</v>
      </c>
      <c r="GD119" s="59">
        <f t="shared" si="80"/>
        <v>293.33333333333468</v>
      </c>
      <c r="GE119" s="59">
        <f ca="1">AVERAGE(OFFSET($GD$3,0,0,'Données projet'!$E$17+1,1))-AVERAGE(OFFSET($H$3,0,0,'Données projet'!$E$17+1,1))</f>
        <v>199.58763537752952</v>
      </c>
      <c r="GF119" s="59">
        <f t="shared" si="104"/>
        <v>242.62852778451929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0.94749222943641132</v>
      </c>
      <c r="GN119" s="21">
        <f>EXP(-LN(2)/2)*GN118+(1-EXP(-LN(2)/2))/(LN(2)/2)*GH119*GK119*VLOOKUP('Données projet'!$B$17,Paramètres!$A$1:$I$89,3,0)*0.475*44/12</f>
        <v>1.2234475426817221E-12</v>
      </c>
      <c r="GO119" s="21">
        <f t="shared" si="81"/>
        <v>0.94749222943763478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5.3066239316239274</v>
      </c>
      <c r="N120" s="13">
        <f>IF('Données projet'!$A$36&gt;35,N119+M120-V119,IF(A120&lt;'Données projet'!$A$36,$K$205^A120,IF(A120='Données projet'!$A$36,'Données projet'!$B$36,N119+M120-V119)))</f>
        <v>235.84188034188</v>
      </c>
      <c r="O120" s="13">
        <f>N120*VLOOKUP('Données projet'!$B$9,Paramètres!$A$1:$I$89,3,0)*VLOOKUP('Données projet'!$B$9,Paramètres!$A$1:$I$89,5,0)</f>
        <v>213.389733333333</v>
      </c>
      <c r="P120" s="13">
        <f t="shared" si="87"/>
        <v>52.675635977819994</v>
      </c>
      <c r="Q120" s="20">
        <f t="shared" si="107"/>
        <v>463.39718488359148</v>
      </c>
      <c r="R120" s="59">
        <f t="shared" si="55"/>
        <v>756.73051821692479</v>
      </c>
      <c r="S120" s="59">
        <f ca="1">AVERAGE(OFFSET($R$3,0,0,'Données projet'!$E$9+1,1))-AVERAGE(OFFSET($H$3,0,0,'Données projet'!$E$9+1,1))</f>
        <v>153.45079678708987</v>
      </c>
      <c r="T120" s="59">
        <f t="shared" si="88"/>
        <v>115.4217868409637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239.14366666666635</v>
      </c>
      <c r="AK120" s="13">
        <f t="shared" si="89"/>
        <v>58.255247882792112</v>
      </c>
      <c r="AL120" s="20">
        <f t="shared" si="58"/>
        <v>517.96977617364007</v>
      </c>
      <c r="AM120" s="59">
        <f t="shared" si="59"/>
        <v>811.30310950697344</v>
      </c>
      <c r="AN120" s="59">
        <f ca="1">AVERAGE(OFFSET($AM$3,0,0,'Données projet'!$E$10+1,1))-AVERAGE(OFFSET($H$3,0,0,'Données projet'!$E$10+1,1))</f>
        <v>190.21499310415584</v>
      </c>
      <c r="AO120" s="59">
        <f t="shared" si="90"/>
        <v>136.15730566500173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497</v>
      </c>
      <c r="BE120" s="13">
        <f>BD120*VLOOKUP('Données projet'!$B$11,Paramètres!$A$1:$I$89,3,0)*VLOOKUP('Données projet'!$B$11,Paramètres!$A$1:$I$89,5,0)</f>
        <v>297.20600000000002</v>
      </c>
      <c r="BF120" s="13">
        <f t="shared" si="91"/>
        <v>70.590415164571112</v>
      </c>
      <c r="BG120" s="20">
        <f t="shared" si="61"/>
        <v>640.57875641162809</v>
      </c>
      <c r="BH120" s="59">
        <f t="shared" si="62"/>
        <v>933.91208974496135</v>
      </c>
      <c r="BI120" s="59">
        <f ca="1">AVERAGE(OFFSET($BH$3,0,0,'Données projet'!$E$11+1,1))-AVERAGE(OFFSET($H$3,0,0,'Données projet'!$E$11+1,1))</f>
        <v>270.30888762640245</v>
      </c>
      <c r="BJ120" s="59">
        <f t="shared" si="92"/>
        <v>202.23783851977691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0.38240075752938213</v>
      </c>
      <c r="BQ120" s="21">
        <f>EXP(-LN(2)/25)*BQ119+(1-EXP(-LN(2)/25))/(LN(2)/25)*Calculateur!BL120*Calculateur!BN120*VLOOKUP('Données projet'!$B$11,Paramètres!$A$1:$I$89,3,0)*0.475*44/12</f>
        <v>1.1019236427519818</v>
      </c>
      <c r="BR120" s="21">
        <f>EXP(-LN(2)/2)*BR119+(1-EXP(-LN(2)/2))/(LN(2)/2)*BL120*BO120*VLOOKUP('Données projet'!$B$11,Paramètres!$A$1:$I$89,3,0)*0.475*44/12</f>
        <v>1.4865973904893813E-12</v>
      </c>
      <c r="BS120" s="22">
        <f t="shared" si="63"/>
        <v>1.4843244002828506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497</v>
      </c>
      <c r="BZ120" s="13">
        <f>BY120*VLOOKUP('Données projet'!$B$12,Paramètres!$A$1:$I$89,3,0)*VLOOKUP('Données projet'!$B$12,Paramètres!$A$1:$I$89,5,0)</f>
        <v>297.20600000000002</v>
      </c>
      <c r="CA120" s="13">
        <f t="shared" si="93"/>
        <v>70.590415164571112</v>
      </c>
      <c r="CB120" s="20">
        <f t="shared" si="64"/>
        <v>640.57875641162809</v>
      </c>
      <c r="CC120" s="59">
        <f t="shared" si="65"/>
        <v>933.91208974496135</v>
      </c>
      <c r="CD120" s="59">
        <f ca="1">AVERAGE(OFFSET($CC$3,0,0,'Données projet'!$E$12+1,1))-AVERAGE(OFFSET($H$3,0,0,'Données projet'!$E$12+1,1))</f>
        <v>270.30888762640245</v>
      </c>
      <c r="CE120" s="59">
        <f t="shared" si="94"/>
        <v>202.23783851977691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0.38240075752938213</v>
      </c>
      <c r="CL120" s="21">
        <f>EXP(-LN(2)/25)*CL119+(1-EXP(-LN(2)/25))/(LN(2)/25)*Calculateur!CG120*Calculateur!CI120*VLOOKUP('Données projet'!$B$12,Paramètres!$A$1:$I$89,3,0)*0.475*44/12</f>
        <v>1.1019236427519818</v>
      </c>
      <c r="CM120" s="21">
        <f>EXP(-LN(2)/2)*CM119+(1-EXP(-LN(2)/2))/(LN(2)/2)*CG120*CJ120*VLOOKUP('Données projet'!$B$12,Paramètres!$A$1:$I$89,3,0)*0.475*44/12</f>
        <v>1.4865973904893813E-12</v>
      </c>
      <c r="CN120" s="22">
        <f t="shared" si="66"/>
        <v>1.4843244002828506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3.4106051316484809E-13</v>
      </c>
      <c r="CU120" s="17">
        <f>CT120*VLOOKUP('Données projet'!$B$13,Paramètres!$A$1:$I$89,3,0)*VLOOKUP('Données projet'!$B$13,Paramètres!$A$1:$I$89,5,0)</f>
        <v>1.5961632016114892E-13</v>
      </c>
      <c r="CV120" s="13">
        <f t="shared" si="95"/>
        <v>2.2708641912150958E-12</v>
      </c>
      <c r="CW120" s="20">
        <f t="shared" si="67"/>
        <v>4.2330868906469593E-12</v>
      </c>
      <c r="CX120" s="59">
        <f t="shared" si="68"/>
        <v>293.33333333333752</v>
      </c>
      <c r="CY120" s="59">
        <f ca="1">AVERAGE(OFFSET($CX$3,0,0,'Données projet'!$E$13+1,1))-AVERAGE(OFFSET($H$3,0,0,'Données projet'!$E$13+1,1))</f>
        <v>158.58786357608489</v>
      </c>
      <c r="CZ120" s="59">
        <f t="shared" si="96"/>
        <v>163.20074068819849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3.813056537183002E-14</v>
      </c>
      <c r="DQ120" s="13">
        <f t="shared" si="97"/>
        <v>6.4086286045526829E-13</v>
      </c>
      <c r="DR120" s="20">
        <f t="shared" si="70"/>
        <v>1.1825802166488628E-12</v>
      </c>
      <c r="DS120" s="59">
        <f t="shared" si="71"/>
        <v>293.33333333333451</v>
      </c>
      <c r="DT120" s="59">
        <f ca="1">AVERAGE(OFFSET($DS$3,0,0,'Données projet'!$E$14+1,1))-AVERAGE(OFFSET($H$3,0,0,'Données projet'!$E$14+1,1))</f>
        <v>156.63226020379989</v>
      </c>
      <c r="DU120" s="59">
        <f t="shared" si="98"/>
        <v>196.0481096619543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0.77702096465939152</v>
      </c>
      <c r="EC120" s="21">
        <f>EXP(-LN(2)/2)*EC119+(1-EXP(-LN(2)/2))/(LN(2)/2)*DW120*DZ120*VLOOKUP('Données projet'!$B$14,Paramètres!$A$1:$I$89,3,0)*0.475*44/12</f>
        <v>7.2940482972194716E-13</v>
      </c>
      <c r="ED120" s="22">
        <f t="shared" si="72"/>
        <v>0.77702096466012094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5.3066239316239274</v>
      </c>
      <c r="EJ120" s="12">
        <f>IF('Données projet'!$A$192&gt;35,EJ119+EI120-ER119,IF(A120&lt;'Données projet'!$A$192,$EG$205^A120,IF(A120='Données projet'!$A$192,'Données projet'!$B$192,EJ119+EI120-ER119)))</f>
        <v>235.84188034188</v>
      </c>
      <c r="EK120" s="17">
        <f>EJ120*VLOOKUP('Données projet'!$B$15,Paramètres!$A$1:$I$89,3,0)*VLOOKUP('Données projet'!$B$15,Paramètres!$A$1:$I$89,5,0)</f>
        <v>253.86019999999962</v>
      </c>
      <c r="EL120" s="13">
        <f t="shared" si="99"/>
        <v>61.41180598640338</v>
      </c>
      <c r="EM120" s="20">
        <f t="shared" si="73"/>
        <v>549.09874375965182</v>
      </c>
      <c r="EN120" s="59">
        <f t="shared" si="74"/>
        <v>842.43207709298508</v>
      </c>
      <c r="EO120" s="59">
        <f ca="1">AVERAGE(OFFSET($EN$3,0,0,'Données projet'!$E$15+1,1))-AVERAGE(OFFSET($H$3,0,0,'Données projet'!$E$15+1,1))</f>
        <v>211.18501783767226</v>
      </c>
      <c r="EP120" s="59">
        <f t="shared" si="100"/>
        <v>147.98306963466246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498</v>
      </c>
      <c r="FF120" s="17">
        <f>FE120*VLOOKUP('Données projet'!$B$16,Paramètres!$A$1:$I$89,3,0)*VLOOKUP('Données projet'!$B$16,Paramètres!$A$1:$I$89,5,0)</f>
        <v>297.80400000000003</v>
      </c>
      <c r="FG120" s="13">
        <f t="shared" si="101"/>
        <v>70.715900863123025</v>
      </c>
      <c r="FH120" s="20">
        <f t="shared" si="76"/>
        <v>641.83882733660596</v>
      </c>
      <c r="FI120" s="59">
        <f t="shared" si="77"/>
        <v>935.17216066993933</v>
      </c>
      <c r="FJ120" s="59">
        <f ca="1">AVERAGE(OFFSET($FI$3,0,0,'Données projet'!$E$16+1,1))-AVERAGE(OFFSET($H$3,0,0,'Données projet'!$E$16+1,1))</f>
        <v>232.26937455765062</v>
      </c>
      <c r="FK120" s="59">
        <f t="shared" si="102"/>
        <v>115.80853281120301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0.39514744944702834</v>
      </c>
      <c r="FR120" s="21">
        <f>EXP(-LN(2)/25)*FR119+(1-EXP(-LN(2)/25))/(LN(2)/25)*Calculateur!FM120*Calculateur!FO120*VLOOKUP('Données projet'!$B$16,Paramètres!$A$1:$I$89,3,0)*0.475*44/12</f>
        <v>0.39515364861227187</v>
      </c>
      <c r="FS120" s="21">
        <f>EXP(-LN(2)/2)*FS119+(1-EXP(-LN(2)/2))/(LN(2)/2)*FM120*FP120*VLOOKUP('Données projet'!$B$16,Paramètres!$A$1:$I$89,3,0)*0.475*44/12</f>
        <v>6.7492201893156349E-13</v>
      </c>
      <c r="FT120" s="22">
        <f t="shared" si="78"/>
        <v>0.79030109805997506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5.6843418860808015E-14</v>
      </c>
      <c r="GA120" s="17">
        <f>FZ120*VLOOKUP('Données projet'!$B$17,Paramètres!$A$1:$I$89,3,0)*VLOOKUP('Données projet'!$B$17,Paramètres!$A$1:$I$89,5,0)</f>
        <v>4.5224624045658861E-14</v>
      </c>
      <c r="GB120" s="13">
        <f t="shared" si="103"/>
        <v>7.4514601661523691E-13</v>
      </c>
      <c r="GC120" s="20">
        <f t="shared" si="79"/>
        <v>1.3765621991510601E-12</v>
      </c>
      <c r="GD120" s="59">
        <f t="shared" si="80"/>
        <v>293.33333333333468</v>
      </c>
      <c r="GE120" s="59">
        <f ca="1">AVERAGE(OFFSET($GD$3,0,0,'Données projet'!$E$17+1,1))-AVERAGE(OFFSET($H$3,0,0,'Données projet'!$E$17+1,1))</f>
        <v>199.58763537752952</v>
      </c>
      <c r="GF120" s="59">
        <f t="shared" si="104"/>
        <v>242.62852778451929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0.92158300459602183</v>
      </c>
      <c r="GN120" s="21">
        <f>EXP(-LN(2)/2)*GN119+(1-EXP(-LN(2)/2))/(LN(2)/2)*GH120*GK120*VLOOKUP('Données projet'!$B$17,Paramètres!$A$1:$I$89,3,0)*0.475*44/12</f>
        <v>8.6510805385626373E-13</v>
      </c>
      <c r="GO120" s="21">
        <f t="shared" si="81"/>
        <v>0.92158300459688691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5.3066239316239274</v>
      </c>
      <c r="N121" s="13">
        <f>IF('Données projet'!$A$36&gt;35,N120+M121-V120,IF(A121&lt;'Données projet'!$A$36,$K$205^A121,IF(A121='Données projet'!$A$36,'Données projet'!$B$36,N120+M121-V120)))</f>
        <v>241.14850427350393</v>
      </c>
      <c r="O121" s="13">
        <f>N121*VLOOKUP('Données projet'!$B$9,Paramètres!$A$1:$I$89,3,0)*VLOOKUP('Données projet'!$B$9,Paramètres!$A$1:$I$89,5,0)</f>
        <v>218.19116666666633</v>
      </c>
      <c r="P121" s="13">
        <f t="shared" si="87"/>
        <v>53.721556029282723</v>
      </c>
      <c r="Q121" s="20">
        <f t="shared" si="107"/>
        <v>473.58132536211127</v>
      </c>
      <c r="R121" s="59">
        <f t="shared" si="55"/>
        <v>766.91465869544459</v>
      </c>
      <c r="S121" s="59">
        <f ca="1">AVERAGE(OFFSET($R$3,0,0,'Données projet'!$E$9+1,1))-AVERAGE(OFFSET($H$3,0,0,'Données projet'!$E$9+1,1))</f>
        <v>153.45079678708987</v>
      </c>
      <c r="T121" s="59">
        <f t="shared" si="88"/>
        <v>115.4217868409637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244.52458333333303</v>
      </c>
      <c r="AK121" s="13">
        <f t="shared" si="89"/>
        <v>59.41195592689057</v>
      </c>
      <c r="AL121" s="20">
        <f t="shared" si="58"/>
        <v>529.35613921155607</v>
      </c>
      <c r="AM121" s="59">
        <f t="shared" si="59"/>
        <v>822.68947254488944</v>
      </c>
      <c r="AN121" s="59">
        <f ca="1">AVERAGE(OFFSET($AM$3,0,0,'Données projet'!$E$10+1,1))-AVERAGE(OFFSET($H$3,0,0,'Données projet'!$E$10+1,1))</f>
        <v>190.21499310415584</v>
      </c>
      <c r="AO121" s="59">
        <f t="shared" si="90"/>
        <v>136.15730566500173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497</v>
      </c>
      <c r="BE121" s="13">
        <f>BD121*VLOOKUP('Données projet'!$B$11,Paramètres!$A$1:$I$89,3,0)*VLOOKUP('Données projet'!$B$11,Paramètres!$A$1:$I$89,5,0)</f>
        <v>297.20600000000002</v>
      </c>
      <c r="BF121" s="13">
        <f t="shared" si="91"/>
        <v>70.590415164571112</v>
      </c>
      <c r="BG121" s="20">
        <f t="shared" si="61"/>
        <v>640.57875641162809</v>
      </c>
      <c r="BH121" s="59">
        <f t="shared" si="62"/>
        <v>933.91208974496135</v>
      </c>
      <c r="BI121" s="59">
        <f ca="1">AVERAGE(OFFSET($BH$3,0,0,'Données projet'!$E$11+1,1))-AVERAGE(OFFSET($H$3,0,0,'Données projet'!$E$11+1,1))</f>
        <v>270.30888762640245</v>
      </c>
      <c r="BJ121" s="59">
        <f t="shared" si="92"/>
        <v>202.23783851977691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0.37490211191566236</v>
      </c>
      <c r="BQ121" s="21">
        <f>EXP(-LN(2)/25)*BQ120+(1-EXP(-LN(2)/25))/(LN(2)/25)*Calculateur!BL121*Calculateur!BN121*VLOOKUP('Données projet'!$B$11,Paramètres!$A$1:$I$89,3,0)*0.475*44/12</f>
        <v>1.0717914827932831</v>
      </c>
      <c r="BR121" s="21">
        <f>EXP(-LN(2)/2)*BR120+(1-EXP(-LN(2)/2))/(LN(2)/2)*BL121*BO121*VLOOKUP('Données projet'!$B$11,Paramètres!$A$1:$I$89,3,0)*0.475*44/12</f>
        <v>1.0511830957092675E-12</v>
      </c>
      <c r="BS121" s="22">
        <f t="shared" si="63"/>
        <v>1.4466935947099966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497</v>
      </c>
      <c r="BZ121" s="13">
        <f>BY121*VLOOKUP('Données projet'!$B$12,Paramètres!$A$1:$I$89,3,0)*VLOOKUP('Données projet'!$B$12,Paramètres!$A$1:$I$89,5,0)</f>
        <v>297.20600000000002</v>
      </c>
      <c r="CA121" s="13">
        <f t="shared" si="93"/>
        <v>70.590415164571112</v>
      </c>
      <c r="CB121" s="20">
        <f t="shared" si="64"/>
        <v>640.57875641162809</v>
      </c>
      <c r="CC121" s="59">
        <f t="shared" si="65"/>
        <v>933.91208974496135</v>
      </c>
      <c r="CD121" s="59">
        <f ca="1">AVERAGE(OFFSET($CC$3,0,0,'Données projet'!$E$12+1,1))-AVERAGE(OFFSET($H$3,0,0,'Données projet'!$E$12+1,1))</f>
        <v>270.30888762640245</v>
      </c>
      <c r="CE121" s="59">
        <f t="shared" si="94"/>
        <v>202.23783851977691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0.37490211191566236</v>
      </c>
      <c r="CL121" s="21">
        <f>EXP(-LN(2)/25)*CL120+(1-EXP(-LN(2)/25))/(LN(2)/25)*Calculateur!CG121*Calculateur!CI121*VLOOKUP('Données projet'!$B$12,Paramètres!$A$1:$I$89,3,0)*0.475*44/12</f>
        <v>1.0717914827932831</v>
      </c>
      <c r="CM121" s="21">
        <f>EXP(-LN(2)/2)*CM120+(1-EXP(-LN(2)/2))/(LN(2)/2)*CG121*CJ121*VLOOKUP('Données projet'!$B$12,Paramètres!$A$1:$I$89,3,0)*0.475*44/12</f>
        <v>1.0511830957092675E-12</v>
      </c>
      <c r="CN121" s="22">
        <f t="shared" si="66"/>
        <v>1.4466935947099966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3.4106051316484809E-13</v>
      </c>
      <c r="CU121" s="17">
        <f>CT121*VLOOKUP('Données projet'!$B$13,Paramètres!$A$1:$I$89,3,0)*VLOOKUP('Données projet'!$B$13,Paramètres!$A$1:$I$89,5,0)</f>
        <v>1.5961632016114892E-13</v>
      </c>
      <c r="CV121" s="13">
        <f t="shared" si="95"/>
        <v>2.2708641912150958E-12</v>
      </c>
      <c r="CW121" s="20">
        <f t="shared" si="67"/>
        <v>4.2330868906469593E-12</v>
      </c>
      <c r="CX121" s="59">
        <f t="shared" si="68"/>
        <v>293.33333333333752</v>
      </c>
      <c r="CY121" s="59">
        <f ca="1">AVERAGE(OFFSET($CX$3,0,0,'Données projet'!$E$13+1,1))-AVERAGE(OFFSET($H$3,0,0,'Données projet'!$E$13+1,1))</f>
        <v>158.58786357608489</v>
      </c>
      <c r="CZ121" s="59">
        <f t="shared" si="96"/>
        <v>163.20074068819849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3.813056537183002E-14</v>
      </c>
      <c r="DQ121" s="13">
        <f t="shared" si="97"/>
        <v>6.4086286045526829E-13</v>
      </c>
      <c r="DR121" s="20">
        <f t="shared" si="70"/>
        <v>1.1825802166488628E-12</v>
      </c>
      <c r="DS121" s="59">
        <f t="shared" si="71"/>
        <v>293.33333333333451</v>
      </c>
      <c r="DT121" s="59">
        <f ca="1">AVERAGE(OFFSET($DS$3,0,0,'Données projet'!$E$14+1,1))-AVERAGE(OFFSET($H$3,0,0,'Données projet'!$E$14+1,1))</f>
        <v>156.63226020379989</v>
      </c>
      <c r="DU121" s="59">
        <f t="shared" si="98"/>
        <v>196.0481096619543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0.75577328551902379</v>
      </c>
      <c r="EC121" s="21">
        <f>EXP(-LN(2)/2)*EC120+(1-EXP(-LN(2)/2))/(LN(2)/2)*DW121*DZ121*VLOOKUP('Données projet'!$B$14,Paramètres!$A$1:$I$89,3,0)*0.475*44/12</f>
        <v>5.1576710132660785E-13</v>
      </c>
      <c r="ED121" s="22">
        <f t="shared" si="72"/>
        <v>0.75577328551953959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5.3066239316239274</v>
      </c>
      <c r="EJ121" s="12">
        <f>IF('Données projet'!$A$192&gt;35,EJ120+EI121-ER120,IF(A121&lt;'Données projet'!$A$192,$EG$205^A121,IF(A121='Données projet'!$A$192,'Données projet'!$B$192,EJ120+EI121-ER120)))</f>
        <v>241.14850427350393</v>
      </c>
      <c r="EK121" s="17">
        <f>EJ121*VLOOKUP('Données projet'!$B$15,Paramètres!$A$1:$I$89,3,0)*VLOOKUP('Données projet'!$B$15,Paramètres!$A$1:$I$89,5,0)</f>
        <v>259.5722499999996</v>
      </c>
      <c r="EL121" s="13">
        <f t="shared" si="99"/>
        <v>62.631190206173727</v>
      </c>
      <c r="EM121" s="20">
        <f t="shared" si="73"/>
        <v>561.17099169241851</v>
      </c>
      <c r="EN121" s="59">
        <f t="shared" si="74"/>
        <v>854.50432502575177</v>
      </c>
      <c r="EO121" s="59">
        <f ca="1">AVERAGE(OFFSET($EN$3,0,0,'Données projet'!$E$15+1,1))-AVERAGE(OFFSET($H$3,0,0,'Données projet'!$E$15+1,1))</f>
        <v>211.18501783767226</v>
      </c>
      <c r="EP121" s="59">
        <f t="shared" si="100"/>
        <v>147.98306963466246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498</v>
      </c>
      <c r="FF121" s="17">
        <f>FE121*VLOOKUP('Données projet'!$B$16,Paramètres!$A$1:$I$89,3,0)*VLOOKUP('Données projet'!$B$16,Paramètres!$A$1:$I$89,5,0)</f>
        <v>297.80400000000003</v>
      </c>
      <c r="FG121" s="13">
        <f t="shared" si="101"/>
        <v>70.715900863123025</v>
      </c>
      <c r="FH121" s="20">
        <f t="shared" si="76"/>
        <v>641.83882733660596</v>
      </c>
      <c r="FI121" s="59">
        <f t="shared" si="77"/>
        <v>935.17216066993933</v>
      </c>
      <c r="FJ121" s="59">
        <f ca="1">AVERAGE(OFFSET($FI$3,0,0,'Données projet'!$E$16+1,1))-AVERAGE(OFFSET($H$3,0,0,'Données projet'!$E$16+1,1))</f>
        <v>232.26937455765062</v>
      </c>
      <c r="FK121" s="59">
        <f t="shared" si="102"/>
        <v>115.80853281120301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0.38739884897951793</v>
      </c>
      <c r="FR121" s="21">
        <f>EXP(-LN(2)/25)*FR120+(1-EXP(-LN(2)/25))/(LN(2)/25)*Calculateur!FM121*Calculateur!FO121*VLOOKUP('Données projet'!$B$16,Paramètres!$A$1:$I$89,3,0)*0.475*44/12</f>
        <v>0.38434815131074207</v>
      </c>
      <c r="FS121" s="21">
        <f>EXP(-LN(2)/2)*FS120+(1-EXP(-LN(2)/2))/(LN(2)/2)*FM121*FP121*VLOOKUP('Données projet'!$B$16,Paramètres!$A$1:$I$89,3,0)*0.475*44/12</f>
        <v>4.7724193635862394E-13</v>
      </c>
      <c r="FT121" s="22">
        <f t="shared" si="78"/>
        <v>0.77174700029073728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5.6843418860808015E-14</v>
      </c>
      <c r="GA121" s="17">
        <f>FZ121*VLOOKUP('Données projet'!$B$17,Paramètres!$A$1:$I$89,3,0)*VLOOKUP('Données projet'!$B$17,Paramètres!$A$1:$I$89,5,0)</f>
        <v>4.5224624045658861E-14</v>
      </c>
      <c r="GB121" s="13">
        <f t="shared" si="103"/>
        <v>7.4514601661523691E-13</v>
      </c>
      <c r="GC121" s="20">
        <f t="shared" si="79"/>
        <v>1.3765621991510601E-12</v>
      </c>
      <c r="GD121" s="59">
        <f t="shared" si="80"/>
        <v>293.33333333333468</v>
      </c>
      <c r="GE121" s="59">
        <f ca="1">AVERAGE(OFFSET($GD$3,0,0,'Données projet'!$E$17+1,1))-AVERAGE(OFFSET($H$3,0,0,'Données projet'!$E$17+1,1))</f>
        <v>199.58763537752952</v>
      </c>
      <c r="GF121" s="59">
        <f t="shared" si="104"/>
        <v>242.62852778451929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0.89638226887139971</v>
      </c>
      <c r="GN121" s="21">
        <f>EXP(-LN(2)/2)*GN120+(1-EXP(-LN(2)/2))/(LN(2)/2)*GH121*GK121*VLOOKUP('Données projet'!$B$17,Paramètres!$A$1:$I$89,3,0)*0.475*44/12</f>
        <v>6.1172377134086104E-13</v>
      </c>
      <c r="GO121" s="21">
        <f t="shared" si="81"/>
        <v>0.89638226887201145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5.3066239316239274</v>
      </c>
      <c r="N122" s="13">
        <f>IF('Données projet'!$A$36&gt;35,N121+M122-V121,IF(A122&lt;'Données projet'!$A$36,$K$205^A122,IF(A122='Données projet'!$A$36,'Données projet'!$B$36,N121+M122-V121)))</f>
        <v>246.45512820512786</v>
      </c>
      <c r="O122" s="13">
        <f>N122*VLOOKUP('Données projet'!$B$9,Paramètres!$A$1:$I$89,3,0)*VLOOKUP('Données projet'!$B$9,Paramètres!$A$1:$I$89,5,0)</f>
        <v>222.99259999999967</v>
      </c>
      <c r="P122" s="13">
        <f t="shared" si="87"/>
        <v>54.764800203643112</v>
      </c>
      <c r="Q122" s="20">
        <f t="shared" si="107"/>
        <v>483.76080535467781</v>
      </c>
      <c r="R122" s="59">
        <f t="shared" si="55"/>
        <v>777.09413868801107</v>
      </c>
      <c r="S122" s="59">
        <f ca="1">AVERAGE(OFFSET($R$3,0,0,'Données projet'!$E$9+1,1))-AVERAGE(OFFSET($H$3,0,0,'Données projet'!$E$9+1,1))</f>
        <v>153.45079678708987</v>
      </c>
      <c r="T122" s="59">
        <f t="shared" si="88"/>
        <v>115.4217868409637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249.90549999999968</v>
      </c>
      <c r="AK122" s="13">
        <f t="shared" si="89"/>
        <v>60.565704654390196</v>
      </c>
      <c r="AL122" s="20">
        <f t="shared" si="58"/>
        <v>540.73734810639564</v>
      </c>
      <c r="AM122" s="59">
        <f t="shared" si="59"/>
        <v>834.07068143972901</v>
      </c>
      <c r="AN122" s="59">
        <f ca="1">AVERAGE(OFFSET($AM$3,0,0,'Données projet'!$E$10+1,1))-AVERAGE(OFFSET($H$3,0,0,'Données projet'!$E$10+1,1))</f>
        <v>190.21499310415584</v>
      </c>
      <c r="AO122" s="59">
        <f t="shared" si="90"/>
        <v>136.15730566500173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497</v>
      </c>
      <c r="BE122" s="13">
        <f>BD122*VLOOKUP('Données projet'!$B$11,Paramètres!$A$1:$I$89,3,0)*VLOOKUP('Données projet'!$B$11,Paramètres!$A$1:$I$89,5,0)</f>
        <v>297.20600000000002</v>
      </c>
      <c r="BF122" s="13">
        <f t="shared" si="91"/>
        <v>70.590415164571112</v>
      </c>
      <c r="BG122" s="20">
        <f t="shared" si="61"/>
        <v>640.57875641162809</v>
      </c>
      <c r="BH122" s="59">
        <f t="shared" si="62"/>
        <v>933.91208974496135</v>
      </c>
      <c r="BI122" s="59">
        <f ca="1">AVERAGE(OFFSET($BH$3,0,0,'Données projet'!$E$11+1,1))-AVERAGE(OFFSET($H$3,0,0,'Données projet'!$E$11+1,1))</f>
        <v>270.30888762640245</v>
      </c>
      <c r="BJ122" s="59">
        <f t="shared" si="92"/>
        <v>202.23783851977691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0.36755051016870544</v>
      </c>
      <c r="BQ122" s="21">
        <f>EXP(-LN(2)/25)*BQ121+(1-EXP(-LN(2)/25))/(LN(2)/25)*Calculateur!BL122*Calculateur!BN122*VLOOKUP('Données projet'!$B$11,Paramètres!$A$1:$I$89,3,0)*0.475*44/12</f>
        <v>1.0424832883332362</v>
      </c>
      <c r="BR122" s="21">
        <f>EXP(-LN(2)/2)*BR121+(1-EXP(-LN(2)/2))/(LN(2)/2)*BL122*BO122*VLOOKUP('Données projet'!$B$11,Paramètres!$A$1:$I$89,3,0)*0.475*44/12</f>
        <v>7.4329869524469066E-13</v>
      </c>
      <c r="BS122" s="22">
        <f t="shared" si="63"/>
        <v>1.4100337985026852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497</v>
      </c>
      <c r="BZ122" s="13">
        <f>BY122*VLOOKUP('Données projet'!$B$12,Paramètres!$A$1:$I$89,3,0)*VLOOKUP('Données projet'!$B$12,Paramètres!$A$1:$I$89,5,0)</f>
        <v>297.20600000000002</v>
      </c>
      <c r="CA122" s="13">
        <f t="shared" si="93"/>
        <v>70.590415164571112</v>
      </c>
      <c r="CB122" s="20">
        <f t="shared" si="64"/>
        <v>640.57875641162809</v>
      </c>
      <c r="CC122" s="59">
        <f t="shared" si="65"/>
        <v>933.91208974496135</v>
      </c>
      <c r="CD122" s="59">
        <f ca="1">AVERAGE(OFFSET($CC$3,0,0,'Données projet'!$E$12+1,1))-AVERAGE(OFFSET($H$3,0,0,'Données projet'!$E$12+1,1))</f>
        <v>270.30888762640245</v>
      </c>
      <c r="CE122" s="59">
        <f t="shared" si="94"/>
        <v>202.23783851977691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0.36755051016870544</v>
      </c>
      <c r="CL122" s="21">
        <f>EXP(-LN(2)/25)*CL121+(1-EXP(-LN(2)/25))/(LN(2)/25)*Calculateur!CG122*Calculateur!CI122*VLOOKUP('Données projet'!$B$12,Paramètres!$A$1:$I$89,3,0)*0.475*44/12</f>
        <v>1.0424832883332362</v>
      </c>
      <c r="CM122" s="21">
        <f>EXP(-LN(2)/2)*CM121+(1-EXP(-LN(2)/2))/(LN(2)/2)*CG122*CJ122*VLOOKUP('Données projet'!$B$12,Paramètres!$A$1:$I$89,3,0)*0.475*44/12</f>
        <v>7.4329869524469066E-13</v>
      </c>
      <c r="CN122" s="22">
        <f t="shared" si="66"/>
        <v>1.4100337985026852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3.4106051316484809E-13</v>
      </c>
      <c r="CU122" s="17">
        <f>CT122*VLOOKUP('Données projet'!$B$13,Paramètres!$A$1:$I$89,3,0)*VLOOKUP('Données projet'!$B$13,Paramètres!$A$1:$I$89,5,0)</f>
        <v>1.5961632016114892E-13</v>
      </c>
      <c r="CV122" s="13">
        <f t="shared" si="95"/>
        <v>2.2708641912150958E-12</v>
      </c>
      <c r="CW122" s="20">
        <f t="shared" si="67"/>
        <v>4.2330868906469593E-12</v>
      </c>
      <c r="CX122" s="59">
        <f t="shared" si="68"/>
        <v>293.33333333333752</v>
      </c>
      <c r="CY122" s="59">
        <f ca="1">AVERAGE(OFFSET($CX$3,0,0,'Données projet'!$E$13+1,1))-AVERAGE(OFFSET($H$3,0,0,'Données projet'!$E$13+1,1))</f>
        <v>158.58786357608489</v>
      </c>
      <c r="CZ122" s="59">
        <f t="shared" si="96"/>
        <v>163.20074068819849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3.813056537183002E-14</v>
      </c>
      <c r="DQ122" s="13">
        <f t="shared" si="97"/>
        <v>6.4086286045526829E-13</v>
      </c>
      <c r="DR122" s="20">
        <f t="shared" si="70"/>
        <v>1.1825802166488628E-12</v>
      </c>
      <c r="DS122" s="59">
        <f t="shared" si="71"/>
        <v>293.33333333333451</v>
      </c>
      <c r="DT122" s="59">
        <f ca="1">AVERAGE(OFFSET($DS$3,0,0,'Données projet'!$E$14+1,1))-AVERAGE(OFFSET($H$3,0,0,'Données projet'!$E$14+1,1))</f>
        <v>156.63226020379989</v>
      </c>
      <c r="DU122" s="59">
        <f t="shared" si="98"/>
        <v>196.0481096619543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0.73510662528211634</v>
      </c>
      <c r="EC122" s="21">
        <f>EXP(-LN(2)/2)*EC121+(1-EXP(-LN(2)/2))/(LN(2)/2)*DW122*DZ122*VLOOKUP('Données projet'!$B$14,Paramètres!$A$1:$I$89,3,0)*0.475*44/12</f>
        <v>3.6470241486097358E-13</v>
      </c>
      <c r="ED122" s="22">
        <f t="shared" si="72"/>
        <v>0.73510662528248105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5.3066239316239274</v>
      </c>
      <c r="EJ122" s="12">
        <f>IF('Données projet'!$A$192&gt;35,EJ121+EI122-ER121,IF(A122&lt;'Données projet'!$A$192,$EG$205^A122,IF(A122='Données projet'!$A$192,'Données projet'!$B$192,EJ121+EI122-ER121)))</f>
        <v>246.45512820512786</v>
      </c>
      <c r="EK122" s="17">
        <f>EJ122*VLOOKUP('Données projet'!$B$15,Paramètres!$A$1:$I$89,3,0)*VLOOKUP('Données projet'!$B$15,Paramètres!$A$1:$I$89,5,0)</f>
        <v>265.28429999999963</v>
      </c>
      <c r="EL122" s="13">
        <f t="shared" si="99"/>
        <v>63.847454758902479</v>
      </c>
      <c r="EM122" s="20">
        <f t="shared" si="73"/>
        <v>573.23780620508774</v>
      </c>
      <c r="EN122" s="59">
        <f t="shared" si="74"/>
        <v>866.57113953842099</v>
      </c>
      <c r="EO122" s="59">
        <f ca="1">AVERAGE(OFFSET($EN$3,0,0,'Données projet'!$E$15+1,1))-AVERAGE(OFFSET($H$3,0,0,'Données projet'!$E$15+1,1))</f>
        <v>211.18501783767226</v>
      </c>
      <c r="EP122" s="59">
        <f t="shared" si="100"/>
        <v>147.98306963466246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498</v>
      </c>
      <c r="FF122" s="17">
        <f>FE122*VLOOKUP('Données projet'!$B$16,Paramètres!$A$1:$I$89,3,0)*VLOOKUP('Données projet'!$B$16,Paramètres!$A$1:$I$89,5,0)</f>
        <v>297.80400000000003</v>
      </c>
      <c r="FG122" s="13">
        <f t="shared" si="101"/>
        <v>70.715900863123025</v>
      </c>
      <c r="FH122" s="20">
        <f t="shared" si="76"/>
        <v>641.83882733660596</v>
      </c>
      <c r="FI122" s="59">
        <f t="shared" si="77"/>
        <v>935.17216066993933</v>
      </c>
      <c r="FJ122" s="59">
        <f ca="1">AVERAGE(OFFSET($FI$3,0,0,'Données projet'!$E$16+1,1))-AVERAGE(OFFSET($H$3,0,0,'Données projet'!$E$16+1,1))</f>
        <v>232.26937455765062</v>
      </c>
      <c r="FK122" s="59">
        <f t="shared" si="102"/>
        <v>115.80853281120301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0.37980219384099578</v>
      </c>
      <c r="FR122" s="21">
        <f>EXP(-LN(2)/25)*FR121+(1-EXP(-LN(2)/25))/(LN(2)/25)*Calculateur!FM122*Calculateur!FO122*VLOOKUP('Données projet'!$B$16,Paramètres!$A$1:$I$89,3,0)*0.475*44/12</f>
        <v>0.37383813090115897</v>
      </c>
      <c r="FS122" s="21">
        <f>EXP(-LN(2)/2)*FS121+(1-EXP(-LN(2)/2))/(LN(2)/2)*FM122*FP122*VLOOKUP('Données projet'!$B$16,Paramètres!$A$1:$I$89,3,0)*0.475*44/12</f>
        <v>3.3746100946578174E-13</v>
      </c>
      <c r="FT122" s="22">
        <f t="shared" si="78"/>
        <v>0.75364032474249232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5.6843418860808015E-14</v>
      </c>
      <c r="GA122" s="17">
        <f>FZ122*VLOOKUP('Données projet'!$B$17,Paramètres!$A$1:$I$89,3,0)*VLOOKUP('Données projet'!$B$17,Paramètres!$A$1:$I$89,5,0)</f>
        <v>4.5224624045658861E-14</v>
      </c>
      <c r="GB122" s="13">
        <f t="shared" si="103"/>
        <v>7.4514601661523691E-13</v>
      </c>
      <c r="GC122" s="20">
        <f t="shared" si="79"/>
        <v>1.3765621991510601E-12</v>
      </c>
      <c r="GD122" s="59">
        <f t="shared" si="80"/>
        <v>293.33333333333468</v>
      </c>
      <c r="GE122" s="59">
        <f ca="1">AVERAGE(OFFSET($GD$3,0,0,'Données projet'!$E$17+1,1))-AVERAGE(OFFSET($H$3,0,0,'Données projet'!$E$17+1,1))</f>
        <v>199.58763537752952</v>
      </c>
      <c r="GF122" s="59">
        <f t="shared" si="104"/>
        <v>242.62852778451929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0.87187064859041652</v>
      </c>
      <c r="GN122" s="21">
        <f>EXP(-LN(2)/2)*GN121+(1-EXP(-LN(2)/2))/(LN(2)/2)*GH122*GK122*VLOOKUP('Données projet'!$B$17,Paramètres!$A$1:$I$89,3,0)*0.475*44/12</f>
        <v>4.3255402692813187E-13</v>
      </c>
      <c r="GO122" s="21">
        <f t="shared" si="81"/>
        <v>0.87187064859084906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5.3066239316239274</v>
      </c>
      <c r="N123" s="13">
        <f>IF('Données projet'!$A$36&gt;35,N122+M123-V122,IF(A123&lt;'Données projet'!$A$36,$K$205^A123,IF(A123='Données projet'!$A$36,'Données projet'!$B$36,N122+M123-V122)))</f>
        <v>251.7617521367518</v>
      </c>
      <c r="O123" s="13">
        <f>N123*VLOOKUP('Données projet'!$B$9,Paramètres!$A$1:$I$89,3,0)*VLOOKUP('Données projet'!$B$9,Paramètres!$A$1:$I$89,5,0)</f>
        <v>227.794033333333</v>
      </c>
      <c r="P123" s="13">
        <f t="shared" si="87"/>
        <v>55.805432753411694</v>
      </c>
      <c r="Q123" s="20">
        <f t="shared" si="107"/>
        <v>493.93573676774707</v>
      </c>
      <c r="R123" s="59">
        <f t="shared" si="55"/>
        <v>787.26907010108039</v>
      </c>
      <c r="S123" s="59">
        <f ca="1">AVERAGE(OFFSET($R$3,0,0,'Données projet'!$E$9+1,1))-AVERAGE(OFFSET($H$3,0,0,'Données projet'!$E$9+1,1))</f>
        <v>153.45079678708987</v>
      </c>
      <c r="T123" s="59">
        <f t="shared" si="88"/>
        <v>115.4217868409637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255.28641666666636</v>
      </c>
      <c r="AK123" s="13">
        <f t="shared" si="89"/>
        <v>61.716565123681811</v>
      </c>
      <c r="AL123" s="20">
        <f t="shared" si="58"/>
        <v>552.11352661818967</v>
      </c>
      <c r="AM123" s="59">
        <f t="shared" si="59"/>
        <v>845.44685995152304</v>
      </c>
      <c r="AN123" s="59">
        <f ca="1">AVERAGE(OFFSET($AM$3,0,0,'Données projet'!$E$10+1,1))-AVERAGE(OFFSET($H$3,0,0,'Données projet'!$E$10+1,1))</f>
        <v>190.21499310415584</v>
      </c>
      <c r="AO123" s="59">
        <f t="shared" si="90"/>
        <v>136.15730566500173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497</v>
      </c>
      <c r="BE123" s="13">
        <f>BD123*VLOOKUP('Données projet'!$B$11,Paramètres!$A$1:$I$89,3,0)*VLOOKUP('Données projet'!$B$11,Paramètres!$A$1:$I$89,5,0)</f>
        <v>297.20600000000002</v>
      </c>
      <c r="BF123" s="13">
        <f t="shared" si="91"/>
        <v>70.590415164571112</v>
      </c>
      <c r="BG123" s="20">
        <f t="shared" si="61"/>
        <v>640.57875641162809</v>
      </c>
      <c r="BH123" s="59">
        <f t="shared" si="62"/>
        <v>933.91208974496135</v>
      </c>
      <c r="BI123" s="59">
        <f ca="1">AVERAGE(OFFSET($BH$3,0,0,'Données projet'!$E$11+1,1))-AVERAGE(OFFSET($H$3,0,0,'Données projet'!$E$11+1,1))</f>
        <v>270.30888762640245</v>
      </c>
      <c r="BJ123" s="59">
        <f t="shared" si="92"/>
        <v>202.23783851977691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0.36034306884797201</v>
      </c>
      <c r="BQ123" s="21">
        <f>EXP(-LN(2)/25)*BQ122+(1-EXP(-LN(2)/25))/(LN(2)/25)*Calculateur!BL123*Calculateur!BN123*VLOOKUP('Données projet'!$B$11,Paramètres!$A$1:$I$89,3,0)*0.475*44/12</f>
        <v>1.0139765279919504</v>
      </c>
      <c r="BR123" s="21">
        <f>EXP(-LN(2)/2)*BR122+(1-EXP(-LN(2)/2))/(LN(2)/2)*BL123*BO123*VLOOKUP('Données projet'!$B$11,Paramètres!$A$1:$I$89,3,0)*0.475*44/12</f>
        <v>5.2559154785463374E-13</v>
      </c>
      <c r="BS123" s="22">
        <f t="shared" si="63"/>
        <v>1.374319596840448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497</v>
      </c>
      <c r="BZ123" s="13">
        <f>BY123*VLOOKUP('Données projet'!$B$12,Paramètres!$A$1:$I$89,3,0)*VLOOKUP('Données projet'!$B$12,Paramètres!$A$1:$I$89,5,0)</f>
        <v>297.20600000000002</v>
      </c>
      <c r="CA123" s="13">
        <f t="shared" si="93"/>
        <v>70.590415164571112</v>
      </c>
      <c r="CB123" s="20">
        <f t="shared" si="64"/>
        <v>640.57875641162809</v>
      </c>
      <c r="CC123" s="59">
        <f t="shared" si="65"/>
        <v>933.91208974496135</v>
      </c>
      <c r="CD123" s="59">
        <f ca="1">AVERAGE(OFFSET($CC$3,0,0,'Données projet'!$E$12+1,1))-AVERAGE(OFFSET($H$3,0,0,'Données projet'!$E$12+1,1))</f>
        <v>270.30888762640245</v>
      </c>
      <c r="CE123" s="59">
        <f t="shared" si="94"/>
        <v>202.23783851977691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0.36034306884797201</v>
      </c>
      <c r="CL123" s="21">
        <f>EXP(-LN(2)/25)*CL122+(1-EXP(-LN(2)/25))/(LN(2)/25)*Calculateur!CG123*Calculateur!CI123*VLOOKUP('Données projet'!$B$12,Paramètres!$A$1:$I$89,3,0)*0.475*44/12</f>
        <v>1.0139765279919504</v>
      </c>
      <c r="CM123" s="21">
        <f>EXP(-LN(2)/2)*CM122+(1-EXP(-LN(2)/2))/(LN(2)/2)*CG123*CJ123*VLOOKUP('Données projet'!$B$12,Paramètres!$A$1:$I$89,3,0)*0.475*44/12</f>
        <v>5.2559154785463374E-13</v>
      </c>
      <c r="CN123" s="22">
        <f t="shared" si="66"/>
        <v>1.374319596840448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3.4106051316484809E-13</v>
      </c>
      <c r="CU123" s="17">
        <f>CT123*VLOOKUP('Données projet'!$B$13,Paramètres!$A$1:$I$89,3,0)*VLOOKUP('Données projet'!$B$13,Paramètres!$A$1:$I$89,5,0)</f>
        <v>1.5961632016114892E-13</v>
      </c>
      <c r="CV123" s="13">
        <f t="shared" si="95"/>
        <v>2.2708641912150958E-12</v>
      </c>
      <c r="CW123" s="20">
        <f t="shared" si="67"/>
        <v>4.2330868906469593E-12</v>
      </c>
      <c r="CX123" s="59">
        <f t="shared" si="68"/>
        <v>293.33333333333752</v>
      </c>
      <c r="CY123" s="59">
        <f ca="1">AVERAGE(OFFSET($CX$3,0,0,'Données projet'!$E$13+1,1))-AVERAGE(OFFSET($H$3,0,0,'Données projet'!$E$13+1,1))</f>
        <v>158.58786357608489</v>
      </c>
      <c r="CZ123" s="59">
        <f t="shared" si="96"/>
        <v>163.20074068819849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3.813056537183002E-14</v>
      </c>
      <c r="DQ123" s="13">
        <f t="shared" si="97"/>
        <v>6.4086286045526829E-13</v>
      </c>
      <c r="DR123" s="20">
        <f t="shared" si="70"/>
        <v>1.1825802166488628E-12</v>
      </c>
      <c r="DS123" s="59">
        <f t="shared" si="71"/>
        <v>293.33333333333451</v>
      </c>
      <c r="DT123" s="59">
        <f ca="1">AVERAGE(OFFSET($DS$3,0,0,'Données projet'!$E$14+1,1))-AVERAGE(OFFSET($H$3,0,0,'Données projet'!$E$14+1,1))</f>
        <v>156.63226020379989</v>
      </c>
      <c r="DU123" s="59">
        <f t="shared" si="98"/>
        <v>196.0481096619543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0.71500509595619954</v>
      </c>
      <c r="EC123" s="21">
        <f>EXP(-LN(2)/2)*EC122+(1-EXP(-LN(2)/2))/(LN(2)/2)*DW123*DZ123*VLOOKUP('Données projet'!$B$14,Paramètres!$A$1:$I$89,3,0)*0.475*44/12</f>
        <v>2.5788355066330392E-13</v>
      </c>
      <c r="ED123" s="22">
        <f t="shared" si="72"/>
        <v>0.71500509595645745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5.3066239316239274</v>
      </c>
      <c r="EJ123" s="12">
        <f>IF('Données projet'!$A$192&gt;35,EJ122+EI123-ER122,IF(A123&lt;'Données projet'!$A$192,$EG$205^A123,IF(A123='Données projet'!$A$192,'Données projet'!$B$192,EJ122+EI123-ER122)))</f>
        <v>251.7617521367518</v>
      </c>
      <c r="EK123" s="17">
        <f>EJ123*VLOOKUP('Données projet'!$B$15,Paramètres!$A$1:$I$89,3,0)*VLOOKUP('Données projet'!$B$15,Paramètres!$A$1:$I$89,5,0)</f>
        <v>270.99634999999961</v>
      </c>
      <c r="EL123" s="13">
        <f t="shared" si="99"/>
        <v>65.060674553276314</v>
      </c>
      <c r="EM123" s="20">
        <f t="shared" si="73"/>
        <v>585.29931776362218</v>
      </c>
      <c r="EN123" s="59">
        <f t="shared" si="74"/>
        <v>878.63265109695544</v>
      </c>
      <c r="EO123" s="59">
        <f ca="1">AVERAGE(OFFSET($EN$3,0,0,'Données projet'!$E$15+1,1))-AVERAGE(OFFSET($H$3,0,0,'Données projet'!$E$15+1,1))</f>
        <v>211.18501783767226</v>
      </c>
      <c r="EP123" s="59">
        <f t="shared" si="100"/>
        <v>147.98306963466246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498</v>
      </c>
      <c r="FF123" s="17">
        <f>FE123*VLOOKUP('Données projet'!$B$16,Paramètres!$A$1:$I$89,3,0)*VLOOKUP('Données projet'!$B$16,Paramètres!$A$1:$I$89,5,0)</f>
        <v>297.80400000000003</v>
      </c>
      <c r="FG123" s="13">
        <f t="shared" si="101"/>
        <v>70.715900863123025</v>
      </c>
      <c r="FH123" s="20">
        <f t="shared" si="76"/>
        <v>641.83882733660596</v>
      </c>
      <c r="FI123" s="59">
        <f t="shared" si="77"/>
        <v>935.17216066993933</v>
      </c>
      <c r="FJ123" s="59">
        <f ca="1">AVERAGE(OFFSET($FI$3,0,0,'Données projet'!$E$16+1,1))-AVERAGE(OFFSET($H$3,0,0,'Données projet'!$E$16+1,1))</f>
        <v>232.26937455765062</v>
      </c>
      <c r="FK123" s="59">
        <f t="shared" si="102"/>
        <v>115.80853281120301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0.37235450447623791</v>
      </c>
      <c r="FR123" s="21">
        <f>EXP(-LN(2)/25)*FR122+(1-EXP(-LN(2)/25))/(LN(2)/25)*Calculateur!FM123*Calculateur!FO123*VLOOKUP('Données projet'!$B$16,Paramètres!$A$1:$I$89,3,0)*0.475*44/12</f>
        <v>0.36361550755237387</v>
      </c>
      <c r="FS123" s="21">
        <f>EXP(-LN(2)/2)*FS122+(1-EXP(-LN(2)/2))/(LN(2)/2)*FM123*FP123*VLOOKUP('Données projet'!$B$16,Paramètres!$A$1:$I$89,3,0)*0.475*44/12</f>
        <v>2.3862096817931197E-13</v>
      </c>
      <c r="FT123" s="22">
        <f t="shared" si="78"/>
        <v>0.73597001202885037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5.6843418860808015E-14</v>
      </c>
      <c r="GA123" s="17">
        <f>FZ123*VLOOKUP('Données projet'!$B$17,Paramètres!$A$1:$I$89,3,0)*VLOOKUP('Données projet'!$B$17,Paramètres!$A$1:$I$89,5,0)</f>
        <v>4.5224624045658861E-14</v>
      </c>
      <c r="GB123" s="13">
        <f t="shared" si="103"/>
        <v>7.4514601661523691E-13</v>
      </c>
      <c r="GC123" s="20">
        <f t="shared" si="79"/>
        <v>1.3765621991510601E-12</v>
      </c>
      <c r="GD123" s="59">
        <f t="shared" si="80"/>
        <v>293.33333333333468</v>
      </c>
      <c r="GE123" s="59">
        <f ca="1">AVERAGE(OFFSET($GD$3,0,0,'Données projet'!$E$17+1,1))-AVERAGE(OFFSET($H$3,0,0,'Données projet'!$E$17+1,1))</f>
        <v>199.58763537752952</v>
      </c>
      <c r="GF123" s="59">
        <f t="shared" si="104"/>
        <v>242.62852778451929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0.84802929985502684</v>
      </c>
      <c r="GN123" s="21">
        <f>EXP(-LN(2)/2)*GN122+(1-EXP(-LN(2)/2))/(LN(2)/2)*GH123*GK123*VLOOKUP('Données projet'!$B$17,Paramètres!$A$1:$I$89,3,0)*0.475*44/12</f>
        <v>3.0586188567043052E-13</v>
      </c>
      <c r="GO123" s="21">
        <f t="shared" si="81"/>
        <v>0.84802929985533271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5.3066239316239274</v>
      </c>
      <c r="N124" s="13">
        <f>IF('Données projet'!$A$36&gt;35,N123+M124-V123,IF(A124&lt;'Données projet'!$A$36,$K$205^A124,IF(A124='Données projet'!$A$36,'Données projet'!$B$36,N123+M124-V123)))</f>
        <v>257.0683760683757</v>
      </c>
      <c r="O124" s="13">
        <f>N124*VLOOKUP('Données projet'!$B$9,Paramètres!$A$1:$I$89,3,0)*VLOOKUP('Données projet'!$B$9,Paramètres!$A$1:$I$89,5,0)</f>
        <v>232.59546666666634</v>
      </c>
      <c r="P124" s="13">
        <f t="shared" si="87"/>
        <v>56.843515067710278</v>
      </c>
      <c r="Q124" s="20">
        <f t="shared" si="107"/>
        <v>504.10622652070589</v>
      </c>
      <c r="R124" s="59">
        <f t="shared" si="55"/>
        <v>797.4395598540392</v>
      </c>
      <c r="S124" s="59">
        <f ca="1">AVERAGE(OFFSET($R$3,0,0,'Données projet'!$E$9+1,1))-AVERAGE(OFFSET($H$3,0,0,'Données projet'!$E$9+1,1))</f>
        <v>153.45079678708987</v>
      </c>
      <c r="T124" s="59">
        <f t="shared" si="88"/>
        <v>115.4217868409637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260.66733333333298</v>
      </c>
      <c r="AK124" s="13">
        <f t="shared" si="89"/>
        <v>62.864605226466139</v>
      </c>
      <c r="AL124" s="20">
        <f t="shared" si="58"/>
        <v>563.48479299165012</v>
      </c>
      <c r="AM124" s="59">
        <f t="shared" si="59"/>
        <v>856.8181263249835</v>
      </c>
      <c r="AN124" s="59">
        <f ca="1">AVERAGE(OFFSET($AM$3,0,0,'Données projet'!$E$10+1,1))-AVERAGE(OFFSET($H$3,0,0,'Données projet'!$E$10+1,1))</f>
        <v>190.21499310415584</v>
      </c>
      <c r="AO124" s="59">
        <f t="shared" si="90"/>
        <v>136.15730566500173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497</v>
      </c>
      <c r="BE124" s="13">
        <f>BD124*VLOOKUP('Données projet'!$B$11,Paramètres!$A$1:$I$89,3,0)*VLOOKUP('Données projet'!$B$11,Paramètres!$A$1:$I$89,5,0)</f>
        <v>297.20600000000002</v>
      </c>
      <c r="BF124" s="13">
        <f t="shared" si="91"/>
        <v>70.590415164571112</v>
      </c>
      <c r="BG124" s="20">
        <f t="shared" si="61"/>
        <v>640.57875641162809</v>
      </c>
      <c r="BH124" s="59">
        <f t="shared" si="62"/>
        <v>933.91208974496135</v>
      </c>
      <c r="BI124" s="59">
        <f ca="1">AVERAGE(OFFSET($BH$3,0,0,'Données projet'!$E$11+1,1))-AVERAGE(OFFSET($H$3,0,0,'Données projet'!$E$11+1,1))</f>
        <v>270.30888762640245</v>
      </c>
      <c r="BJ124" s="59">
        <f t="shared" si="92"/>
        <v>202.23783851977691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0.35327696105543305</v>
      </c>
      <c r="BQ124" s="21">
        <f>EXP(-LN(2)/25)*BQ123+(1-EXP(-LN(2)/25))/(LN(2)/25)*Calculateur!BL124*Calculateur!BN124*VLOOKUP('Données projet'!$B$11,Paramètres!$A$1:$I$89,3,0)*0.475*44/12</f>
        <v>0.98624928651130239</v>
      </c>
      <c r="BR124" s="21">
        <f>EXP(-LN(2)/2)*BR123+(1-EXP(-LN(2)/2))/(LN(2)/2)*BL124*BO124*VLOOKUP('Données projet'!$B$11,Paramètres!$A$1:$I$89,3,0)*0.475*44/12</f>
        <v>3.7164934762234533E-13</v>
      </c>
      <c r="BS124" s="22">
        <f t="shared" si="63"/>
        <v>1.339526247567107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497</v>
      </c>
      <c r="BZ124" s="13">
        <f>BY124*VLOOKUP('Données projet'!$B$12,Paramètres!$A$1:$I$89,3,0)*VLOOKUP('Données projet'!$B$12,Paramètres!$A$1:$I$89,5,0)</f>
        <v>297.20600000000002</v>
      </c>
      <c r="CA124" s="13">
        <f t="shared" si="93"/>
        <v>70.590415164571112</v>
      </c>
      <c r="CB124" s="20">
        <f t="shared" si="64"/>
        <v>640.57875641162809</v>
      </c>
      <c r="CC124" s="59">
        <f t="shared" si="65"/>
        <v>933.91208974496135</v>
      </c>
      <c r="CD124" s="59">
        <f ca="1">AVERAGE(OFFSET($CC$3,0,0,'Données projet'!$E$12+1,1))-AVERAGE(OFFSET($H$3,0,0,'Données projet'!$E$12+1,1))</f>
        <v>270.30888762640245</v>
      </c>
      <c r="CE124" s="59">
        <f t="shared" si="94"/>
        <v>202.23783851977691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0.35327696105543305</v>
      </c>
      <c r="CL124" s="21">
        <f>EXP(-LN(2)/25)*CL123+(1-EXP(-LN(2)/25))/(LN(2)/25)*Calculateur!CG124*Calculateur!CI124*VLOOKUP('Données projet'!$B$12,Paramètres!$A$1:$I$89,3,0)*0.475*44/12</f>
        <v>0.98624928651130239</v>
      </c>
      <c r="CM124" s="21">
        <f>EXP(-LN(2)/2)*CM123+(1-EXP(-LN(2)/2))/(LN(2)/2)*CG124*CJ124*VLOOKUP('Données projet'!$B$12,Paramètres!$A$1:$I$89,3,0)*0.475*44/12</f>
        <v>3.7164934762234533E-13</v>
      </c>
      <c r="CN124" s="22">
        <f t="shared" si="66"/>
        <v>1.339526247567107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3.4106051316484809E-13</v>
      </c>
      <c r="CU124" s="17">
        <f>CT124*VLOOKUP('Données projet'!$B$13,Paramètres!$A$1:$I$89,3,0)*VLOOKUP('Données projet'!$B$13,Paramètres!$A$1:$I$89,5,0)</f>
        <v>1.5961632016114892E-13</v>
      </c>
      <c r="CV124" s="13">
        <f t="shared" si="95"/>
        <v>2.2708641912150958E-12</v>
      </c>
      <c r="CW124" s="20">
        <f t="shared" si="67"/>
        <v>4.2330868906469593E-12</v>
      </c>
      <c r="CX124" s="59">
        <f t="shared" si="68"/>
        <v>293.33333333333752</v>
      </c>
      <c r="CY124" s="59">
        <f ca="1">AVERAGE(OFFSET($CX$3,0,0,'Données projet'!$E$13+1,1))-AVERAGE(OFFSET($H$3,0,0,'Données projet'!$E$13+1,1))</f>
        <v>158.58786357608489</v>
      </c>
      <c r="CZ124" s="59">
        <f t="shared" si="96"/>
        <v>163.20074068819849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3.813056537183002E-14</v>
      </c>
      <c r="DQ124" s="13">
        <f t="shared" si="97"/>
        <v>6.4086286045526829E-13</v>
      </c>
      <c r="DR124" s="20">
        <f t="shared" si="70"/>
        <v>1.1825802166488628E-12</v>
      </c>
      <c r="DS124" s="59">
        <f t="shared" si="71"/>
        <v>293.33333333333451</v>
      </c>
      <c r="DT124" s="59">
        <f ca="1">AVERAGE(OFFSET($DS$3,0,0,'Données projet'!$E$14+1,1))-AVERAGE(OFFSET($H$3,0,0,'Données projet'!$E$14+1,1))</f>
        <v>156.63226020379989</v>
      </c>
      <c r="DU124" s="59">
        <f t="shared" si="98"/>
        <v>196.0481096619543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0.69545324400679343</v>
      </c>
      <c r="EC124" s="21">
        <f>EXP(-LN(2)/2)*EC123+(1-EXP(-LN(2)/2))/(LN(2)/2)*DW124*DZ124*VLOOKUP('Données projet'!$B$14,Paramètres!$A$1:$I$89,3,0)*0.475*44/12</f>
        <v>1.8235120743048679E-13</v>
      </c>
      <c r="ED124" s="22">
        <f t="shared" si="72"/>
        <v>0.69545324400697572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5.3066239316239274</v>
      </c>
      <c r="EJ124" s="12">
        <f>IF('Données projet'!$A$192&gt;35,EJ123+EI124-ER123,IF(A124&lt;'Données projet'!$A$192,$EG$205^A124,IF(A124='Données projet'!$A$192,'Données projet'!$B$192,EJ123+EI124-ER123)))</f>
        <v>257.0683760683757</v>
      </c>
      <c r="EK124" s="17">
        <f>EJ124*VLOOKUP('Données projet'!$B$15,Paramètres!$A$1:$I$89,3,0)*VLOOKUP('Données projet'!$B$15,Paramètres!$A$1:$I$89,5,0)</f>
        <v>276.70839999999959</v>
      </c>
      <c r="EL124" s="13">
        <f t="shared" si="99"/>
        <v>66.270921159704841</v>
      </c>
      <c r="EM124" s="20">
        <f t="shared" si="73"/>
        <v>597.35565101981854</v>
      </c>
      <c r="EN124" s="59">
        <f t="shared" si="74"/>
        <v>890.68898435315191</v>
      </c>
      <c r="EO124" s="59">
        <f ca="1">AVERAGE(OFFSET($EN$3,0,0,'Données projet'!$E$15+1,1))-AVERAGE(OFFSET($H$3,0,0,'Données projet'!$E$15+1,1))</f>
        <v>211.18501783767226</v>
      </c>
      <c r="EP124" s="59">
        <f t="shared" si="100"/>
        <v>147.98306963466246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498</v>
      </c>
      <c r="FF124" s="17">
        <f>FE124*VLOOKUP('Données projet'!$B$16,Paramètres!$A$1:$I$89,3,0)*VLOOKUP('Données projet'!$B$16,Paramètres!$A$1:$I$89,5,0)</f>
        <v>297.80400000000003</v>
      </c>
      <c r="FG124" s="13">
        <f t="shared" si="101"/>
        <v>70.715900863123025</v>
      </c>
      <c r="FH124" s="20">
        <f t="shared" si="76"/>
        <v>641.83882733660596</v>
      </c>
      <c r="FI124" s="59">
        <f t="shared" si="77"/>
        <v>935.17216066993933</v>
      </c>
      <c r="FJ124" s="59">
        <f ca="1">AVERAGE(OFFSET($FI$3,0,0,'Données projet'!$E$16+1,1))-AVERAGE(OFFSET($H$3,0,0,'Données projet'!$E$16+1,1))</f>
        <v>232.26937455765062</v>
      </c>
      <c r="FK124" s="59">
        <f t="shared" si="102"/>
        <v>115.80853281120301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0.36505285975728097</v>
      </c>
      <c r="FR124" s="21">
        <f>EXP(-LN(2)/25)*FR123+(1-EXP(-LN(2)/25))/(LN(2)/25)*Calculateur!FM124*Calculateur!FO124*VLOOKUP('Données projet'!$B$16,Paramètres!$A$1:$I$89,3,0)*0.475*44/12</f>
        <v>0.3536724223766457</v>
      </c>
      <c r="FS124" s="21">
        <f>EXP(-LN(2)/2)*FS123+(1-EXP(-LN(2)/2))/(LN(2)/2)*FM124*FP124*VLOOKUP('Données projet'!$B$16,Paramètres!$A$1:$I$89,3,0)*0.475*44/12</f>
        <v>1.6873050473289087E-13</v>
      </c>
      <c r="FT124" s="22">
        <f t="shared" si="78"/>
        <v>0.71872528213409548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5.6843418860808015E-14</v>
      </c>
      <c r="GA124" s="17">
        <f>FZ124*VLOOKUP('Données projet'!$B$17,Paramètres!$A$1:$I$89,3,0)*VLOOKUP('Données projet'!$B$17,Paramètres!$A$1:$I$89,5,0)</f>
        <v>4.5224624045658861E-14</v>
      </c>
      <c r="GB124" s="13">
        <f t="shared" si="103"/>
        <v>7.4514601661523691E-13</v>
      </c>
      <c r="GC124" s="20">
        <f t="shared" si="79"/>
        <v>1.3765621991510601E-12</v>
      </c>
      <c r="GD124" s="59">
        <f t="shared" si="80"/>
        <v>293.33333333333468</v>
      </c>
      <c r="GE124" s="59">
        <f ca="1">AVERAGE(OFFSET($GD$3,0,0,'Données projet'!$E$17+1,1))-AVERAGE(OFFSET($H$3,0,0,'Données projet'!$E$17+1,1))</f>
        <v>199.58763537752952</v>
      </c>
      <c r="GF124" s="59">
        <f t="shared" si="104"/>
        <v>242.62852778451929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0.82483989405456848</v>
      </c>
      <c r="GN124" s="21">
        <f>EXP(-LN(2)/2)*GN123+(1-EXP(-LN(2)/2))/(LN(2)/2)*GH124*GK124*VLOOKUP('Données projet'!$B$17,Paramètres!$A$1:$I$89,3,0)*0.475*44/12</f>
        <v>2.1627701346406593E-13</v>
      </c>
      <c r="GO124" s="21">
        <f t="shared" si="81"/>
        <v>0.82483989405478475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5.3066239316239274</v>
      </c>
      <c r="N125" s="13">
        <f>IF('Données projet'!$A$36&gt;35,N124+M125-V124,IF(A125&lt;'Données projet'!$A$36,$K$205^A125,IF(A125='Données projet'!$A$36,'Données projet'!$B$36,N124+M125-V124)))</f>
        <v>262.3749999999996</v>
      </c>
      <c r="O125" s="13">
        <f>N125*VLOOKUP('Données projet'!$B$9,Paramètres!$A$1:$I$89,3,0)*VLOOKUP('Données projet'!$B$9,Paramètres!$A$1:$I$89,5,0)</f>
        <v>237.39689999999962</v>
      </c>
      <c r="P125" s="13">
        <f t="shared" si="87"/>
        <v>57.87910585630879</v>
      </c>
      <c r="Q125" s="20">
        <f t="shared" si="107"/>
        <v>514.27237686640376</v>
      </c>
      <c r="R125" s="59">
        <f t="shared" si="55"/>
        <v>807.60571019973713</v>
      </c>
      <c r="S125" s="59">
        <f ca="1">AVERAGE(OFFSET($R$3,0,0,'Données projet'!$E$9+1,1))-AVERAGE(OFFSET($H$3,0,0,'Données projet'!$E$9+1,1))</f>
        <v>153.45079678708987</v>
      </c>
      <c r="T125" s="59">
        <f t="shared" si="88"/>
        <v>115.4217868409637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266.04824999999965</v>
      </c>
      <c r="AK125" s="13">
        <f t="shared" si="89"/>
        <v>64.009889891284331</v>
      </c>
      <c r="AL125" s="20">
        <f t="shared" si="58"/>
        <v>574.85126031065295</v>
      </c>
      <c r="AM125" s="59">
        <f t="shared" si="59"/>
        <v>868.18459364398632</v>
      </c>
      <c r="AN125" s="59">
        <f ca="1">AVERAGE(OFFSET($AM$3,0,0,'Données projet'!$E$10+1,1))-AVERAGE(OFFSET($H$3,0,0,'Données projet'!$E$10+1,1))</f>
        <v>190.21499310415584</v>
      </c>
      <c r="AO125" s="59">
        <f t="shared" si="90"/>
        <v>136.15730566500173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497</v>
      </c>
      <c r="BE125" s="13">
        <f>BD125*VLOOKUP('Données projet'!$B$11,Paramètres!$A$1:$I$89,3,0)*VLOOKUP('Données projet'!$B$11,Paramètres!$A$1:$I$89,5,0)</f>
        <v>297.20600000000002</v>
      </c>
      <c r="BF125" s="13">
        <f t="shared" si="91"/>
        <v>70.590415164571112</v>
      </c>
      <c r="BG125" s="20">
        <f t="shared" si="61"/>
        <v>640.57875641162809</v>
      </c>
      <c r="BH125" s="59">
        <f t="shared" si="62"/>
        <v>933.91208974496135</v>
      </c>
      <c r="BI125" s="59">
        <f ca="1">AVERAGE(OFFSET($BH$3,0,0,'Données projet'!$E$11+1,1))-AVERAGE(OFFSET($H$3,0,0,'Données projet'!$E$11+1,1))</f>
        <v>270.30888762640245</v>
      </c>
      <c r="BJ125" s="59">
        <f t="shared" si="92"/>
        <v>202.23783851977691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0.34634941532680558</v>
      </c>
      <c r="BQ125" s="21">
        <f>EXP(-LN(2)/25)*BQ124+(1-EXP(-LN(2)/25))/(LN(2)/25)*Calculateur!BL125*Calculateur!BN125*VLOOKUP('Données projet'!$B$11,Paramètres!$A$1:$I$89,3,0)*0.475*44/12</f>
        <v>0.95928024790705491</v>
      </c>
      <c r="BR125" s="21">
        <f>EXP(-LN(2)/2)*BR124+(1-EXP(-LN(2)/2))/(LN(2)/2)*BL125*BO125*VLOOKUP('Données projet'!$B$11,Paramètres!$A$1:$I$89,3,0)*0.475*44/12</f>
        <v>2.6279577392731687E-13</v>
      </c>
      <c r="BS125" s="22">
        <f t="shared" si="63"/>
        <v>1.3056296632341233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497</v>
      </c>
      <c r="BZ125" s="13">
        <f>BY125*VLOOKUP('Données projet'!$B$12,Paramètres!$A$1:$I$89,3,0)*VLOOKUP('Données projet'!$B$12,Paramètres!$A$1:$I$89,5,0)</f>
        <v>297.20600000000002</v>
      </c>
      <c r="CA125" s="13">
        <f t="shared" si="93"/>
        <v>70.590415164571112</v>
      </c>
      <c r="CB125" s="20">
        <f t="shared" si="64"/>
        <v>640.57875641162809</v>
      </c>
      <c r="CC125" s="59">
        <f t="shared" si="65"/>
        <v>933.91208974496135</v>
      </c>
      <c r="CD125" s="59">
        <f ca="1">AVERAGE(OFFSET($CC$3,0,0,'Données projet'!$E$12+1,1))-AVERAGE(OFFSET($H$3,0,0,'Données projet'!$E$12+1,1))</f>
        <v>270.30888762640245</v>
      </c>
      <c r="CE125" s="59">
        <f t="shared" si="94"/>
        <v>202.23783851977691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0.34634941532680558</v>
      </c>
      <c r="CL125" s="21">
        <f>EXP(-LN(2)/25)*CL124+(1-EXP(-LN(2)/25))/(LN(2)/25)*Calculateur!CG125*Calculateur!CI125*VLOOKUP('Données projet'!$B$12,Paramètres!$A$1:$I$89,3,0)*0.475*44/12</f>
        <v>0.95928024790705491</v>
      </c>
      <c r="CM125" s="21">
        <f>EXP(-LN(2)/2)*CM124+(1-EXP(-LN(2)/2))/(LN(2)/2)*CG125*CJ125*VLOOKUP('Données projet'!$B$12,Paramètres!$A$1:$I$89,3,0)*0.475*44/12</f>
        <v>2.6279577392731687E-13</v>
      </c>
      <c r="CN125" s="22">
        <f t="shared" si="66"/>
        <v>1.3056296632341233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3.4106051316484809E-13</v>
      </c>
      <c r="CU125" s="17">
        <f>CT125*VLOOKUP('Données projet'!$B$13,Paramètres!$A$1:$I$89,3,0)*VLOOKUP('Données projet'!$B$13,Paramètres!$A$1:$I$89,5,0)</f>
        <v>1.5961632016114892E-13</v>
      </c>
      <c r="CV125" s="13">
        <f t="shared" si="95"/>
        <v>2.2708641912150958E-12</v>
      </c>
      <c r="CW125" s="20">
        <f t="shared" si="67"/>
        <v>4.2330868906469593E-12</v>
      </c>
      <c r="CX125" s="59">
        <f t="shared" si="68"/>
        <v>293.33333333333752</v>
      </c>
      <c r="CY125" s="59">
        <f ca="1">AVERAGE(OFFSET($CX$3,0,0,'Données projet'!$E$13+1,1))-AVERAGE(OFFSET($H$3,0,0,'Données projet'!$E$13+1,1))</f>
        <v>158.58786357608489</v>
      </c>
      <c r="CZ125" s="59">
        <f t="shared" si="96"/>
        <v>163.20074068819849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3.813056537183002E-14</v>
      </c>
      <c r="DQ125" s="13">
        <f t="shared" si="97"/>
        <v>6.4086286045526829E-13</v>
      </c>
      <c r="DR125" s="20">
        <f t="shared" si="70"/>
        <v>1.1825802166488628E-12</v>
      </c>
      <c r="DS125" s="59">
        <f t="shared" si="71"/>
        <v>293.33333333333451</v>
      </c>
      <c r="DT125" s="59">
        <f ca="1">AVERAGE(OFFSET($DS$3,0,0,'Données projet'!$E$14+1,1))-AVERAGE(OFFSET($H$3,0,0,'Données projet'!$E$14+1,1))</f>
        <v>156.63226020379989</v>
      </c>
      <c r="DU125" s="59">
        <f t="shared" si="98"/>
        <v>196.0481096619543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0.67643603847713107</v>
      </c>
      <c r="EC125" s="21">
        <f>EXP(-LN(2)/2)*EC124+(1-EXP(-LN(2)/2))/(LN(2)/2)*DW125*DZ125*VLOOKUP('Données projet'!$B$14,Paramètres!$A$1:$I$89,3,0)*0.475*44/12</f>
        <v>1.2894177533165196E-13</v>
      </c>
      <c r="ED125" s="22">
        <f t="shared" si="72"/>
        <v>0.67643603847725997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5.3066239316239274</v>
      </c>
      <c r="EJ125" s="12">
        <f>IF('Données projet'!$A$192&gt;35,EJ124+EI125-ER124,IF(A125&lt;'Données projet'!$A$192,$EG$205^A125,IF(A125='Données projet'!$A$192,'Données projet'!$B$192,EJ124+EI125-ER124)))</f>
        <v>262.3749999999996</v>
      </c>
      <c r="EK125" s="17">
        <f>EJ125*VLOOKUP('Données projet'!$B$15,Paramètres!$A$1:$I$89,3,0)*VLOOKUP('Données projet'!$B$15,Paramètres!$A$1:$I$89,5,0)</f>
        <v>282.42044999999956</v>
      </c>
      <c r="EL125" s="13">
        <f t="shared" si="99"/>
        <v>67.478263024879425</v>
      </c>
      <c r="EM125" s="20">
        <f t="shared" si="73"/>
        <v>609.40692518499748</v>
      </c>
      <c r="EN125" s="59">
        <f t="shared" si="74"/>
        <v>902.74025851833085</v>
      </c>
      <c r="EO125" s="59">
        <f ca="1">AVERAGE(OFFSET($EN$3,0,0,'Données projet'!$E$15+1,1))-AVERAGE(OFFSET($H$3,0,0,'Données projet'!$E$15+1,1))</f>
        <v>211.18501783767226</v>
      </c>
      <c r="EP125" s="59">
        <f t="shared" si="100"/>
        <v>147.98306963466246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498</v>
      </c>
      <c r="FF125" s="17">
        <f>FE125*VLOOKUP('Données projet'!$B$16,Paramètres!$A$1:$I$89,3,0)*VLOOKUP('Données projet'!$B$16,Paramètres!$A$1:$I$89,5,0)</f>
        <v>297.80400000000003</v>
      </c>
      <c r="FG125" s="13">
        <f t="shared" si="101"/>
        <v>70.715900863123025</v>
      </c>
      <c r="FH125" s="20">
        <f t="shared" si="76"/>
        <v>641.83882733660596</v>
      </c>
      <c r="FI125" s="59">
        <f t="shared" si="77"/>
        <v>935.17216066993933</v>
      </c>
      <c r="FJ125" s="59">
        <f ca="1">AVERAGE(OFFSET($FI$3,0,0,'Données projet'!$E$16+1,1))-AVERAGE(OFFSET($H$3,0,0,'Données projet'!$E$16+1,1))</f>
        <v>232.26937455765062</v>
      </c>
      <c r="FK125" s="59">
        <f t="shared" si="102"/>
        <v>115.80853281120301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0.35789439583769928</v>
      </c>
      <c r="FR125" s="21">
        <f>EXP(-LN(2)/25)*FR124+(1-EXP(-LN(2)/25))/(LN(2)/25)*Calculateur!FM125*Calculateur!FO125*VLOOKUP('Données projet'!$B$16,Paramètres!$A$1:$I$89,3,0)*0.475*44/12</f>
        <v>0.34400123138793198</v>
      </c>
      <c r="FS125" s="21">
        <f>EXP(-LN(2)/2)*FS124+(1-EXP(-LN(2)/2))/(LN(2)/2)*FM125*FP125*VLOOKUP('Données projet'!$B$16,Paramètres!$A$1:$I$89,3,0)*0.475*44/12</f>
        <v>1.1931048408965599E-13</v>
      </c>
      <c r="FT125" s="22">
        <f t="shared" si="78"/>
        <v>0.70189562722575061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5.6843418860808015E-14</v>
      </c>
      <c r="GA125" s="17">
        <f>FZ125*VLOOKUP('Données projet'!$B$17,Paramètres!$A$1:$I$89,3,0)*VLOOKUP('Données projet'!$B$17,Paramètres!$A$1:$I$89,5,0)</f>
        <v>4.5224624045658861E-14</v>
      </c>
      <c r="GB125" s="13">
        <f t="shared" si="103"/>
        <v>7.4514601661523691E-13</v>
      </c>
      <c r="GC125" s="20">
        <f t="shared" si="79"/>
        <v>1.3765621991510601E-12</v>
      </c>
      <c r="GD125" s="59">
        <f t="shared" si="80"/>
        <v>293.33333333333468</v>
      </c>
      <c r="GE125" s="59">
        <f ca="1">AVERAGE(OFFSET($GD$3,0,0,'Données projet'!$E$17+1,1))-AVERAGE(OFFSET($H$3,0,0,'Données projet'!$E$17+1,1))</f>
        <v>199.58763537752952</v>
      </c>
      <c r="GF125" s="59">
        <f t="shared" si="104"/>
        <v>242.62852778451929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0.8022846037752015</v>
      </c>
      <c r="GN125" s="21">
        <f>EXP(-LN(2)/2)*GN124+(1-EXP(-LN(2)/2))/(LN(2)/2)*GH125*GK125*VLOOKUP('Données projet'!$B$17,Paramètres!$A$1:$I$89,3,0)*0.475*44/12</f>
        <v>1.5293094283521526E-13</v>
      </c>
      <c r="GO125" s="21">
        <f t="shared" si="81"/>
        <v>0.80228460377535438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5.3066239316239274</v>
      </c>
      <c r="N126" s="13">
        <f>IF('Données projet'!$A$36&gt;35,N125+M126-V125,IF(A126&lt;'Données projet'!$A$36,$K$205^A126,IF(A126='Données projet'!$A$36,'Données projet'!$B$36,N125+M126-V125)))</f>
        <v>267.68162393162351</v>
      </c>
      <c r="O126" s="13">
        <f>N126*VLOOKUP('Données projet'!$B$9,Paramètres!$A$1:$I$89,3,0)*VLOOKUP('Données projet'!$B$9,Paramètres!$A$1:$I$89,5,0)</f>
        <v>242.19833333333295</v>
      </c>
      <c r="P126" s="13">
        <f t="shared" si="87"/>
        <v>58.912261318352805</v>
      </c>
      <c r="Q126" s="20">
        <f t="shared" si="107"/>
        <v>524.43428568501929</v>
      </c>
      <c r="R126" s="59">
        <f t="shared" si="55"/>
        <v>817.76761901835266</v>
      </c>
      <c r="S126" s="59">
        <f ca="1">AVERAGE(OFFSET($R$3,0,0,'Données projet'!$E$9+1,1))-AVERAGE(OFFSET($H$3,0,0,'Données projet'!$E$9+1,1))</f>
        <v>153.45079678708987</v>
      </c>
      <c r="T126" s="59">
        <f t="shared" si="88"/>
        <v>115.4217868409637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271.42916666666628</v>
      </c>
      <c r="AK126" s="13">
        <f t="shared" si="89"/>
        <v>65.152481270117946</v>
      </c>
      <c r="AL126" s="20">
        <f t="shared" si="58"/>
        <v>586.21303682323253</v>
      </c>
      <c r="AM126" s="59">
        <f t="shared" si="59"/>
        <v>879.5463701565659</v>
      </c>
      <c r="AN126" s="59">
        <f ca="1">AVERAGE(OFFSET($AM$3,0,0,'Données projet'!$E$10+1,1))-AVERAGE(OFFSET($H$3,0,0,'Données projet'!$E$10+1,1))</f>
        <v>190.21499310415584</v>
      </c>
      <c r="AO126" s="59">
        <f t="shared" si="90"/>
        <v>136.15730566500173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497</v>
      </c>
      <c r="BE126" s="13">
        <f>BD126*VLOOKUP('Données projet'!$B$11,Paramètres!$A$1:$I$89,3,0)*VLOOKUP('Données projet'!$B$11,Paramètres!$A$1:$I$89,5,0)</f>
        <v>297.20600000000002</v>
      </c>
      <c r="BF126" s="13">
        <f t="shared" si="91"/>
        <v>70.590415164571112</v>
      </c>
      <c r="BG126" s="20">
        <f t="shared" si="61"/>
        <v>640.57875641162809</v>
      </c>
      <c r="BH126" s="59">
        <f t="shared" si="62"/>
        <v>933.91208974496135</v>
      </c>
      <c r="BI126" s="59">
        <f ca="1">AVERAGE(OFFSET($BH$3,0,0,'Données projet'!$E$11+1,1))-AVERAGE(OFFSET($H$3,0,0,'Données projet'!$E$11+1,1))</f>
        <v>270.30888762640245</v>
      </c>
      <c r="BJ126" s="59">
        <f t="shared" si="92"/>
        <v>202.23783851977691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0.33955771454453082</v>
      </c>
      <c r="BQ126" s="21">
        <f>EXP(-LN(2)/25)*BQ125+(1-EXP(-LN(2)/25))/(LN(2)/25)*Calculateur!BL126*Calculateur!BN126*VLOOKUP('Données projet'!$B$11,Paramètres!$A$1:$I$89,3,0)*0.475*44/12</f>
        <v>0.93304867908168077</v>
      </c>
      <c r="BR126" s="21">
        <f>EXP(-LN(2)/2)*BR125+(1-EXP(-LN(2)/2))/(LN(2)/2)*BL126*BO126*VLOOKUP('Données projet'!$B$11,Paramètres!$A$1:$I$89,3,0)*0.475*44/12</f>
        <v>1.8582467381117266E-13</v>
      </c>
      <c r="BS126" s="22">
        <f t="shared" si="63"/>
        <v>1.2726063936263974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497</v>
      </c>
      <c r="BZ126" s="13">
        <f>BY126*VLOOKUP('Données projet'!$B$12,Paramètres!$A$1:$I$89,3,0)*VLOOKUP('Données projet'!$B$12,Paramètres!$A$1:$I$89,5,0)</f>
        <v>297.20600000000002</v>
      </c>
      <c r="CA126" s="13">
        <f t="shared" si="93"/>
        <v>70.590415164571112</v>
      </c>
      <c r="CB126" s="20">
        <f t="shared" si="64"/>
        <v>640.57875641162809</v>
      </c>
      <c r="CC126" s="59">
        <f t="shared" si="65"/>
        <v>933.91208974496135</v>
      </c>
      <c r="CD126" s="59">
        <f ca="1">AVERAGE(OFFSET($CC$3,0,0,'Données projet'!$E$12+1,1))-AVERAGE(OFFSET($H$3,0,0,'Données projet'!$E$12+1,1))</f>
        <v>270.30888762640245</v>
      </c>
      <c r="CE126" s="59">
        <f t="shared" si="94"/>
        <v>202.23783851977691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0.33955771454453082</v>
      </c>
      <c r="CL126" s="21">
        <f>EXP(-LN(2)/25)*CL125+(1-EXP(-LN(2)/25))/(LN(2)/25)*Calculateur!CG126*Calculateur!CI126*VLOOKUP('Données projet'!$B$12,Paramètres!$A$1:$I$89,3,0)*0.475*44/12</f>
        <v>0.93304867908168077</v>
      </c>
      <c r="CM126" s="21">
        <f>EXP(-LN(2)/2)*CM125+(1-EXP(-LN(2)/2))/(LN(2)/2)*CG126*CJ126*VLOOKUP('Données projet'!$B$12,Paramètres!$A$1:$I$89,3,0)*0.475*44/12</f>
        <v>1.8582467381117266E-13</v>
      </c>
      <c r="CN126" s="22">
        <f t="shared" si="66"/>
        <v>1.2726063936263974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3.4106051316484809E-13</v>
      </c>
      <c r="CU126" s="17">
        <f>CT126*VLOOKUP('Données projet'!$B$13,Paramètres!$A$1:$I$89,3,0)*VLOOKUP('Données projet'!$B$13,Paramètres!$A$1:$I$89,5,0)</f>
        <v>1.5961632016114892E-13</v>
      </c>
      <c r="CV126" s="13">
        <f t="shared" si="95"/>
        <v>2.2708641912150958E-12</v>
      </c>
      <c r="CW126" s="20">
        <f t="shared" si="67"/>
        <v>4.2330868906469593E-12</v>
      </c>
      <c r="CX126" s="59">
        <f t="shared" si="68"/>
        <v>293.33333333333752</v>
      </c>
      <c r="CY126" s="59">
        <f ca="1">AVERAGE(OFFSET($CX$3,0,0,'Données projet'!$E$13+1,1))-AVERAGE(OFFSET($H$3,0,0,'Données projet'!$E$13+1,1))</f>
        <v>158.58786357608489</v>
      </c>
      <c r="CZ126" s="59">
        <f t="shared" si="96"/>
        <v>163.20074068819849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3.813056537183002E-14</v>
      </c>
      <c r="DQ126" s="13">
        <f t="shared" si="97"/>
        <v>6.4086286045526829E-13</v>
      </c>
      <c r="DR126" s="20">
        <f t="shared" si="70"/>
        <v>1.1825802166488628E-12</v>
      </c>
      <c r="DS126" s="59">
        <f t="shared" si="71"/>
        <v>293.33333333333451</v>
      </c>
      <c r="DT126" s="59">
        <f ca="1">AVERAGE(OFFSET($DS$3,0,0,'Données projet'!$E$14+1,1))-AVERAGE(OFFSET($H$3,0,0,'Données projet'!$E$14+1,1))</f>
        <v>156.63226020379989</v>
      </c>
      <c r="DU126" s="59">
        <f t="shared" si="98"/>
        <v>196.0481096619543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0.65793885943274866</v>
      </c>
      <c r="EC126" s="21">
        <f>EXP(-LN(2)/2)*EC125+(1-EXP(-LN(2)/2))/(LN(2)/2)*DW126*DZ126*VLOOKUP('Données projet'!$B$14,Paramètres!$A$1:$I$89,3,0)*0.475*44/12</f>
        <v>9.1175603715243395E-14</v>
      </c>
      <c r="ED126" s="22">
        <f t="shared" si="72"/>
        <v>0.65793885943283981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5.3066239316239274</v>
      </c>
      <c r="EJ126" s="12">
        <f>IF('Données projet'!$A$192&gt;35,EJ125+EI126-ER125,IF(A126&lt;'Données projet'!$A$192,$EG$205^A126,IF(A126='Données projet'!$A$192,'Données projet'!$B$192,EJ125+EI126-ER125)))</f>
        <v>267.68162393162351</v>
      </c>
      <c r="EK126" s="17">
        <f>EJ126*VLOOKUP('Données projet'!$B$15,Paramètres!$A$1:$I$89,3,0)*VLOOKUP('Données projet'!$B$15,Paramètres!$A$1:$I$89,5,0)</f>
        <v>288.13249999999954</v>
      </c>
      <c r="EL126" s="13">
        <f t="shared" si="99"/>
        <v>68.682765668484066</v>
      </c>
      <c r="EM126" s="20">
        <f t="shared" si="73"/>
        <v>621.45325437260897</v>
      </c>
      <c r="EN126" s="59">
        <f t="shared" si="74"/>
        <v>914.78658770594234</v>
      </c>
      <c r="EO126" s="59">
        <f ca="1">AVERAGE(OFFSET($EN$3,0,0,'Données projet'!$E$15+1,1))-AVERAGE(OFFSET($H$3,0,0,'Données projet'!$E$15+1,1))</f>
        <v>211.18501783767226</v>
      </c>
      <c r="EP126" s="59">
        <f t="shared" si="100"/>
        <v>147.98306963466246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498</v>
      </c>
      <c r="FF126" s="17">
        <f>FE126*VLOOKUP('Données projet'!$B$16,Paramètres!$A$1:$I$89,3,0)*VLOOKUP('Données projet'!$B$16,Paramètres!$A$1:$I$89,5,0)</f>
        <v>297.80400000000003</v>
      </c>
      <c r="FG126" s="13">
        <f t="shared" si="101"/>
        <v>70.715900863123025</v>
      </c>
      <c r="FH126" s="20">
        <f t="shared" si="76"/>
        <v>641.83882733660596</v>
      </c>
      <c r="FI126" s="59">
        <f t="shared" si="77"/>
        <v>935.17216066993933</v>
      </c>
      <c r="FJ126" s="59">
        <f ca="1">AVERAGE(OFFSET($FI$3,0,0,'Données projet'!$E$16+1,1))-AVERAGE(OFFSET($H$3,0,0,'Données projet'!$E$16+1,1))</f>
        <v>232.26937455765062</v>
      </c>
      <c r="FK126" s="59">
        <f t="shared" si="102"/>
        <v>115.80853281120301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0.35087630502934869</v>
      </c>
      <c r="FR126" s="21">
        <f>EXP(-LN(2)/25)*FR125+(1-EXP(-LN(2)/25))/(LN(2)/25)*Calculateur!FM126*Calculateur!FO126*VLOOKUP('Données projet'!$B$16,Paramètres!$A$1:$I$89,3,0)*0.475*44/12</f>
        <v>0.33459449962539045</v>
      </c>
      <c r="FS126" s="21">
        <f>EXP(-LN(2)/2)*FS125+(1-EXP(-LN(2)/2))/(LN(2)/2)*FM126*FP126*VLOOKUP('Données projet'!$B$16,Paramètres!$A$1:$I$89,3,0)*0.475*44/12</f>
        <v>8.4365252366445436E-14</v>
      </c>
      <c r="FT126" s="22">
        <f t="shared" si="78"/>
        <v>0.68547080465482346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5.6843418860808015E-14</v>
      </c>
      <c r="GA126" s="17">
        <f>FZ126*VLOOKUP('Données projet'!$B$17,Paramètres!$A$1:$I$89,3,0)*VLOOKUP('Données projet'!$B$17,Paramètres!$A$1:$I$89,5,0)</f>
        <v>4.5224624045658861E-14</v>
      </c>
      <c r="GB126" s="13">
        <f t="shared" si="103"/>
        <v>7.4514601661523691E-13</v>
      </c>
      <c r="GC126" s="20">
        <f t="shared" si="79"/>
        <v>1.3765621991510601E-12</v>
      </c>
      <c r="GD126" s="59">
        <f t="shared" si="80"/>
        <v>293.33333333333468</v>
      </c>
      <c r="GE126" s="59">
        <f ca="1">AVERAGE(OFFSET($GD$3,0,0,'Données projet'!$E$17+1,1))-AVERAGE(OFFSET($H$3,0,0,'Données projet'!$E$17+1,1))</f>
        <v>199.58763537752952</v>
      </c>
      <c r="GF126" s="59">
        <f t="shared" si="104"/>
        <v>242.62852778451929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0.78034608909465497</v>
      </c>
      <c r="GN126" s="21">
        <f>EXP(-LN(2)/2)*GN125+(1-EXP(-LN(2)/2))/(LN(2)/2)*GH126*GK126*VLOOKUP('Données projet'!$B$17,Paramètres!$A$1:$I$89,3,0)*0.475*44/12</f>
        <v>1.0813850673203297E-13</v>
      </c>
      <c r="GO126" s="21">
        <f t="shared" si="81"/>
        <v>0.78034608909476311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5.3066239316239274</v>
      </c>
      <c r="N127" s="13">
        <f>IF('Données projet'!$A$36&gt;35,N126+M127-V126,IF(A127&lt;'Données projet'!$A$36,$K$205^A127,IF(A127='Données projet'!$A$36,'Données projet'!$B$36,N126+M127-V126)))</f>
        <v>272.98824786324741</v>
      </c>
      <c r="O127" s="13">
        <f>N127*VLOOKUP('Données projet'!$B$9,Paramètres!$A$1:$I$89,3,0)*VLOOKUP('Données projet'!$B$9,Paramètres!$A$1:$I$89,5,0)</f>
        <v>246.99976666666623</v>
      </c>
      <c r="P127" s="13">
        <f t="shared" si="87"/>
        <v>59.943035297333779</v>
      </c>
      <c r="Q127" s="20">
        <f t="shared" si="107"/>
        <v>534.59204675396666</v>
      </c>
      <c r="R127" s="59">
        <f t="shared" si="55"/>
        <v>827.92538008730003</v>
      </c>
      <c r="S127" s="59">
        <f ca="1">AVERAGE(OFFSET($R$3,0,0,'Données projet'!$E$9+1,1))-AVERAGE(OFFSET($H$3,0,0,'Données projet'!$E$9+1,1))</f>
        <v>153.45079678708987</v>
      </c>
      <c r="T127" s="59">
        <f t="shared" si="88"/>
        <v>115.4217868409637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276.8100833333329</v>
      </c>
      <c r="AK127" s="13">
        <f t="shared" si="89"/>
        <v>66.292438909774205</v>
      </c>
      <c r="AL127" s="20">
        <f t="shared" si="58"/>
        <v>597.57022624007823</v>
      </c>
      <c r="AM127" s="59">
        <f t="shared" si="59"/>
        <v>890.90355957341148</v>
      </c>
      <c r="AN127" s="59">
        <f ca="1">AVERAGE(OFFSET($AM$3,0,0,'Données projet'!$E$10+1,1))-AVERAGE(OFFSET($H$3,0,0,'Données projet'!$E$10+1,1))</f>
        <v>190.21499310415584</v>
      </c>
      <c r="AO127" s="59">
        <f t="shared" si="90"/>
        <v>136.15730566500173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497</v>
      </c>
      <c r="BE127" s="13">
        <f>BD127*VLOOKUP('Données projet'!$B$11,Paramètres!$A$1:$I$89,3,0)*VLOOKUP('Données projet'!$B$11,Paramètres!$A$1:$I$89,5,0)</f>
        <v>297.20600000000002</v>
      </c>
      <c r="BF127" s="13">
        <f t="shared" si="91"/>
        <v>70.590415164571112</v>
      </c>
      <c r="BG127" s="20">
        <f t="shared" si="61"/>
        <v>640.57875641162809</v>
      </c>
      <c r="BH127" s="59">
        <f t="shared" si="62"/>
        <v>933.91208974496135</v>
      </c>
      <c r="BI127" s="59">
        <f ca="1">AVERAGE(OFFSET($BH$3,0,0,'Données projet'!$E$11+1,1))-AVERAGE(OFFSET($H$3,0,0,'Données projet'!$E$11+1,1))</f>
        <v>270.30888762640245</v>
      </c>
      <c r="BJ127" s="59">
        <f t="shared" si="92"/>
        <v>202.23783851977691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0.33289919487206804</v>
      </c>
      <c r="BQ127" s="21">
        <f>EXP(-LN(2)/25)*BQ126+(1-EXP(-LN(2)/25))/(LN(2)/25)*Calculateur!BL127*Calculateur!BN127*VLOOKUP('Données projet'!$B$11,Paramètres!$A$1:$I$89,3,0)*0.475*44/12</f>
        <v>0.90753441388529466</v>
      </c>
      <c r="BR127" s="21">
        <f>EXP(-LN(2)/2)*BR126+(1-EXP(-LN(2)/2))/(LN(2)/2)*BL127*BO127*VLOOKUP('Données projet'!$B$11,Paramètres!$A$1:$I$89,3,0)*0.475*44/12</f>
        <v>1.3139788696365844E-13</v>
      </c>
      <c r="BS127" s="22">
        <f t="shared" si="63"/>
        <v>1.2404336087574941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497</v>
      </c>
      <c r="BZ127" s="13">
        <f>BY127*VLOOKUP('Données projet'!$B$12,Paramètres!$A$1:$I$89,3,0)*VLOOKUP('Données projet'!$B$12,Paramètres!$A$1:$I$89,5,0)</f>
        <v>297.20600000000002</v>
      </c>
      <c r="CA127" s="13">
        <f t="shared" si="93"/>
        <v>70.590415164571112</v>
      </c>
      <c r="CB127" s="20">
        <f t="shared" si="64"/>
        <v>640.57875641162809</v>
      </c>
      <c r="CC127" s="59">
        <f t="shared" si="65"/>
        <v>933.91208974496135</v>
      </c>
      <c r="CD127" s="59">
        <f ca="1">AVERAGE(OFFSET($CC$3,0,0,'Données projet'!$E$12+1,1))-AVERAGE(OFFSET($H$3,0,0,'Données projet'!$E$12+1,1))</f>
        <v>270.30888762640245</v>
      </c>
      <c r="CE127" s="59">
        <f t="shared" si="94"/>
        <v>202.23783851977691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0.33289919487206804</v>
      </c>
      <c r="CL127" s="21">
        <f>EXP(-LN(2)/25)*CL126+(1-EXP(-LN(2)/25))/(LN(2)/25)*Calculateur!CG127*Calculateur!CI127*VLOOKUP('Données projet'!$B$12,Paramètres!$A$1:$I$89,3,0)*0.475*44/12</f>
        <v>0.90753441388529466</v>
      </c>
      <c r="CM127" s="21">
        <f>EXP(-LN(2)/2)*CM126+(1-EXP(-LN(2)/2))/(LN(2)/2)*CG127*CJ127*VLOOKUP('Données projet'!$B$12,Paramètres!$A$1:$I$89,3,0)*0.475*44/12</f>
        <v>1.3139788696365844E-13</v>
      </c>
      <c r="CN127" s="22">
        <f t="shared" si="66"/>
        <v>1.2404336087574941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3.4106051316484809E-13</v>
      </c>
      <c r="CU127" s="17">
        <f>CT127*VLOOKUP('Données projet'!$B$13,Paramètres!$A$1:$I$89,3,0)*VLOOKUP('Données projet'!$B$13,Paramètres!$A$1:$I$89,5,0)</f>
        <v>1.5961632016114892E-13</v>
      </c>
      <c r="CV127" s="13">
        <f t="shared" si="95"/>
        <v>2.2708641912150958E-12</v>
      </c>
      <c r="CW127" s="20">
        <f t="shared" si="67"/>
        <v>4.2330868906469593E-12</v>
      </c>
      <c r="CX127" s="59">
        <f t="shared" si="68"/>
        <v>293.33333333333752</v>
      </c>
      <c r="CY127" s="59">
        <f ca="1">AVERAGE(OFFSET($CX$3,0,0,'Données projet'!$E$13+1,1))-AVERAGE(OFFSET($H$3,0,0,'Données projet'!$E$13+1,1))</f>
        <v>158.58786357608489</v>
      </c>
      <c r="CZ127" s="59">
        <f t="shared" si="96"/>
        <v>163.20074068819849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3.813056537183002E-14</v>
      </c>
      <c r="DQ127" s="13">
        <f t="shared" si="97"/>
        <v>6.4086286045526829E-13</v>
      </c>
      <c r="DR127" s="20">
        <f t="shared" si="70"/>
        <v>1.1825802166488628E-12</v>
      </c>
      <c r="DS127" s="59">
        <f t="shared" si="71"/>
        <v>293.33333333333451</v>
      </c>
      <c r="DT127" s="59">
        <f ca="1">AVERAGE(OFFSET($DS$3,0,0,'Données projet'!$E$14+1,1))-AVERAGE(OFFSET($H$3,0,0,'Données projet'!$E$14+1,1))</f>
        <v>156.63226020379989</v>
      </c>
      <c r="DU127" s="59">
        <f t="shared" si="98"/>
        <v>196.0481096619543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0.63994748672205926</v>
      </c>
      <c r="EC127" s="21">
        <f>EXP(-LN(2)/2)*EC126+(1-EXP(-LN(2)/2))/(LN(2)/2)*DW127*DZ127*VLOOKUP('Données projet'!$B$14,Paramètres!$A$1:$I$89,3,0)*0.475*44/12</f>
        <v>6.4470887665825981E-14</v>
      </c>
      <c r="ED127" s="22">
        <f t="shared" si="72"/>
        <v>0.63994748672212376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5.3066239316239274</v>
      </c>
      <c r="EJ127" s="12">
        <f>IF('Données projet'!$A$192&gt;35,EJ126+EI127-ER126,IF(A127&lt;'Données projet'!$A$192,$EG$205^A127,IF(A127='Données projet'!$A$192,'Données projet'!$B$192,EJ126+EI127-ER126)))</f>
        <v>272.98824786324741</v>
      </c>
      <c r="EK127" s="17">
        <f>EJ127*VLOOKUP('Données projet'!$B$15,Paramètres!$A$1:$I$89,3,0)*VLOOKUP('Données projet'!$B$15,Paramètres!$A$1:$I$89,5,0)</f>
        <v>293.84454999999946</v>
      </c>
      <c r="EL127" s="13">
        <f t="shared" si="99"/>
        <v>69.884491863867197</v>
      </c>
      <c r="EM127" s="20">
        <f t="shared" si="73"/>
        <v>633.49474791290106</v>
      </c>
      <c r="EN127" s="59">
        <f t="shared" si="74"/>
        <v>926.82808124623443</v>
      </c>
      <c r="EO127" s="59">
        <f ca="1">AVERAGE(OFFSET($EN$3,0,0,'Données projet'!$E$15+1,1))-AVERAGE(OFFSET($H$3,0,0,'Données projet'!$E$15+1,1))</f>
        <v>211.18501783767226</v>
      </c>
      <c r="EP127" s="59">
        <f t="shared" si="100"/>
        <v>147.98306963466246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498</v>
      </c>
      <c r="FF127" s="17">
        <f>FE127*VLOOKUP('Données projet'!$B$16,Paramètres!$A$1:$I$89,3,0)*VLOOKUP('Données projet'!$B$16,Paramètres!$A$1:$I$89,5,0)</f>
        <v>297.80400000000003</v>
      </c>
      <c r="FG127" s="13">
        <f t="shared" si="101"/>
        <v>70.715900863123025</v>
      </c>
      <c r="FH127" s="20">
        <f t="shared" si="76"/>
        <v>641.83882733660596</v>
      </c>
      <c r="FI127" s="59">
        <f t="shared" si="77"/>
        <v>935.17216066993933</v>
      </c>
      <c r="FJ127" s="59">
        <f ca="1">AVERAGE(OFFSET($FI$3,0,0,'Données projet'!$E$16+1,1))-AVERAGE(OFFSET($H$3,0,0,'Données projet'!$E$16+1,1))</f>
        <v>232.26937455765062</v>
      </c>
      <c r="FK127" s="59">
        <f t="shared" si="102"/>
        <v>115.80853281120301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0.34399583470113715</v>
      </c>
      <c r="FR127" s="21">
        <f>EXP(-LN(2)/25)*FR126+(1-EXP(-LN(2)/25))/(LN(2)/25)*Calculateur!FM127*Calculateur!FO127*VLOOKUP('Données projet'!$B$16,Paramètres!$A$1:$I$89,3,0)*0.475*44/12</f>
        <v>0.32544499543757416</v>
      </c>
      <c r="FS127" s="21">
        <f>EXP(-LN(2)/2)*FS126+(1-EXP(-LN(2)/2))/(LN(2)/2)*FM127*FP127*VLOOKUP('Données projet'!$B$16,Paramètres!$A$1:$I$89,3,0)*0.475*44/12</f>
        <v>5.9655242044827993E-14</v>
      </c>
      <c r="FT127" s="22">
        <f t="shared" si="78"/>
        <v>0.66944083013877098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5.6843418860808015E-14</v>
      </c>
      <c r="GA127" s="17">
        <f>FZ127*VLOOKUP('Données projet'!$B$17,Paramètres!$A$1:$I$89,3,0)*VLOOKUP('Données projet'!$B$17,Paramètres!$A$1:$I$89,5,0)</f>
        <v>4.5224624045658861E-14</v>
      </c>
      <c r="GB127" s="13">
        <f t="shared" si="103"/>
        <v>7.4514601661523691E-13</v>
      </c>
      <c r="GC127" s="20">
        <f t="shared" si="79"/>
        <v>1.3765621991510601E-12</v>
      </c>
      <c r="GD127" s="59">
        <f t="shared" si="80"/>
        <v>293.33333333333468</v>
      </c>
      <c r="GE127" s="59">
        <f ca="1">AVERAGE(OFFSET($GD$3,0,0,'Données projet'!$E$17+1,1))-AVERAGE(OFFSET($H$3,0,0,'Données projet'!$E$17+1,1))</f>
        <v>199.58763537752952</v>
      </c>
      <c r="GF127" s="59">
        <f t="shared" si="104"/>
        <v>242.62852778451929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0.75900748425174436</v>
      </c>
      <c r="GN127" s="21">
        <f>EXP(-LN(2)/2)*GN126+(1-EXP(-LN(2)/2))/(LN(2)/2)*GH127*GK127*VLOOKUP('Données projet'!$B$17,Paramètres!$A$1:$I$89,3,0)*0.475*44/12</f>
        <v>7.646547141760763E-14</v>
      </c>
      <c r="GO127" s="21">
        <f t="shared" si="81"/>
        <v>0.75900748425182085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278.29487179487177</v>
      </c>
      <c r="L128" s="12">
        <f>VLOOKUP(A128,'Données projet'!$A$35:$I$55,9,0)</f>
        <v>5.3066239316239274</v>
      </c>
      <c r="M128" s="12">
        <f t="array" ref="M128">INDEX(L:L,MIN(IF(ISNUMBER(L128:L324),ROW(L128:L324),"")))</f>
        <v>5.3066239316239274</v>
      </c>
      <c r="N128" s="13">
        <f>IF('Données projet'!$A$36&gt;35,N127+M128-V127,IF(A128&lt;'Données projet'!$A$36,$K$205^A128,IF(A128='Données projet'!$A$36,'Données projet'!$B$36,N127+M128-V127)))</f>
        <v>278.29487179487131</v>
      </c>
      <c r="O128" s="13">
        <f>N128*VLOOKUP('Données projet'!$B$9,Paramètres!$A$1:$I$89,3,0)*VLOOKUP('Données projet'!$B$9,Paramètres!$A$1:$I$89,5,0)</f>
        <v>251.80119999999957</v>
      </c>
      <c r="P128" s="13">
        <f t="shared" si="87"/>
        <v>60.971479423668242</v>
      </c>
      <c r="Q128" s="20">
        <f t="shared" si="107"/>
        <v>544.74574999622132</v>
      </c>
      <c r="R128" s="59">
        <f t="shared" si="55"/>
        <v>838.07908332955458</v>
      </c>
      <c r="S128" s="59">
        <f ca="1">AVERAGE(OFFSET($R$3,0,0,'Données projet'!$E$9+1,1))-AVERAGE(OFFSET($H$3,0,0,'Données projet'!$E$9+1,1))</f>
        <v>153.45079678708987</v>
      </c>
      <c r="T128" s="59">
        <f t="shared" si="88"/>
        <v>115.4217868409637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48.160256410256409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282.19099999999952</v>
      </c>
      <c r="AK128" s="13">
        <f t="shared" si="89"/>
        <v>67.429819909567854</v>
      </c>
      <c r="AL128" s="20">
        <f t="shared" si="58"/>
        <v>608.92292800916312</v>
      </c>
      <c r="AM128" s="59">
        <f t="shared" si="59"/>
        <v>902.25626134249637</v>
      </c>
      <c r="AN128" s="59">
        <f ca="1">AVERAGE(OFFSET($AM$3,0,0,'Données projet'!$E$10+1,1))-AVERAGE(OFFSET($H$3,0,0,'Données projet'!$E$10+1,1))</f>
        <v>190.21499310415584</v>
      </c>
      <c r="AO128" s="59">
        <f t="shared" si="90"/>
        <v>136.15730566500173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497</v>
      </c>
      <c r="BE128" s="13">
        <f>BD128*VLOOKUP('Données projet'!$B$11,Paramètres!$A$1:$I$89,3,0)*VLOOKUP('Données projet'!$B$11,Paramètres!$A$1:$I$89,5,0)</f>
        <v>297.20600000000002</v>
      </c>
      <c r="BF128" s="13">
        <f t="shared" si="91"/>
        <v>70.590415164571112</v>
      </c>
      <c r="BG128" s="20">
        <f t="shared" si="61"/>
        <v>640.57875641162809</v>
      </c>
      <c r="BH128" s="59">
        <f t="shared" si="62"/>
        <v>933.91208974496135</v>
      </c>
      <c r="BI128" s="59">
        <f ca="1">AVERAGE(OFFSET($BH$3,0,0,'Données projet'!$E$11+1,1))-AVERAGE(OFFSET($H$3,0,0,'Données projet'!$E$11+1,1))</f>
        <v>270.30888762640245</v>
      </c>
      <c r="BJ128" s="59">
        <f t="shared" si="92"/>
        <v>202.23783851977691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0.32637124470908629</v>
      </c>
      <c r="BQ128" s="21">
        <f>EXP(-LN(2)/25)*BQ127+(1-EXP(-LN(2)/25))/(LN(2)/25)*Calculateur!BL128*Calculateur!BN128*VLOOKUP('Données projet'!$B$11,Paramètres!$A$1:$I$89,3,0)*0.475*44/12</f>
        <v>0.8827178376124406</v>
      </c>
      <c r="BR128" s="21">
        <f>EXP(-LN(2)/2)*BR127+(1-EXP(-LN(2)/2))/(LN(2)/2)*BL128*BO128*VLOOKUP('Données projet'!$B$11,Paramètres!$A$1:$I$89,3,0)*0.475*44/12</f>
        <v>9.2912336905586332E-14</v>
      </c>
      <c r="BS128" s="22">
        <f t="shared" si="63"/>
        <v>1.2090890823216198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497</v>
      </c>
      <c r="BZ128" s="13">
        <f>BY128*VLOOKUP('Données projet'!$B$12,Paramètres!$A$1:$I$89,3,0)*VLOOKUP('Données projet'!$B$12,Paramètres!$A$1:$I$89,5,0)</f>
        <v>297.20600000000002</v>
      </c>
      <c r="CA128" s="13">
        <f t="shared" si="93"/>
        <v>70.590415164571112</v>
      </c>
      <c r="CB128" s="20">
        <f t="shared" si="64"/>
        <v>640.57875641162809</v>
      </c>
      <c r="CC128" s="59">
        <f t="shared" si="65"/>
        <v>933.91208974496135</v>
      </c>
      <c r="CD128" s="59">
        <f ca="1">AVERAGE(OFFSET($CC$3,0,0,'Données projet'!$E$12+1,1))-AVERAGE(OFFSET($H$3,0,0,'Données projet'!$E$12+1,1))</f>
        <v>270.30888762640245</v>
      </c>
      <c r="CE128" s="59">
        <f t="shared" si="94"/>
        <v>202.23783851977691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0.32637124470908629</v>
      </c>
      <c r="CL128" s="21">
        <f>EXP(-LN(2)/25)*CL127+(1-EXP(-LN(2)/25))/(LN(2)/25)*Calculateur!CG128*Calculateur!CI128*VLOOKUP('Données projet'!$B$12,Paramètres!$A$1:$I$89,3,0)*0.475*44/12</f>
        <v>0.8827178376124406</v>
      </c>
      <c r="CM128" s="21">
        <f>EXP(-LN(2)/2)*CM127+(1-EXP(-LN(2)/2))/(LN(2)/2)*CG128*CJ128*VLOOKUP('Données projet'!$B$12,Paramètres!$A$1:$I$89,3,0)*0.475*44/12</f>
        <v>9.2912336905586332E-14</v>
      </c>
      <c r="CN128" s="22">
        <f t="shared" si="66"/>
        <v>1.2090890823216198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3.4106051316484809E-13</v>
      </c>
      <c r="CU128" s="17">
        <f>CT128*VLOOKUP('Données projet'!$B$13,Paramètres!$A$1:$I$89,3,0)*VLOOKUP('Données projet'!$B$13,Paramètres!$A$1:$I$89,5,0)</f>
        <v>1.5961632016114892E-13</v>
      </c>
      <c r="CV128" s="13">
        <f t="shared" si="95"/>
        <v>2.2708641912150958E-12</v>
      </c>
      <c r="CW128" s="20">
        <f t="shared" si="67"/>
        <v>4.2330868906469593E-12</v>
      </c>
      <c r="CX128" s="59">
        <f t="shared" si="68"/>
        <v>293.33333333333752</v>
      </c>
      <c r="CY128" s="59">
        <f ca="1">AVERAGE(OFFSET($CX$3,0,0,'Données projet'!$E$13+1,1))-AVERAGE(OFFSET($H$3,0,0,'Données projet'!$E$13+1,1))</f>
        <v>158.58786357608489</v>
      </c>
      <c r="CZ128" s="59">
        <f t="shared" si="96"/>
        <v>163.20074068819849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3.813056537183002E-14</v>
      </c>
      <c r="DQ128" s="13">
        <f t="shared" si="97"/>
        <v>6.4086286045526829E-13</v>
      </c>
      <c r="DR128" s="20">
        <f t="shared" si="70"/>
        <v>1.1825802166488628E-12</v>
      </c>
      <c r="DS128" s="59">
        <f t="shared" si="71"/>
        <v>293.33333333333451</v>
      </c>
      <c r="DT128" s="59">
        <f ca="1">AVERAGE(OFFSET($DS$3,0,0,'Données projet'!$E$14+1,1))-AVERAGE(OFFSET($H$3,0,0,'Données projet'!$E$14+1,1))</f>
        <v>156.63226020379989</v>
      </c>
      <c r="DU128" s="59">
        <f t="shared" si="98"/>
        <v>196.0481096619543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0.62244808904426885</v>
      </c>
      <c r="EC128" s="21">
        <f>EXP(-LN(2)/2)*EC127+(1-EXP(-LN(2)/2))/(LN(2)/2)*DW128*DZ128*VLOOKUP('Données projet'!$B$14,Paramètres!$A$1:$I$89,3,0)*0.475*44/12</f>
        <v>4.5587801857621697E-14</v>
      </c>
      <c r="ED128" s="22">
        <f t="shared" si="72"/>
        <v>0.62244808904431448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278.29487179487177</v>
      </c>
      <c r="EH128" s="12">
        <f>VLOOKUP(A128,'Données projet'!$A$191:$I$211,9,0)</f>
        <v>5.3066239316239274</v>
      </c>
      <c r="EI128" s="12">
        <f t="array" ref="EI128">INDEX(EH:EH,MIN(IF(ISNUMBER(EH128:EH324),ROW(EH128:EH324),"")))</f>
        <v>5.3066239316239274</v>
      </c>
      <c r="EJ128" s="12">
        <f>IF('Données projet'!$A$192&gt;35,EJ127+EI128-ER127,IF(A128&lt;'Données projet'!$A$192,$EG$205^A128,IF(A128='Données projet'!$A$192,'Données projet'!$B$192,EJ127+EI128-ER127)))</f>
        <v>278.29487179487131</v>
      </c>
      <c r="EK128" s="17">
        <f>EJ128*VLOOKUP('Données projet'!$B$15,Paramètres!$A$1:$I$89,3,0)*VLOOKUP('Données projet'!$B$15,Paramètres!$A$1:$I$89,5,0)</f>
        <v>299.55659999999949</v>
      </c>
      <c r="EL128" s="13">
        <f t="shared" si="99"/>
        <v>71.083501804267385</v>
      </c>
      <c r="EM128" s="20">
        <f t="shared" si="73"/>
        <v>645.53151064243139</v>
      </c>
      <c r="EN128" s="59">
        <f t="shared" si="74"/>
        <v>938.86484397576464</v>
      </c>
      <c r="EO128" s="59">
        <f ca="1">AVERAGE(OFFSET($EN$3,0,0,'Données projet'!$E$15+1,1))-AVERAGE(OFFSET($H$3,0,0,'Données projet'!$E$15+1,1))</f>
        <v>211.18501783767226</v>
      </c>
      <c r="EP128" s="59">
        <f t="shared" si="100"/>
        <v>147.98306963466246</v>
      </c>
      <c r="EQ128" s="15">
        <f>IF(ISNA(VLOOKUP(A128,'Données projet'!$A$191:$I$211,3,0)),0,VLOOKUP(A128,'Données projet'!$A$191:$I$211,3,0))</f>
        <v>10</v>
      </c>
      <c r="ER128" s="15">
        <f>IF(ISNA(VLOOKUP(A128,'Données projet'!$A$191:$I$211,4,0)),0,VLOOKUP(A128,'Données projet'!$A$191:$I$211,4,0))</f>
        <v>48.160256410256409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498</v>
      </c>
      <c r="FF128" s="17">
        <f>FE128*VLOOKUP('Données projet'!$B$16,Paramètres!$A$1:$I$89,3,0)*VLOOKUP('Données projet'!$B$16,Paramètres!$A$1:$I$89,5,0)</f>
        <v>297.80400000000003</v>
      </c>
      <c r="FG128" s="13">
        <f t="shared" si="101"/>
        <v>70.715900863123025</v>
      </c>
      <c r="FH128" s="20">
        <f t="shared" si="76"/>
        <v>641.83882733660596</v>
      </c>
      <c r="FI128" s="59">
        <f t="shared" si="77"/>
        <v>935.17216066993933</v>
      </c>
      <c r="FJ128" s="59">
        <f ca="1">AVERAGE(OFFSET($FI$3,0,0,'Données projet'!$E$16+1,1))-AVERAGE(OFFSET($H$3,0,0,'Données projet'!$E$16+1,1))</f>
        <v>232.26937455765062</v>
      </c>
      <c r="FK128" s="59">
        <f t="shared" si="102"/>
        <v>115.80853281120301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0.33725028619938935</v>
      </c>
      <c r="FR128" s="21">
        <f>EXP(-LN(2)/25)*FR127+(1-EXP(-LN(2)/25))/(LN(2)/25)*Calculateur!FM128*Calculateur!FO128*VLOOKUP('Données projet'!$B$16,Paramètres!$A$1:$I$89,3,0)*0.475*44/12</f>
        <v>0.31654568492292517</v>
      </c>
      <c r="FS128" s="21">
        <f>EXP(-LN(2)/2)*FS127+(1-EXP(-LN(2)/2))/(LN(2)/2)*FM128*FP128*VLOOKUP('Données projet'!$B$16,Paramètres!$A$1:$I$89,3,0)*0.475*44/12</f>
        <v>4.2182626183222718E-14</v>
      </c>
      <c r="FT128" s="22">
        <f t="shared" si="78"/>
        <v>0.65379597112235666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5.6843418860808015E-14</v>
      </c>
      <c r="GA128" s="17">
        <f>FZ128*VLOOKUP('Données projet'!$B$17,Paramètres!$A$1:$I$89,3,0)*VLOOKUP('Données projet'!$B$17,Paramètres!$A$1:$I$89,5,0)</f>
        <v>4.5224624045658861E-14</v>
      </c>
      <c r="GB128" s="13">
        <f t="shared" si="103"/>
        <v>7.4514601661523691E-13</v>
      </c>
      <c r="GC128" s="20">
        <f t="shared" si="79"/>
        <v>1.3765621991510601E-12</v>
      </c>
      <c r="GD128" s="59">
        <f t="shared" si="80"/>
        <v>293.33333333333468</v>
      </c>
      <c r="GE128" s="59">
        <f ca="1">AVERAGE(OFFSET($GD$3,0,0,'Données projet'!$E$17+1,1))-AVERAGE(OFFSET($H$3,0,0,'Données projet'!$E$17+1,1))</f>
        <v>199.58763537752952</v>
      </c>
      <c r="GF128" s="59">
        <f t="shared" si="104"/>
        <v>242.62852778451929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0.73825238468041154</v>
      </c>
      <c r="GN128" s="21">
        <f>EXP(-LN(2)/2)*GN127+(1-EXP(-LN(2)/2))/(LN(2)/2)*GH128*GK128*VLOOKUP('Données projet'!$B$17,Paramètres!$A$1:$I$89,3,0)*0.475*44/12</f>
        <v>5.4069253366016483E-14</v>
      </c>
      <c r="GO128" s="21">
        <f t="shared" si="81"/>
        <v>0.73825238468046561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5.2446581196581219</v>
      </c>
      <c r="N129" s="13">
        <f>IF('Données projet'!$A$36&gt;35,N128+M129-V128,IF(A129&lt;'Données projet'!$A$36,$K$205^A129,IF(A129='Données projet'!$A$36,'Données projet'!$B$36,N128+M129-V128)))</f>
        <v>235.37927350427304</v>
      </c>
      <c r="O129" s="13">
        <f>N129*VLOOKUP('Données projet'!$B$9,Paramètres!$A$1:$I$89,3,0)*VLOOKUP('Données projet'!$B$9,Paramètres!$A$1:$I$89,5,0)</f>
        <v>212.97116666666628</v>
      </c>
      <c r="P129" s="13">
        <f t="shared" si="87"/>
        <v>52.584328525271125</v>
      </c>
      <c r="Q129" s="20">
        <f t="shared" si="107"/>
        <v>462.50915412595759</v>
      </c>
      <c r="R129" s="59">
        <f t="shared" si="55"/>
        <v>755.84248745929085</v>
      </c>
      <c r="S129" s="59">
        <f ca="1">AVERAGE(OFFSET($R$3,0,0,'Données projet'!$E$9+1,1))-AVERAGE(OFFSET($H$3,0,0,'Données projet'!$E$9+1,1))</f>
        <v>153.45079678708987</v>
      </c>
      <c r="T129" s="59">
        <f t="shared" si="88"/>
        <v>115.4217868409637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238.67458333333289</v>
      </c>
      <c r="AK129" s="13">
        <f t="shared" si="89"/>
        <v>58.154268783384175</v>
      </c>
      <c r="AL129" s="20">
        <f t="shared" si="58"/>
        <v>516.97691743661551</v>
      </c>
      <c r="AM129" s="59">
        <f t="shared" si="59"/>
        <v>810.31025076994888</v>
      </c>
      <c r="AN129" s="59">
        <f ca="1">AVERAGE(OFFSET($AM$3,0,0,'Données projet'!$E$10+1,1))-AVERAGE(OFFSET($H$3,0,0,'Données projet'!$E$10+1,1))</f>
        <v>190.21499310415584</v>
      </c>
      <c r="AO129" s="59">
        <f t="shared" si="90"/>
        <v>136.15730566500173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497</v>
      </c>
      <c r="BE129" s="13">
        <f>BD129*VLOOKUP('Données projet'!$B$11,Paramètres!$A$1:$I$89,3,0)*VLOOKUP('Données projet'!$B$11,Paramètres!$A$1:$I$89,5,0)</f>
        <v>297.20600000000002</v>
      </c>
      <c r="BF129" s="13">
        <f t="shared" si="91"/>
        <v>70.590415164571112</v>
      </c>
      <c r="BG129" s="20">
        <f t="shared" si="61"/>
        <v>640.57875641162809</v>
      </c>
      <c r="BH129" s="59">
        <f t="shared" si="62"/>
        <v>933.91208974496135</v>
      </c>
      <c r="BI129" s="59">
        <f ca="1">AVERAGE(OFFSET($BH$3,0,0,'Données projet'!$E$11+1,1))-AVERAGE(OFFSET($H$3,0,0,'Données projet'!$E$11+1,1))</f>
        <v>270.30888762640245</v>
      </c>
      <c r="BJ129" s="59">
        <f t="shared" si="92"/>
        <v>202.23783851977691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0.31997130366714416</v>
      </c>
      <c r="BQ129" s="21">
        <f>EXP(-LN(2)/25)*BQ128+(1-EXP(-LN(2)/25))/(LN(2)/25)*Calculateur!BL129*Calculateur!BN129*VLOOKUP('Données projet'!$B$11,Paramètres!$A$1:$I$89,3,0)*0.475*44/12</f>
        <v>0.85857987192281482</v>
      </c>
      <c r="BR129" s="21">
        <f>EXP(-LN(2)/2)*BR128+(1-EXP(-LN(2)/2))/(LN(2)/2)*BL129*BO129*VLOOKUP('Données projet'!$B$11,Paramètres!$A$1:$I$89,3,0)*0.475*44/12</f>
        <v>6.5698943481829218E-14</v>
      </c>
      <c r="BS129" s="22">
        <f t="shared" si="63"/>
        <v>1.1785511755900246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497</v>
      </c>
      <c r="BZ129" s="13">
        <f>BY129*VLOOKUP('Données projet'!$B$12,Paramètres!$A$1:$I$89,3,0)*VLOOKUP('Données projet'!$B$12,Paramètres!$A$1:$I$89,5,0)</f>
        <v>297.20600000000002</v>
      </c>
      <c r="CA129" s="13">
        <f t="shared" si="93"/>
        <v>70.590415164571112</v>
      </c>
      <c r="CB129" s="20">
        <f t="shared" si="64"/>
        <v>640.57875641162809</v>
      </c>
      <c r="CC129" s="59">
        <f t="shared" si="65"/>
        <v>933.91208974496135</v>
      </c>
      <c r="CD129" s="59">
        <f ca="1">AVERAGE(OFFSET($CC$3,0,0,'Données projet'!$E$12+1,1))-AVERAGE(OFFSET($H$3,0,0,'Données projet'!$E$12+1,1))</f>
        <v>270.30888762640245</v>
      </c>
      <c r="CE129" s="59">
        <f t="shared" si="94"/>
        <v>202.23783851977691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0.31997130366714416</v>
      </c>
      <c r="CL129" s="21">
        <f>EXP(-LN(2)/25)*CL128+(1-EXP(-LN(2)/25))/(LN(2)/25)*Calculateur!CG129*Calculateur!CI129*VLOOKUP('Données projet'!$B$12,Paramètres!$A$1:$I$89,3,0)*0.475*44/12</f>
        <v>0.85857987192281482</v>
      </c>
      <c r="CM129" s="21">
        <f>EXP(-LN(2)/2)*CM128+(1-EXP(-LN(2)/2))/(LN(2)/2)*CG129*CJ129*VLOOKUP('Données projet'!$B$12,Paramètres!$A$1:$I$89,3,0)*0.475*44/12</f>
        <v>6.5698943481829218E-14</v>
      </c>
      <c r="CN129" s="22">
        <f t="shared" si="66"/>
        <v>1.1785511755900246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3.4106051316484809E-13</v>
      </c>
      <c r="CU129" s="17">
        <f>CT129*VLOOKUP('Données projet'!$B$13,Paramètres!$A$1:$I$89,3,0)*VLOOKUP('Données projet'!$B$13,Paramètres!$A$1:$I$89,5,0)</f>
        <v>1.5961632016114892E-13</v>
      </c>
      <c r="CV129" s="13">
        <f t="shared" si="95"/>
        <v>2.2708641912150958E-12</v>
      </c>
      <c r="CW129" s="20">
        <f t="shared" si="67"/>
        <v>4.2330868906469593E-12</v>
      </c>
      <c r="CX129" s="59">
        <f t="shared" si="68"/>
        <v>293.33333333333752</v>
      </c>
      <c r="CY129" s="59">
        <f ca="1">AVERAGE(OFFSET($CX$3,0,0,'Données projet'!$E$13+1,1))-AVERAGE(OFFSET($H$3,0,0,'Données projet'!$E$13+1,1))</f>
        <v>158.58786357608489</v>
      </c>
      <c r="CZ129" s="59">
        <f t="shared" si="96"/>
        <v>163.20074068819849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3.813056537183002E-14</v>
      </c>
      <c r="DQ129" s="13">
        <f t="shared" si="97"/>
        <v>6.4086286045526829E-13</v>
      </c>
      <c r="DR129" s="20">
        <f t="shared" si="70"/>
        <v>1.1825802166488628E-12</v>
      </c>
      <c r="DS129" s="59">
        <f t="shared" si="71"/>
        <v>293.33333333333451</v>
      </c>
      <c r="DT129" s="59">
        <f ca="1">AVERAGE(OFFSET($DS$3,0,0,'Données projet'!$E$14+1,1))-AVERAGE(OFFSET($H$3,0,0,'Données projet'!$E$14+1,1))</f>
        <v>156.63226020379989</v>
      </c>
      <c r="DU129" s="59">
        <f t="shared" si="98"/>
        <v>196.0481096619543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0.60542721331623095</v>
      </c>
      <c r="EC129" s="21">
        <f>EXP(-LN(2)/2)*EC128+(1-EXP(-LN(2)/2))/(LN(2)/2)*DW129*DZ129*VLOOKUP('Données projet'!$B$14,Paramètres!$A$1:$I$89,3,0)*0.475*44/12</f>
        <v>3.223544383291299E-14</v>
      </c>
      <c r="ED129" s="22">
        <f t="shared" si="72"/>
        <v>0.60542721331626315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5.2446581196581219</v>
      </c>
      <c r="EJ129" s="12">
        <f>IF('Données projet'!$A$192&gt;35,EJ128+EI129-ER128,IF(A129&lt;'Données projet'!$A$192,$EG$205^A129,IF(A129='Données projet'!$A$192,'Données projet'!$B$192,EJ128+EI129-ER128)))</f>
        <v>235.37927350427304</v>
      </c>
      <c r="EK129" s="17">
        <f>EJ129*VLOOKUP('Données projet'!$B$15,Paramètres!$A$1:$I$89,3,0)*VLOOKUP('Données projet'!$B$15,Paramètres!$A$1:$I$89,5,0)</f>
        <v>253.36224999999948</v>
      </c>
      <c r="EL129" s="13">
        <f t="shared" si="99"/>
        <v>61.305355338832562</v>
      </c>
      <c r="EM129" s="20">
        <f t="shared" si="73"/>
        <v>548.04607929846588</v>
      </c>
      <c r="EN129" s="59">
        <f t="shared" si="74"/>
        <v>841.37941263179914</v>
      </c>
      <c r="EO129" s="59">
        <f ca="1">AVERAGE(OFFSET($EN$3,0,0,'Données projet'!$E$15+1,1))-AVERAGE(OFFSET($H$3,0,0,'Données projet'!$E$15+1,1))</f>
        <v>211.18501783767226</v>
      </c>
      <c r="EP129" s="59">
        <f t="shared" si="100"/>
        <v>147.98306963466246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498</v>
      </c>
      <c r="FF129" s="17">
        <f>FE129*VLOOKUP('Données projet'!$B$16,Paramètres!$A$1:$I$89,3,0)*VLOOKUP('Données projet'!$B$16,Paramètres!$A$1:$I$89,5,0)</f>
        <v>297.80400000000003</v>
      </c>
      <c r="FG129" s="13">
        <f t="shared" si="101"/>
        <v>70.715900863123025</v>
      </c>
      <c r="FH129" s="20">
        <f t="shared" si="76"/>
        <v>641.83882733660596</v>
      </c>
      <c r="FI129" s="59">
        <f t="shared" si="77"/>
        <v>935.17216066993933</v>
      </c>
      <c r="FJ129" s="59">
        <f ca="1">AVERAGE(OFFSET($FI$3,0,0,'Données projet'!$E$16+1,1))-AVERAGE(OFFSET($H$3,0,0,'Données projet'!$E$16+1,1))</f>
        <v>232.26937455765062</v>
      </c>
      <c r="FK129" s="59">
        <f t="shared" si="102"/>
        <v>115.80853281120301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0.33063701378938248</v>
      </c>
      <c r="FR129" s="21">
        <f>EXP(-LN(2)/25)*FR128+(1-EXP(-LN(2)/25))/(LN(2)/25)*Calculateur!FM129*Calculateur!FO129*VLOOKUP('Données projet'!$B$16,Paramètres!$A$1:$I$89,3,0)*0.475*44/12</f>
        <v>0.30788972652229368</v>
      </c>
      <c r="FS129" s="21">
        <f>EXP(-LN(2)/2)*FS128+(1-EXP(-LN(2)/2))/(LN(2)/2)*FM129*FP129*VLOOKUP('Données projet'!$B$16,Paramètres!$A$1:$I$89,3,0)*0.475*44/12</f>
        <v>2.9827621022413996E-14</v>
      </c>
      <c r="FT129" s="22">
        <f t="shared" si="78"/>
        <v>0.63852674031170598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5.6843418860808015E-14</v>
      </c>
      <c r="GA129" s="17">
        <f>FZ129*VLOOKUP('Données projet'!$B$17,Paramètres!$A$1:$I$89,3,0)*VLOOKUP('Données projet'!$B$17,Paramètres!$A$1:$I$89,5,0)</f>
        <v>4.5224624045658861E-14</v>
      </c>
      <c r="GB129" s="13">
        <f t="shared" si="103"/>
        <v>7.4514601661523691E-13</v>
      </c>
      <c r="GC129" s="20">
        <f t="shared" si="79"/>
        <v>1.3765621991510601E-12</v>
      </c>
      <c r="GD129" s="59">
        <f t="shared" si="80"/>
        <v>293.33333333333468</v>
      </c>
      <c r="GE129" s="59">
        <f ca="1">AVERAGE(OFFSET($GD$3,0,0,'Données projet'!$E$17+1,1))-AVERAGE(OFFSET($H$3,0,0,'Données projet'!$E$17+1,1))</f>
        <v>199.58763537752952</v>
      </c>
      <c r="GF129" s="59">
        <f t="shared" si="104"/>
        <v>242.62852778451929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0.71806483439832003</v>
      </c>
      <c r="GN129" s="21">
        <f>EXP(-LN(2)/2)*GN128+(1-EXP(-LN(2)/2))/(LN(2)/2)*GH129*GK129*VLOOKUP('Données projet'!$B$17,Paramètres!$A$1:$I$89,3,0)*0.475*44/12</f>
        <v>3.8232735708803815E-14</v>
      </c>
      <c r="GO129" s="21">
        <f t="shared" si="81"/>
        <v>0.71806483439835822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5.2446581196581219</v>
      </c>
      <c r="N130" s="13">
        <f>IF('Données projet'!$A$36&gt;35,N129+M130-V129,IF(A130&lt;'Données projet'!$A$36,$K$205^A130,IF(A130='Données projet'!$A$36,'Données projet'!$B$36,N129+M130-V129)))</f>
        <v>240.62393162393116</v>
      </c>
      <c r="O130" s="13">
        <f>N130*VLOOKUP('Données projet'!$B$9,Paramètres!$A$1:$I$89,3,0)*VLOOKUP('Données projet'!$B$9,Paramètres!$A$1:$I$89,5,0)</f>
        <v>217.7165333333329</v>
      </c>
      <c r="P130" s="13">
        <f t="shared" si="87"/>
        <v>53.618284552972121</v>
      </c>
      <c r="Q130" s="20">
        <f t="shared" si="107"/>
        <v>472.57480781864791</v>
      </c>
      <c r="R130" s="59">
        <f t="shared" si="55"/>
        <v>765.90814115198123</v>
      </c>
      <c r="S130" s="59">
        <f ca="1">AVERAGE(OFFSET($R$3,0,0,'Données projet'!$E$9+1,1))-AVERAGE(OFFSET($H$3,0,0,'Données projet'!$E$9+1,1))</f>
        <v>153.45079678708987</v>
      </c>
      <c r="T130" s="59">
        <f t="shared" si="88"/>
        <v>115.4217868409637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243.9926666666662</v>
      </c>
      <c r="AK130" s="13">
        <f t="shared" si="89"/>
        <v>59.297745526958636</v>
      </c>
      <c r="AL130" s="20">
        <f t="shared" si="58"/>
        <v>528.23080123722991</v>
      </c>
      <c r="AM130" s="59">
        <f t="shared" si="59"/>
        <v>821.56413457056328</v>
      </c>
      <c r="AN130" s="59">
        <f ca="1">AVERAGE(OFFSET($AM$3,0,0,'Données projet'!$E$10+1,1))-AVERAGE(OFFSET($H$3,0,0,'Données projet'!$E$10+1,1))</f>
        <v>190.21499310415584</v>
      </c>
      <c r="AO130" s="59">
        <f t="shared" si="90"/>
        <v>136.15730566500173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497</v>
      </c>
      <c r="BE130" s="13">
        <f>BD130*VLOOKUP('Données projet'!$B$11,Paramètres!$A$1:$I$89,3,0)*VLOOKUP('Données projet'!$B$11,Paramètres!$A$1:$I$89,5,0)</f>
        <v>297.20600000000002</v>
      </c>
      <c r="BF130" s="13">
        <f t="shared" si="91"/>
        <v>70.590415164571112</v>
      </c>
      <c r="BG130" s="20">
        <f t="shared" si="61"/>
        <v>640.57875641162809</v>
      </c>
      <c r="BH130" s="59">
        <f t="shared" si="62"/>
        <v>933.91208974496135</v>
      </c>
      <c r="BI130" s="59">
        <f ca="1">AVERAGE(OFFSET($BH$3,0,0,'Données projet'!$E$11+1,1))-AVERAGE(OFFSET($H$3,0,0,'Données projet'!$E$11+1,1))</f>
        <v>270.30888762640245</v>
      </c>
      <c r="BJ130" s="59">
        <f t="shared" si="92"/>
        <v>202.23783851977691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0.31369686156545595</v>
      </c>
      <c r="BQ130" s="21">
        <f>EXP(-LN(2)/25)*BQ129+(1-EXP(-LN(2)/25))/(LN(2)/25)*Calculateur!BL130*Calculateur!BN130*VLOOKUP('Données projet'!$B$11,Paramètres!$A$1:$I$89,3,0)*0.475*44/12</f>
        <v>0.83510196017433225</v>
      </c>
      <c r="BR130" s="21">
        <f>EXP(-LN(2)/2)*BR129+(1-EXP(-LN(2)/2))/(LN(2)/2)*BL130*BO130*VLOOKUP('Données projet'!$B$11,Paramètres!$A$1:$I$89,3,0)*0.475*44/12</f>
        <v>4.6456168452793166E-14</v>
      </c>
      <c r="BS130" s="22">
        <f t="shared" si="63"/>
        <v>1.1487988217398346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497</v>
      </c>
      <c r="BZ130" s="13">
        <f>BY130*VLOOKUP('Données projet'!$B$12,Paramètres!$A$1:$I$89,3,0)*VLOOKUP('Données projet'!$B$12,Paramètres!$A$1:$I$89,5,0)</f>
        <v>297.20600000000002</v>
      </c>
      <c r="CA130" s="13">
        <f t="shared" si="93"/>
        <v>70.590415164571112</v>
      </c>
      <c r="CB130" s="20">
        <f t="shared" si="64"/>
        <v>640.57875641162809</v>
      </c>
      <c r="CC130" s="59">
        <f t="shared" si="65"/>
        <v>933.91208974496135</v>
      </c>
      <c r="CD130" s="59">
        <f ca="1">AVERAGE(OFFSET($CC$3,0,0,'Données projet'!$E$12+1,1))-AVERAGE(OFFSET($H$3,0,0,'Données projet'!$E$12+1,1))</f>
        <v>270.30888762640245</v>
      </c>
      <c r="CE130" s="59">
        <f t="shared" si="94"/>
        <v>202.23783851977691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0.31369686156545595</v>
      </c>
      <c r="CL130" s="21">
        <f>EXP(-LN(2)/25)*CL129+(1-EXP(-LN(2)/25))/(LN(2)/25)*Calculateur!CG130*Calculateur!CI130*VLOOKUP('Données projet'!$B$12,Paramètres!$A$1:$I$89,3,0)*0.475*44/12</f>
        <v>0.83510196017433225</v>
      </c>
      <c r="CM130" s="21">
        <f>EXP(-LN(2)/2)*CM129+(1-EXP(-LN(2)/2))/(LN(2)/2)*CG130*CJ130*VLOOKUP('Données projet'!$B$12,Paramètres!$A$1:$I$89,3,0)*0.475*44/12</f>
        <v>4.6456168452793166E-14</v>
      </c>
      <c r="CN130" s="22">
        <f t="shared" si="66"/>
        <v>1.1487988217398346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3.4106051316484809E-13</v>
      </c>
      <c r="CU130" s="17">
        <f>CT130*VLOOKUP('Données projet'!$B$13,Paramètres!$A$1:$I$89,3,0)*VLOOKUP('Données projet'!$B$13,Paramètres!$A$1:$I$89,5,0)</f>
        <v>1.5961632016114892E-13</v>
      </c>
      <c r="CV130" s="13">
        <f t="shared" si="95"/>
        <v>2.2708641912150958E-12</v>
      </c>
      <c r="CW130" s="20">
        <f t="shared" si="67"/>
        <v>4.2330868906469593E-12</v>
      </c>
      <c r="CX130" s="59">
        <f t="shared" si="68"/>
        <v>293.33333333333752</v>
      </c>
      <c r="CY130" s="59">
        <f ca="1">AVERAGE(OFFSET($CX$3,0,0,'Données projet'!$E$13+1,1))-AVERAGE(OFFSET($H$3,0,0,'Données projet'!$E$13+1,1))</f>
        <v>158.58786357608489</v>
      </c>
      <c r="CZ130" s="59">
        <f t="shared" si="96"/>
        <v>163.20074068819849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3.813056537183002E-14</v>
      </c>
      <c r="DQ130" s="13">
        <f t="shared" si="97"/>
        <v>6.4086286045526829E-13</v>
      </c>
      <c r="DR130" s="20">
        <f t="shared" si="70"/>
        <v>1.1825802166488628E-12</v>
      </c>
      <c r="DS130" s="59">
        <f t="shared" si="71"/>
        <v>293.33333333333451</v>
      </c>
      <c r="DT130" s="59">
        <f ca="1">AVERAGE(OFFSET($DS$3,0,0,'Données projet'!$E$14+1,1))-AVERAGE(OFFSET($H$3,0,0,'Données projet'!$E$14+1,1))</f>
        <v>156.63226020379989</v>
      </c>
      <c r="DU130" s="59">
        <f t="shared" si="98"/>
        <v>196.0481096619543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0.58887177433006521</v>
      </c>
      <c r="EC130" s="21">
        <f>EXP(-LN(2)/2)*EC129+(1-EXP(-LN(2)/2))/(LN(2)/2)*DW130*DZ130*VLOOKUP('Données projet'!$B$14,Paramètres!$A$1:$I$89,3,0)*0.475*44/12</f>
        <v>2.2793900928810849E-14</v>
      </c>
      <c r="ED130" s="22">
        <f t="shared" si="72"/>
        <v>0.58887177433008797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5.2446581196581219</v>
      </c>
      <c r="EJ130" s="12">
        <f>IF('Données projet'!$A$192&gt;35,EJ129+EI130-ER129,IF(A130&lt;'Données projet'!$A$192,$EG$205^A130,IF(A130='Données projet'!$A$192,'Données projet'!$B$192,EJ129+EI130-ER129)))</f>
        <v>240.62393162393116</v>
      </c>
      <c r="EK130" s="17">
        <f>EJ130*VLOOKUP('Données projet'!$B$15,Paramètres!$A$1:$I$89,3,0)*VLOOKUP('Données projet'!$B$15,Paramètres!$A$1:$I$89,5,0)</f>
        <v>259.00759999999946</v>
      </c>
      <c r="EL130" s="13">
        <f t="shared" si="99"/>
        <v>62.510791320628492</v>
      </c>
      <c r="EM130" s="20">
        <f t="shared" si="73"/>
        <v>559.97786488342695</v>
      </c>
      <c r="EN130" s="59">
        <f t="shared" si="74"/>
        <v>853.3111982167602</v>
      </c>
      <c r="EO130" s="59">
        <f ca="1">AVERAGE(OFFSET($EN$3,0,0,'Données projet'!$E$15+1,1))-AVERAGE(OFFSET($H$3,0,0,'Données projet'!$E$15+1,1))</f>
        <v>211.18501783767226</v>
      </c>
      <c r="EP130" s="59">
        <f t="shared" si="100"/>
        <v>147.98306963466246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498</v>
      </c>
      <c r="FF130" s="17">
        <f>FE130*VLOOKUP('Données projet'!$B$16,Paramètres!$A$1:$I$89,3,0)*VLOOKUP('Données projet'!$B$16,Paramètres!$A$1:$I$89,5,0)</f>
        <v>297.80400000000003</v>
      </c>
      <c r="FG130" s="13">
        <f t="shared" si="101"/>
        <v>70.715900863123025</v>
      </c>
      <c r="FH130" s="20">
        <f t="shared" si="76"/>
        <v>641.83882733660596</v>
      </c>
      <c r="FI130" s="59">
        <f t="shared" si="77"/>
        <v>935.17216066993933</v>
      </c>
      <c r="FJ130" s="59">
        <f ca="1">AVERAGE(OFFSET($FI$3,0,0,'Données projet'!$E$16+1,1))-AVERAGE(OFFSET($H$3,0,0,'Données projet'!$E$16+1,1))</f>
        <v>232.26937455765062</v>
      </c>
      <c r="FK130" s="59">
        <f t="shared" si="102"/>
        <v>115.80853281120301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0.32415342361763799</v>
      </c>
      <c r="FR130" s="21">
        <f>EXP(-LN(2)/25)*FR129+(1-EXP(-LN(2)/25))/(LN(2)/25)*Calculateur!FM130*Calculateur!FO130*VLOOKUP('Données projet'!$B$16,Paramètres!$A$1:$I$89,3,0)*0.475*44/12</f>
        <v>0.29947046575932451</v>
      </c>
      <c r="FS130" s="21">
        <f>EXP(-LN(2)/2)*FS129+(1-EXP(-LN(2)/2))/(LN(2)/2)*FM130*FP130*VLOOKUP('Données projet'!$B$16,Paramètres!$A$1:$I$89,3,0)*0.475*44/12</f>
        <v>2.1091313091611359E-14</v>
      </c>
      <c r="FT130" s="22">
        <f t="shared" si="78"/>
        <v>0.62362388937698365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5.6843418860808015E-14</v>
      </c>
      <c r="GA130" s="17">
        <f>FZ130*VLOOKUP('Données projet'!$B$17,Paramètres!$A$1:$I$89,3,0)*VLOOKUP('Données projet'!$B$17,Paramètres!$A$1:$I$89,5,0)</f>
        <v>4.5224624045658861E-14</v>
      </c>
      <c r="GB130" s="13">
        <f t="shared" si="103"/>
        <v>7.4514601661523691E-13</v>
      </c>
      <c r="GC130" s="20">
        <f t="shared" si="79"/>
        <v>1.3765621991510601E-12</v>
      </c>
      <c r="GD130" s="59">
        <f t="shared" si="80"/>
        <v>293.33333333333468</v>
      </c>
      <c r="GE130" s="59">
        <f ca="1">AVERAGE(OFFSET($GD$3,0,0,'Données projet'!$E$17+1,1))-AVERAGE(OFFSET($H$3,0,0,'Données projet'!$E$17+1,1))</f>
        <v>199.58763537752952</v>
      </c>
      <c r="GF130" s="59">
        <f t="shared" si="104"/>
        <v>242.62852778451929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0.69842931374030948</v>
      </c>
      <c r="GN130" s="21">
        <f>EXP(-LN(2)/2)*GN129+(1-EXP(-LN(2)/2))/(LN(2)/2)*GH130*GK130*VLOOKUP('Données projet'!$B$17,Paramètres!$A$1:$I$89,3,0)*0.475*44/12</f>
        <v>2.7034626683008242E-14</v>
      </c>
      <c r="GO130" s="21">
        <f t="shared" si="81"/>
        <v>0.69842931374033657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5.2446581196581219</v>
      </c>
      <c r="N131" s="13">
        <f>IF('Données projet'!$A$36&gt;35,N130+M131-V130,IF(A131&lt;'Données projet'!$A$36,$K$205^A131,IF(A131='Données projet'!$A$36,'Données projet'!$B$36,N130+M131-V130)))</f>
        <v>245.86858974358927</v>
      </c>
      <c r="O131" s="13">
        <f>N131*VLOOKUP('Données projet'!$B$9,Paramètres!$A$1:$I$89,3,0)*VLOOKUP('Données projet'!$B$9,Paramètres!$A$1:$I$89,5,0)</f>
        <v>222.46189999999956</v>
      </c>
      <c r="P131" s="13">
        <f t="shared" si="87"/>
        <v>54.649620474067063</v>
      </c>
      <c r="Q131" s="20">
        <f t="shared" ref="Q131:Q153" si="108">(O131+P131)*0.475*44/12</f>
        <v>482.6358981589994</v>
      </c>
      <c r="R131" s="59">
        <f t="shared" ref="R131:R194" si="109">Q131+(I131+J131)*44/12</f>
        <v>775.96923149233271</v>
      </c>
      <c r="S131" s="59">
        <f ca="1">AVERAGE(OFFSET($R$3,0,0,'Données projet'!$E$9+1,1))-AVERAGE(OFFSET($H$3,0,0,'Données projet'!$E$9+1,1))</f>
        <v>153.45079678708987</v>
      </c>
      <c r="T131" s="59">
        <f t="shared" si="88"/>
        <v>115.4217868409637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249.31074999999953</v>
      </c>
      <c r="AK131" s="13">
        <f t="shared" si="89"/>
        <v>60.438324631862308</v>
      </c>
      <c r="AL131" s="20">
        <f t="shared" si="58"/>
        <v>539.47963831715936</v>
      </c>
      <c r="AM131" s="59">
        <f t="shared" si="59"/>
        <v>832.81297165049273</v>
      </c>
      <c r="AN131" s="59">
        <f ca="1">AVERAGE(OFFSET($AM$3,0,0,'Données projet'!$E$10+1,1))-AVERAGE(OFFSET($H$3,0,0,'Données projet'!$E$10+1,1))</f>
        <v>190.21499310415584</v>
      </c>
      <c r="AO131" s="59">
        <f t="shared" si="90"/>
        <v>136.15730566500173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497</v>
      </c>
      <c r="BE131" s="13">
        <f>BD131*VLOOKUP('Données projet'!$B$11,Paramètres!$A$1:$I$89,3,0)*VLOOKUP('Données projet'!$B$11,Paramètres!$A$1:$I$89,5,0)</f>
        <v>297.20600000000002</v>
      </c>
      <c r="BF131" s="13">
        <f t="shared" si="91"/>
        <v>70.590415164571112</v>
      </c>
      <c r="BG131" s="20">
        <f t="shared" si="61"/>
        <v>640.57875641162809</v>
      </c>
      <c r="BH131" s="59">
        <f t="shared" si="62"/>
        <v>933.91208974496135</v>
      </c>
      <c r="BI131" s="59">
        <f ca="1">AVERAGE(OFFSET($BH$3,0,0,'Données projet'!$E$11+1,1))-AVERAGE(OFFSET($H$3,0,0,'Données projet'!$E$11+1,1))</f>
        <v>270.30888762640245</v>
      </c>
      <c r="BJ131" s="59">
        <f t="shared" si="92"/>
        <v>202.23783851977691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0.30754545744635003</v>
      </c>
      <c r="BQ131" s="21">
        <f>EXP(-LN(2)/25)*BQ130+(1-EXP(-LN(2)/25))/(LN(2)/25)*Calculateur!BL131*Calculateur!BN131*VLOOKUP('Données projet'!$B$11,Paramètres!$A$1:$I$89,3,0)*0.475*44/12</f>
        <v>0.81226605315726175</v>
      </c>
      <c r="BR131" s="21">
        <f>EXP(-LN(2)/2)*BR130+(1-EXP(-LN(2)/2))/(LN(2)/2)*BL131*BO131*VLOOKUP('Données projet'!$B$11,Paramètres!$A$1:$I$89,3,0)*0.475*44/12</f>
        <v>3.2849471740914609E-14</v>
      </c>
      <c r="BS131" s="22">
        <f t="shared" si="63"/>
        <v>1.1198115106036446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497</v>
      </c>
      <c r="BZ131" s="13">
        <f>BY131*VLOOKUP('Données projet'!$B$12,Paramètres!$A$1:$I$89,3,0)*VLOOKUP('Données projet'!$B$12,Paramètres!$A$1:$I$89,5,0)</f>
        <v>297.20600000000002</v>
      </c>
      <c r="CA131" s="13">
        <f t="shared" si="93"/>
        <v>70.590415164571112</v>
      </c>
      <c r="CB131" s="20">
        <f t="shared" si="64"/>
        <v>640.57875641162809</v>
      </c>
      <c r="CC131" s="59">
        <f t="shared" si="65"/>
        <v>933.91208974496135</v>
      </c>
      <c r="CD131" s="59">
        <f ca="1">AVERAGE(OFFSET($CC$3,0,0,'Données projet'!$E$12+1,1))-AVERAGE(OFFSET($H$3,0,0,'Données projet'!$E$12+1,1))</f>
        <v>270.30888762640245</v>
      </c>
      <c r="CE131" s="59">
        <f t="shared" si="94"/>
        <v>202.23783851977691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0.30754545744635003</v>
      </c>
      <c r="CL131" s="21">
        <f>EXP(-LN(2)/25)*CL130+(1-EXP(-LN(2)/25))/(LN(2)/25)*Calculateur!CG131*Calculateur!CI131*VLOOKUP('Données projet'!$B$12,Paramètres!$A$1:$I$89,3,0)*0.475*44/12</f>
        <v>0.81226605315726175</v>
      </c>
      <c r="CM131" s="21">
        <f>EXP(-LN(2)/2)*CM130+(1-EXP(-LN(2)/2))/(LN(2)/2)*CG131*CJ131*VLOOKUP('Données projet'!$B$12,Paramètres!$A$1:$I$89,3,0)*0.475*44/12</f>
        <v>3.2849471740914609E-14</v>
      </c>
      <c r="CN131" s="22">
        <f t="shared" si="66"/>
        <v>1.1198115106036446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3.4106051316484809E-13</v>
      </c>
      <c r="CU131" s="17">
        <f>CT131*VLOOKUP('Données projet'!$B$13,Paramètres!$A$1:$I$89,3,0)*VLOOKUP('Données projet'!$B$13,Paramètres!$A$1:$I$89,5,0)</f>
        <v>1.5961632016114892E-13</v>
      </c>
      <c r="CV131" s="13">
        <f t="shared" si="95"/>
        <v>2.2708641912150958E-12</v>
      </c>
      <c r="CW131" s="20">
        <f t="shared" si="67"/>
        <v>4.2330868906469593E-12</v>
      </c>
      <c r="CX131" s="59">
        <f t="shared" si="68"/>
        <v>293.33333333333752</v>
      </c>
      <c r="CY131" s="59">
        <f ca="1">AVERAGE(OFFSET($CX$3,0,0,'Données projet'!$E$13+1,1))-AVERAGE(OFFSET($H$3,0,0,'Données projet'!$E$13+1,1))</f>
        <v>158.58786357608489</v>
      </c>
      <c r="CZ131" s="59">
        <f t="shared" si="96"/>
        <v>163.20074068819849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3.813056537183002E-14</v>
      </c>
      <c r="DQ131" s="13">
        <f t="shared" si="97"/>
        <v>6.4086286045526829E-13</v>
      </c>
      <c r="DR131" s="20">
        <f t="shared" si="70"/>
        <v>1.1825802166488628E-12</v>
      </c>
      <c r="DS131" s="59">
        <f t="shared" si="71"/>
        <v>293.33333333333451</v>
      </c>
      <c r="DT131" s="59">
        <f ca="1">AVERAGE(OFFSET($DS$3,0,0,'Données projet'!$E$14+1,1))-AVERAGE(OFFSET($H$3,0,0,'Données projet'!$E$14+1,1))</f>
        <v>156.63226020379989</v>
      </c>
      <c r="DU131" s="59">
        <f t="shared" si="98"/>
        <v>196.0481096619543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0.5727690446935888</v>
      </c>
      <c r="EC131" s="21">
        <f>EXP(-LN(2)/2)*EC130+(1-EXP(-LN(2)/2))/(LN(2)/2)*DW131*DZ131*VLOOKUP('Données projet'!$B$14,Paramètres!$A$1:$I$89,3,0)*0.475*44/12</f>
        <v>1.6117721916456495E-14</v>
      </c>
      <c r="ED131" s="22">
        <f t="shared" si="72"/>
        <v>0.5727690446936049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5.2446581196581219</v>
      </c>
      <c r="EJ131" s="12">
        <f>IF('Données projet'!$A$192&gt;35,EJ130+EI131-ER130,IF(A131&lt;'Données projet'!$A$192,$EG$205^A131,IF(A131='Données projet'!$A$192,'Données projet'!$B$192,EJ130+EI131-ER130)))</f>
        <v>245.86858974358927</v>
      </c>
      <c r="EK131" s="17">
        <f>EJ131*VLOOKUP('Données projet'!$B$15,Paramètres!$A$1:$I$89,3,0)*VLOOKUP('Données projet'!$B$15,Paramètres!$A$1:$I$89,5,0)</f>
        <v>264.65294999999946</v>
      </c>
      <c r="EL131" s="13">
        <f t="shared" si="99"/>
        <v>63.713172655326758</v>
      </c>
      <c r="EM131" s="20">
        <f t="shared" si="73"/>
        <v>571.90433029135977</v>
      </c>
      <c r="EN131" s="59">
        <f t="shared" si="74"/>
        <v>865.23766362469314</v>
      </c>
      <c r="EO131" s="59">
        <f ca="1">AVERAGE(OFFSET($EN$3,0,0,'Données projet'!$E$15+1,1))-AVERAGE(OFFSET($H$3,0,0,'Données projet'!$E$15+1,1))</f>
        <v>211.18501783767226</v>
      </c>
      <c r="EP131" s="59">
        <f t="shared" si="100"/>
        <v>147.98306963466246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498</v>
      </c>
      <c r="FF131" s="17">
        <f>FE131*VLOOKUP('Données projet'!$B$16,Paramètres!$A$1:$I$89,3,0)*VLOOKUP('Données projet'!$B$16,Paramètres!$A$1:$I$89,5,0)</f>
        <v>297.80400000000003</v>
      </c>
      <c r="FG131" s="13">
        <f t="shared" si="101"/>
        <v>70.715900863123025</v>
      </c>
      <c r="FH131" s="20">
        <f t="shared" si="76"/>
        <v>641.83882733660596</v>
      </c>
      <c r="FI131" s="59">
        <f t="shared" si="77"/>
        <v>935.17216066993933</v>
      </c>
      <c r="FJ131" s="59">
        <f ca="1">AVERAGE(OFFSET($FI$3,0,0,'Données projet'!$E$16+1,1))-AVERAGE(OFFSET($H$3,0,0,'Données projet'!$E$16+1,1))</f>
        <v>232.26937455765062</v>
      </c>
      <c r="FK131" s="59">
        <f t="shared" si="102"/>
        <v>115.80853281120301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0.31779697269456186</v>
      </c>
      <c r="FR131" s="21">
        <f>EXP(-LN(2)/25)*FR130+(1-EXP(-LN(2)/25))/(LN(2)/25)*Calculateur!FM131*Calculateur!FO131*VLOOKUP('Données projet'!$B$16,Paramètres!$A$1:$I$89,3,0)*0.475*44/12</f>
        <v>0.29128143012466845</v>
      </c>
      <c r="FS131" s="21">
        <f>EXP(-LN(2)/2)*FS130+(1-EXP(-LN(2)/2))/(LN(2)/2)*FM131*FP131*VLOOKUP('Données projet'!$B$16,Paramètres!$A$1:$I$89,3,0)*0.475*44/12</f>
        <v>1.4913810511206998E-14</v>
      </c>
      <c r="FT131" s="22">
        <f t="shared" si="78"/>
        <v>0.60907840281924519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5.6843418860808015E-14</v>
      </c>
      <c r="GA131" s="17">
        <f>FZ131*VLOOKUP('Données projet'!$B$17,Paramètres!$A$1:$I$89,3,0)*VLOOKUP('Données projet'!$B$17,Paramètres!$A$1:$I$89,5,0)</f>
        <v>4.5224624045658861E-14</v>
      </c>
      <c r="GB131" s="13">
        <f t="shared" si="103"/>
        <v>7.4514601661523691E-13</v>
      </c>
      <c r="GC131" s="20">
        <f t="shared" si="79"/>
        <v>1.3765621991510601E-12</v>
      </c>
      <c r="GD131" s="59">
        <f t="shared" si="80"/>
        <v>293.33333333333468</v>
      </c>
      <c r="GE131" s="59">
        <f ca="1">AVERAGE(OFFSET($GD$3,0,0,'Données projet'!$E$17+1,1))-AVERAGE(OFFSET($H$3,0,0,'Données projet'!$E$17+1,1))</f>
        <v>199.58763537752952</v>
      </c>
      <c r="GF131" s="59">
        <f t="shared" si="104"/>
        <v>242.62852778451929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0.6793307274272794</v>
      </c>
      <c r="GN131" s="21">
        <f>EXP(-LN(2)/2)*GN130+(1-EXP(-LN(2)/2))/(LN(2)/2)*GH131*GK131*VLOOKUP('Données projet'!$B$17,Paramètres!$A$1:$I$89,3,0)*0.475*44/12</f>
        <v>1.9116367854401908E-14</v>
      </c>
      <c r="GO131" s="21">
        <f t="shared" si="81"/>
        <v>0.6793307274272985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5.2446581196581219</v>
      </c>
      <c r="N132" s="13">
        <f>IF('Données projet'!$A$36&gt;35,N131+M132-V131,IF(A132&lt;'Données projet'!$A$36,$K$205^A132,IF(A132='Données projet'!$A$36,'Données projet'!$B$36,N131+M132-V131)))</f>
        <v>251.11324786324738</v>
      </c>
      <c r="O132" s="13">
        <f>N132*VLOOKUP('Données projet'!$B$9,Paramètres!$A$1:$I$89,3,0)*VLOOKUP('Données projet'!$B$9,Paramètres!$A$1:$I$89,5,0)</f>
        <v>227.20726666666624</v>
      </c>
      <c r="P132" s="13">
        <f t="shared" si="87"/>
        <v>55.678398616153615</v>
      </c>
      <c r="Q132" s="20">
        <f t="shared" si="108"/>
        <v>492.69253370091127</v>
      </c>
      <c r="R132" s="59">
        <f t="shared" si="109"/>
        <v>786.02586703424458</v>
      </c>
      <c r="S132" s="59">
        <f ca="1">AVERAGE(OFFSET($R$3,0,0,'Données projet'!$E$9+1,1))-AVERAGE(OFFSET($H$3,0,0,'Données projet'!$E$9+1,1))</f>
        <v>153.45079678708987</v>
      </c>
      <c r="T132" s="59">
        <f t="shared" si="88"/>
        <v>115.4217868409637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254.62883333333286</v>
      </c>
      <c r="AK132" s="13">
        <f t="shared" si="89"/>
        <v>61.576075027678748</v>
      </c>
      <c r="AL132" s="20">
        <f t="shared" ref="AL132:AL153" si="112">(AJ132+AK132)*0.475*44/12</f>
        <v>550.7235487287619</v>
      </c>
      <c r="AM132" s="59">
        <f t="shared" ref="AM132:AM195" si="113">AL132+(AD132+AE132)*44/12</f>
        <v>844.05688206209516</v>
      </c>
      <c r="AN132" s="59">
        <f ca="1">AVERAGE(OFFSET($AM$3,0,0,'Données projet'!$E$10+1,1))-AVERAGE(OFFSET($H$3,0,0,'Données projet'!$E$10+1,1))</f>
        <v>190.21499310415584</v>
      </c>
      <c r="AO132" s="59">
        <f t="shared" si="90"/>
        <v>136.15730566500173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497</v>
      </c>
      <c r="BE132" s="13">
        <f>BD132*VLOOKUP('Données projet'!$B$11,Paramètres!$A$1:$I$89,3,0)*VLOOKUP('Données projet'!$B$11,Paramètres!$A$1:$I$89,5,0)</f>
        <v>297.20600000000002</v>
      </c>
      <c r="BF132" s="13">
        <f t="shared" si="91"/>
        <v>70.590415164571112</v>
      </c>
      <c r="BG132" s="20">
        <f t="shared" ref="BG132:BG153" si="115">(BE132+BF132)*0.475*44/12</f>
        <v>640.57875641162809</v>
      </c>
      <c r="BH132" s="59">
        <f t="shared" ref="BH132:BH195" si="116">BG132+(AY132+AZ132)*44/12</f>
        <v>933.91208974496135</v>
      </c>
      <c r="BI132" s="59">
        <f ca="1">AVERAGE(OFFSET($BH$3,0,0,'Données projet'!$E$11+1,1))-AVERAGE(OFFSET($H$3,0,0,'Données projet'!$E$11+1,1))</f>
        <v>270.30888762640245</v>
      </c>
      <c r="BJ132" s="59">
        <f t="shared" si="92"/>
        <v>202.23783851977691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0.30151467861003373</v>
      </c>
      <c r="BQ132" s="21">
        <f>EXP(-LN(2)/25)*BQ131+(1-EXP(-LN(2)/25))/(LN(2)/25)*Calculateur!BL132*Calculateur!BN132*VLOOKUP('Données projet'!$B$11,Paramètres!$A$1:$I$89,3,0)*0.475*44/12</f>
        <v>0.79005459521846111</v>
      </c>
      <c r="BR132" s="21">
        <f>EXP(-LN(2)/2)*BR131+(1-EXP(-LN(2)/2))/(LN(2)/2)*BL132*BO132*VLOOKUP('Données projet'!$B$11,Paramètres!$A$1:$I$89,3,0)*0.475*44/12</f>
        <v>2.3228084226396583E-14</v>
      </c>
      <c r="BS132" s="22">
        <f t="shared" ref="BS132:BS153" si="117">SUM(BP132:BR132)</f>
        <v>1.0915692738285181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497</v>
      </c>
      <c r="BZ132" s="13">
        <f>BY132*VLOOKUP('Données projet'!$B$12,Paramètres!$A$1:$I$89,3,0)*VLOOKUP('Données projet'!$B$12,Paramètres!$A$1:$I$89,5,0)</f>
        <v>297.20600000000002</v>
      </c>
      <c r="CA132" s="13">
        <f t="shared" si="93"/>
        <v>70.590415164571112</v>
      </c>
      <c r="CB132" s="20">
        <f t="shared" ref="CB132:CB153" si="118">(BZ132+CA132)*0.475*44/12</f>
        <v>640.57875641162809</v>
      </c>
      <c r="CC132" s="59">
        <f t="shared" ref="CC132:CC195" si="119">CB132+(BT132+BU132)*44/12</f>
        <v>933.91208974496135</v>
      </c>
      <c r="CD132" s="59">
        <f ca="1">AVERAGE(OFFSET($CC$3,0,0,'Données projet'!$E$12+1,1))-AVERAGE(OFFSET($H$3,0,0,'Données projet'!$E$12+1,1))</f>
        <v>270.30888762640245</v>
      </c>
      <c r="CE132" s="59">
        <f t="shared" si="94"/>
        <v>202.23783851977691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0.30151467861003373</v>
      </c>
      <c r="CL132" s="21">
        <f>EXP(-LN(2)/25)*CL131+(1-EXP(-LN(2)/25))/(LN(2)/25)*Calculateur!CG132*Calculateur!CI132*VLOOKUP('Données projet'!$B$12,Paramètres!$A$1:$I$89,3,0)*0.475*44/12</f>
        <v>0.79005459521846111</v>
      </c>
      <c r="CM132" s="21">
        <f>EXP(-LN(2)/2)*CM131+(1-EXP(-LN(2)/2))/(LN(2)/2)*CG132*CJ132*VLOOKUP('Données projet'!$B$12,Paramètres!$A$1:$I$89,3,0)*0.475*44/12</f>
        <v>2.3228084226396583E-14</v>
      </c>
      <c r="CN132" s="22">
        <f t="shared" ref="CN132:CN153" si="120">SUM(CK132:CM132)</f>
        <v>1.0915692738285181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3.4106051316484809E-13</v>
      </c>
      <c r="CU132" s="17">
        <f>CT132*VLOOKUP('Données projet'!$B$13,Paramètres!$A$1:$I$89,3,0)*VLOOKUP('Données projet'!$B$13,Paramètres!$A$1:$I$89,5,0)</f>
        <v>1.5961632016114892E-13</v>
      </c>
      <c r="CV132" s="13">
        <f t="shared" si="95"/>
        <v>2.2708641912150958E-12</v>
      </c>
      <c r="CW132" s="20">
        <f t="shared" ref="CW132:CW153" si="121">(CU132+CV132)*0.475*44/12</f>
        <v>4.2330868906469593E-12</v>
      </c>
      <c r="CX132" s="59">
        <f t="shared" ref="CX132:CX195" si="122">CW132+(CO132+CP132)*44/12</f>
        <v>293.33333333333752</v>
      </c>
      <c r="CY132" s="59">
        <f ca="1">AVERAGE(OFFSET($CX$3,0,0,'Données projet'!$E$13+1,1))-AVERAGE(OFFSET($H$3,0,0,'Données projet'!$E$13+1,1))</f>
        <v>158.58786357608489</v>
      </c>
      <c r="CZ132" s="59">
        <f t="shared" si="96"/>
        <v>163.20074068819849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3.813056537183002E-14</v>
      </c>
      <c r="DQ132" s="13">
        <f t="shared" si="97"/>
        <v>6.4086286045526829E-13</v>
      </c>
      <c r="DR132" s="20">
        <f t="shared" ref="DR132:DR153" si="124">(DP132+DQ132)*0.475*44/12</f>
        <v>1.1825802166488628E-12</v>
      </c>
      <c r="DS132" s="59">
        <f t="shared" ref="DS132:DS195" si="125">DR132+(DJ132+DK132)*44/12</f>
        <v>293.33333333333451</v>
      </c>
      <c r="DT132" s="59">
        <f ca="1">AVERAGE(OFFSET($DS$3,0,0,'Données projet'!$E$14+1,1))-AVERAGE(OFFSET($H$3,0,0,'Données projet'!$E$14+1,1))</f>
        <v>156.63226020379989</v>
      </c>
      <c r="DU132" s="59">
        <f t="shared" si="98"/>
        <v>196.0481096619543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0.55710664504582763</v>
      </c>
      <c r="EC132" s="21">
        <f>EXP(-LN(2)/2)*EC131+(1-EXP(-LN(2)/2))/(LN(2)/2)*DW132*DZ132*VLOOKUP('Données projet'!$B$14,Paramètres!$A$1:$I$89,3,0)*0.475*44/12</f>
        <v>1.1396950464405424E-14</v>
      </c>
      <c r="ED132" s="22">
        <f t="shared" ref="ED132:ED153" si="126">SUM(EA132:EC132)</f>
        <v>0.55710664504583907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5.2446581196581219</v>
      </c>
      <c r="EJ132" s="12">
        <f>IF('Données projet'!$A$192&gt;35,EJ131+EI132-ER131,IF(A132&lt;'Données projet'!$A$192,$EG$205^A132,IF(A132='Données projet'!$A$192,'Données projet'!$B$192,EJ131+EI132-ER131)))</f>
        <v>251.11324786324738</v>
      </c>
      <c r="EK132" s="17">
        <f>EJ132*VLOOKUP('Données projet'!$B$15,Paramètres!$A$1:$I$89,3,0)*VLOOKUP('Données projet'!$B$15,Paramètres!$A$1:$I$89,5,0)</f>
        <v>270.29829999999947</v>
      </c>
      <c r="EL132" s="13">
        <f t="shared" si="99"/>
        <v>64.912572007457499</v>
      </c>
      <c r="EM132" s="20">
        <f t="shared" ref="EM132:EM153" si="127">(EK132+EL132)*0.475*44/12</f>
        <v>583.82560207965423</v>
      </c>
      <c r="EN132" s="59">
        <f t="shared" ref="EN132:EN195" si="128">EM132+(EE132+EF132)*44/12</f>
        <v>877.1589354129876</v>
      </c>
      <c r="EO132" s="59">
        <f ca="1">AVERAGE(OFFSET($EN$3,0,0,'Données projet'!$E$15+1,1))-AVERAGE(OFFSET($H$3,0,0,'Données projet'!$E$15+1,1))</f>
        <v>211.18501783767226</v>
      </c>
      <c r="EP132" s="59">
        <f t="shared" si="100"/>
        <v>147.98306963466246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498</v>
      </c>
      <c r="FF132" s="17">
        <f>FE132*VLOOKUP('Données projet'!$B$16,Paramètres!$A$1:$I$89,3,0)*VLOOKUP('Données projet'!$B$16,Paramètres!$A$1:$I$89,5,0)</f>
        <v>297.80400000000003</v>
      </c>
      <c r="FG132" s="13">
        <f t="shared" si="101"/>
        <v>70.715900863123025</v>
      </c>
      <c r="FH132" s="20">
        <f t="shared" ref="FH132:FH153" si="130">(FF132+FG132)*0.475*44/12</f>
        <v>641.83882733660596</v>
      </c>
      <c r="FI132" s="59">
        <f t="shared" ref="FI132:FI195" si="131">FH132+(EZ132+FA132)*44/12</f>
        <v>935.17216066993933</v>
      </c>
      <c r="FJ132" s="59">
        <f ca="1">AVERAGE(OFFSET($FI$3,0,0,'Données projet'!$E$16+1,1))-AVERAGE(OFFSET($H$3,0,0,'Données projet'!$E$16+1,1))</f>
        <v>232.26937455765062</v>
      </c>
      <c r="FK132" s="59">
        <f t="shared" si="102"/>
        <v>115.80853281120301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0.31156516789703503</v>
      </c>
      <c r="FR132" s="21">
        <f>EXP(-LN(2)/25)*FR131+(1-EXP(-LN(2)/25))/(LN(2)/25)*Calculateur!FM132*Calculateur!FO132*VLOOKUP('Données projet'!$B$16,Paramètres!$A$1:$I$89,3,0)*0.475*44/12</f>
        <v>0.28331632410008473</v>
      </c>
      <c r="FS132" s="21">
        <f>EXP(-LN(2)/2)*FS131+(1-EXP(-LN(2)/2))/(LN(2)/2)*FM132*FP132*VLOOKUP('Données projet'!$B$16,Paramètres!$A$1:$I$89,3,0)*0.475*44/12</f>
        <v>1.054565654580568E-14</v>
      </c>
      <c r="FT132" s="22">
        <f t="shared" ref="FT132:FT153" si="132">SUM(FQ132:FS132)</f>
        <v>0.59488149199713025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5.6843418860808015E-14</v>
      </c>
      <c r="GA132" s="17">
        <f>FZ132*VLOOKUP('Données projet'!$B$17,Paramètres!$A$1:$I$89,3,0)*VLOOKUP('Données projet'!$B$17,Paramètres!$A$1:$I$89,5,0)</f>
        <v>4.5224624045658861E-14</v>
      </c>
      <c r="GB132" s="13">
        <f t="shared" si="103"/>
        <v>7.4514601661523691E-13</v>
      </c>
      <c r="GC132" s="20">
        <f t="shared" ref="GC132:GC153" si="133">(GA132+GB132)*0.475*44/12</f>
        <v>1.3765621991510601E-12</v>
      </c>
      <c r="GD132" s="59">
        <f t="shared" ref="GD132:GD195" si="134">GC132+(FU132+FV132)*44/12</f>
        <v>293.33333333333468</v>
      </c>
      <c r="GE132" s="59">
        <f ca="1">AVERAGE(OFFSET($GD$3,0,0,'Données projet'!$E$17+1,1))-AVERAGE(OFFSET($H$3,0,0,'Données projet'!$E$17+1,1))</f>
        <v>199.58763537752952</v>
      </c>
      <c r="GF132" s="59">
        <f t="shared" si="104"/>
        <v>242.62852778451929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0.66075439296133009</v>
      </c>
      <c r="GN132" s="21">
        <f>EXP(-LN(2)/2)*GN131+(1-EXP(-LN(2)/2))/(LN(2)/2)*GH132*GK132*VLOOKUP('Données projet'!$B$17,Paramètres!$A$1:$I$89,3,0)*0.475*44/12</f>
        <v>1.3517313341504121E-14</v>
      </c>
      <c r="GO132" s="21">
        <f t="shared" ref="GO132:GO153" si="135">SUM(GL132:GN132)</f>
        <v>0.66075439296134364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5.2446581196581219</v>
      </c>
      <c r="N133" s="13">
        <f>IF('Données projet'!$A$36&gt;35,N132+M133-V132,IF(A133&lt;'Données projet'!$A$36,$K$205^A133,IF(A133='Données projet'!$A$36,'Données projet'!$B$36,N132+M133-V132)))</f>
        <v>256.35790598290549</v>
      </c>
      <c r="O133" s="13">
        <f>N133*VLOOKUP('Données projet'!$B$9,Paramètres!$A$1:$I$89,3,0)*VLOOKUP('Données projet'!$B$9,Paramètres!$A$1:$I$89,5,0)</f>
        <v>231.95263333333287</v>
      </c>
      <c r="P133" s="13">
        <f t="shared" ref="P133:P196" si="141">EXP(-1.0587+0.8836*LN(O133)+0.284)</f>
        <v>56.704678554548856</v>
      </c>
      <c r="Q133" s="20">
        <f t="shared" si="108"/>
        <v>502.74481820472732</v>
      </c>
      <c r="R133" s="59">
        <f t="shared" si="109"/>
        <v>796.07815153806064</v>
      </c>
      <c r="S133" s="59">
        <f ca="1">AVERAGE(OFFSET($R$3,0,0,'Données projet'!$E$9+1,1))-AVERAGE(OFFSET($H$3,0,0,'Données projet'!$E$9+1,1))</f>
        <v>153.45079678708987</v>
      </c>
      <c r="T133" s="59">
        <f t="shared" ref="T133:T196" si="142">$T$3</f>
        <v>115.4217868409637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259.9469166666662</v>
      </c>
      <c r="AK133" s="13">
        <f t="shared" ref="AK133:AK153" si="143">EXP(-1.0587+0.8836*LN(AJ133)+0.284)</f>
        <v>62.71106260017865</v>
      </c>
      <c r="AL133" s="20">
        <f t="shared" si="112"/>
        <v>561.96264722308808</v>
      </c>
      <c r="AM133" s="59">
        <f t="shared" si="113"/>
        <v>855.29598055642145</v>
      </c>
      <c r="AN133" s="59">
        <f ca="1">AVERAGE(OFFSET($AM$3,0,0,'Données projet'!$E$10+1,1))-AVERAGE(OFFSET($H$3,0,0,'Données projet'!$E$10+1,1))</f>
        <v>190.21499310415584</v>
      </c>
      <c r="AO133" s="59">
        <f t="shared" ref="AO133:AO196" si="144">$AO$3</f>
        <v>136.15730566500173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497</v>
      </c>
      <c r="BE133" s="13">
        <f>BD133*VLOOKUP('Données projet'!$B$11,Paramètres!$A$1:$I$89,3,0)*VLOOKUP('Données projet'!$B$11,Paramètres!$A$1:$I$89,5,0)</f>
        <v>297.20600000000002</v>
      </c>
      <c r="BF133" s="13">
        <f t="shared" ref="BF133:BF153" si="145">EXP(-1.0587+0.8836*LN(BE133)+0.284)</f>
        <v>70.590415164571112</v>
      </c>
      <c r="BG133" s="20">
        <f t="shared" si="115"/>
        <v>640.57875641162809</v>
      </c>
      <c r="BH133" s="59">
        <f t="shared" si="116"/>
        <v>933.91208974496135</v>
      </c>
      <c r="BI133" s="59">
        <f ca="1">AVERAGE(OFFSET($BH$3,0,0,'Données projet'!$E$11+1,1))-AVERAGE(OFFSET($H$3,0,0,'Données projet'!$E$11+1,1))</f>
        <v>270.30888762640245</v>
      </c>
      <c r="BJ133" s="59">
        <f t="shared" ref="BJ133:BJ196" si="146">$BJ$3</f>
        <v>202.23783851977691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0.29560215966828574</v>
      </c>
      <c r="BQ133" s="21">
        <f>EXP(-LN(2)/25)*BQ132+(1-EXP(-LN(2)/25))/(LN(2)/25)*Calculateur!BL133*Calculateur!BN133*VLOOKUP('Données projet'!$B$11,Paramètres!$A$1:$I$89,3,0)*0.475*44/12</f>
        <v>0.76845051076504678</v>
      </c>
      <c r="BR133" s="21">
        <f>EXP(-LN(2)/2)*BR132+(1-EXP(-LN(2)/2))/(LN(2)/2)*BL133*BO133*VLOOKUP('Données projet'!$B$11,Paramètres!$A$1:$I$89,3,0)*0.475*44/12</f>
        <v>1.6424735870457305E-14</v>
      </c>
      <c r="BS133" s="22">
        <f t="shared" si="117"/>
        <v>1.0640526704333491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497</v>
      </c>
      <c r="BZ133" s="13">
        <f>BY133*VLOOKUP('Données projet'!$B$12,Paramètres!$A$1:$I$89,3,0)*VLOOKUP('Données projet'!$B$12,Paramètres!$A$1:$I$89,5,0)</f>
        <v>297.20600000000002</v>
      </c>
      <c r="CA133" s="13">
        <f t="shared" ref="CA133:CA153" si="147">EXP(-1.0587+0.8836*LN(BZ133)+0.284)</f>
        <v>70.590415164571112</v>
      </c>
      <c r="CB133" s="20">
        <f t="shared" si="118"/>
        <v>640.57875641162809</v>
      </c>
      <c r="CC133" s="59">
        <f t="shared" si="119"/>
        <v>933.91208974496135</v>
      </c>
      <c r="CD133" s="59">
        <f ca="1">AVERAGE(OFFSET($CC$3,0,0,'Données projet'!$E$12+1,1))-AVERAGE(OFFSET($H$3,0,0,'Données projet'!$E$12+1,1))</f>
        <v>270.30888762640245</v>
      </c>
      <c r="CE133" s="59">
        <f t="shared" ref="CE133:CE196" si="148">$CE$3</f>
        <v>202.23783851977691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0.29560215966828574</v>
      </c>
      <c r="CL133" s="21">
        <f>EXP(-LN(2)/25)*CL132+(1-EXP(-LN(2)/25))/(LN(2)/25)*Calculateur!CG133*Calculateur!CI133*VLOOKUP('Données projet'!$B$12,Paramètres!$A$1:$I$89,3,0)*0.475*44/12</f>
        <v>0.76845051076504678</v>
      </c>
      <c r="CM133" s="21">
        <f>EXP(-LN(2)/2)*CM132+(1-EXP(-LN(2)/2))/(LN(2)/2)*CG133*CJ133*VLOOKUP('Données projet'!$B$12,Paramètres!$A$1:$I$89,3,0)*0.475*44/12</f>
        <v>1.6424735870457305E-14</v>
      </c>
      <c r="CN133" s="22">
        <f t="shared" si="120"/>
        <v>1.0640526704333491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3.4106051316484809E-13</v>
      </c>
      <c r="CU133" s="17">
        <f>CT133*VLOOKUP('Données projet'!$B$13,Paramètres!$A$1:$I$89,3,0)*VLOOKUP('Données projet'!$B$13,Paramètres!$A$1:$I$89,5,0)</f>
        <v>1.5961632016114892E-13</v>
      </c>
      <c r="CV133" s="13">
        <f t="shared" ref="CV133:CV153" si="149">EXP(-1.0587+0.8836*LN(CU133)+0.284)</f>
        <v>2.2708641912150958E-12</v>
      </c>
      <c r="CW133" s="20">
        <f t="shared" si="121"/>
        <v>4.2330868906469593E-12</v>
      </c>
      <c r="CX133" s="59">
        <f t="shared" si="122"/>
        <v>293.33333333333752</v>
      </c>
      <c r="CY133" s="59">
        <f ca="1">AVERAGE(OFFSET($CX$3,0,0,'Données projet'!$E$13+1,1))-AVERAGE(OFFSET($H$3,0,0,'Données projet'!$E$13+1,1))</f>
        <v>158.58786357608489</v>
      </c>
      <c r="CZ133" s="59">
        <f t="shared" ref="CZ133:CZ196" si="150">$CZ$3</f>
        <v>163.20074068819849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3.813056537183002E-14</v>
      </c>
      <c r="DQ133" s="13">
        <f t="shared" ref="DQ133:DQ153" si="151">EXP(-1.0587+0.8836*LN(DP133)+0.284)</f>
        <v>6.4086286045526829E-13</v>
      </c>
      <c r="DR133" s="20">
        <f t="shared" si="124"/>
        <v>1.1825802166488628E-12</v>
      </c>
      <c r="DS133" s="59">
        <f t="shared" si="125"/>
        <v>293.33333333333451</v>
      </c>
      <c r="DT133" s="59">
        <f ca="1">AVERAGE(OFFSET($DS$3,0,0,'Données projet'!$E$14+1,1))-AVERAGE(OFFSET($H$3,0,0,'Données projet'!$E$14+1,1))</f>
        <v>156.63226020379989</v>
      </c>
      <c r="DU133" s="59">
        <f t="shared" ref="DU133:DU196" si="152">$DU$3</f>
        <v>196.0481096619543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0.54187253454008433</v>
      </c>
      <c r="EC133" s="21">
        <f>EXP(-LN(2)/2)*EC132+(1-EXP(-LN(2)/2))/(LN(2)/2)*DW133*DZ133*VLOOKUP('Données projet'!$B$14,Paramètres!$A$1:$I$89,3,0)*0.475*44/12</f>
        <v>8.0588609582282476E-15</v>
      </c>
      <c r="ED133" s="22">
        <f t="shared" si="126"/>
        <v>0.54187253454009243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5.2446581196581219</v>
      </c>
      <c r="EJ133" s="12">
        <f>IF('Données projet'!$A$192&gt;35,EJ132+EI133-ER132,IF(A133&lt;'Données projet'!$A$192,$EG$205^A133,IF(A133='Données projet'!$A$192,'Données projet'!$B$192,EJ132+EI133-ER132)))</f>
        <v>256.35790598290549</v>
      </c>
      <c r="EK133" s="17">
        <f>EJ133*VLOOKUP('Données projet'!$B$15,Paramètres!$A$1:$I$89,3,0)*VLOOKUP('Données projet'!$B$15,Paramètres!$A$1:$I$89,5,0)</f>
        <v>275.94364999999948</v>
      </c>
      <c r="EL133" s="13">
        <f t="shared" ref="EL133:EL153" si="153">EXP(-1.0587+0.8836*LN(EK133)+0.284)</f>
        <v>66.10905883280887</v>
      </c>
      <c r="EM133" s="20">
        <f t="shared" si="127"/>
        <v>595.74180121714119</v>
      </c>
      <c r="EN133" s="59">
        <f t="shared" si="128"/>
        <v>889.07513455047456</v>
      </c>
      <c r="EO133" s="59">
        <f ca="1">AVERAGE(OFFSET($EN$3,0,0,'Données projet'!$E$15+1,1))-AVERAGE(OFFSET($H$3,0,0,'Données projet'!$E$15+1,1))</f>
        <v>211.18501783767226</v>
      </c>
      <c r="EP133" s="59">
        <f t="shared" ref="EP133:EP196" si="154">$EP$3</f>
        <v>147.98306963466246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498</v>
      </c>
      <c r="FF133" s="17">
        <f>FE133*VLOOKUP('Données projet'!$B$16,Paramètres!$A$1:$I$89,3,0)*VLOOKUP('Données projet'!$B$16,Paramètres!$A$1:$I$89,5,0)</f>
        <v>297.80400000000003</v>
      </c>
      <c r="FG133" s="13">
        <f t="shared" ref="FG133:FG153" si="155">EXP(-1.0587+0.8836*LN(FF133)+0.284)</f>
        <v>70.715900863123025</v>
      </c>
      <c r="FH133" s="20">
        <f t="shared" si="130"/>
        <v>641.83882733660596</v>
      </c>
      <c r="FI133" s="59">
        <f t="shared" si="131"/>
        <v>935.17216066993933</v>
      </c>
      <c r="FJ133" s="59">
        <f ca="1">AVERAGE(OFFSET($FI$3,0,0,'Données projet'!$E$16+1,1))-AVERAGE(OFFSET($H$3,0,0,'Données projet'!$E$16+1,1))</f>
        <v>232.26937455765062</v>
      </c>
      <c r="FK133" s="59">
        <f t="shared" ref="FK133:FK196" si="156">$FK$3</f>
        <v>115.80853281120301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0.30545556499056209</v>
      </c>
      <c r="FR133" s="21">
        <f>EXP(-LN(2)/25)*FR132+(1-EXP(-LN(2)/25))/(LN(2)/25)*Calculateur!FM133*Calculateur!FO133*VLOOKUP('Données projet'!$B$16,Paramètres!$A$1:$I$89,3,0)*0.475*44/12</f>
        <v>0.27556902431860997</v>
      </c>
      <c r="FS133" s="21">
        <f>EXP(-LN(2)/2)*FS132+(1-EXP(-LN(2)/2))/(LN(2)/2)*FM133*FP133*VLOOKUP('Données projet'!$B$16,Paramètres!$A$1:$I$89,3,0)*0.475*44/12</f>
        <v>7.4569052556034991E-15</v>
      </c>
      <c r="FT133" s="22">
        <f t="shared" si="132"/>
        <v>0.58102458930917955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5.6843418860808015E-14</v>
      </c>
      <c r="GA133" s="17">
        <f>FZ133*VLOOKUP('Données projet'!$B$17,Paramètres!$A$1:$I$89,3,0)*VLOOKUP('Données projet'!$B$17,Paramètres!$A$1:$I$89,5,0)</f>
        <v>4.5224624045658861E-14</v>
      </c>
      <c r="GB133" s="13">
        <f t="shared" ref="GB133:GB153" si="157">EXP(-1.0587+0.8836*LN(GA133)+0.284)</f>
        <v>7.4514601661523691E-13</v>
      </c>
      <c r="GC133" s="20">
        <f t="shared" si="133"/>
        <v>1.3765621991510601E-12</v>
      </c>
      <c r="GD133" s="59">
        <f t="shared" si="134"/>
        <v>293.33333333333468</v>
      </c>
      <c r="GE133" s="59">
        <f ca="1">AVERAGE(OFFSET($GD$3,0,0,'Données projet'!$E$17+1,1))-AVERAGE(OFFSET($H$3,0,0,'Données projet'!$E$17+1,1))</f>
        <v>199.58763537752952</v>
      </c>
      <c r="GF133" s="59">
        <f t="shared" ref="GF133:GF196" si="158">$GF$3</f>
        <v>242.62852778451929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0.64268602933823915</v>
      </c>
      <c r="GN133" s="21">
        <f>EXP(-LN(2)/2)*GN132+(1-EXP(-LN(2)/2))/(LN(2)/2)*GH133*GK133*VLOOKUP('Données projet'!$B$17,Paramètres!$A$1:$I$89,3,0)*0.475*44/12</f>
        <v>9.5581839272009538E-15</v>
      </c>
      <c r="GO133" s="21">
        <f t="shared" si="135"/>
        <v>0.6426860293382487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5.2446581196581219</v>
      </c>
      <c r="N134" s="13">
        <f>IF('Données projet'!$A$36&gt;35,N133+M134-V133,IF(A134&lt;'Données projet'!$A$36,$K$205^A134,IF(A134='Données projet'!$A$36,'Données projet'!$B$36,N133+M134-V133)))</f>
        <v>261.60256410256363</v>
      </c>
      <c r="O134" s="13">
        <f>N134*VLOOKUP('Données projet'!$B$9,Paramètres!$A$1:$I$89,3,0)*VLOOKUP('Données projet'!$B$9,Paramètres!$A$1:$I$89,5,0)</f>
        <v>236.69799999999958</v>
      </c>
      <c r="P134" s="13">
        <f t="shared" si="141"/>
        <v>57.728517287605179</v>
      </c>
      <c r="Q134" s="20">
        <f t="shared" si="108"/>
        <v>512.7928509425783</v>
      </c>
      <c r="R134" s="59">
        <f t="shared" si="109"/>
        <v>806.12618427591156</v>
      </c>
      <c r="S134" s="59">
        <f ca="1">AVERAGE(OFFSET($R$3,0,0,'Données projet'!$E$9+1,1))-AVERAGE(OFFSET($H$3,0,0,'Données projet'!$E$9+1,1))</f>
        <v>153.45079678708987</v>
      </c>
      <c r="T134" s="59">
        <f t="shared" si="142"/>
        <v>115.4217868409637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265.26499999999953</v>
      </c>
      <c r="AK134" s="13">
        <f t="shared" si="143"/>
        <v>63.843350385205326</v>
      </c>
      <c r="AL134" s="20">
        <f t="shared" si="112"/>
        <v>573.19704358756508</v>
      </c>
      <c r="AM134" s="59">
        <f t="shared" si="113"/>
        <v>866.53037692089833</v>
      </c>
      <c r="AN134" s="59">
        <f ca="1">AVERAGE(OFFSET($AM$3,0,0,'Données projet'!$E$10+1,1))-AVERAGE(OFFSET($H$3,0,0,'Données projet'!$E$10+1,1))</f>
        <v>190.21499310415584</v>
      </c>
      <c r="AO134" s="59">
        <f t="shared" si="144"/>
        <v>136.15730566500173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497</v>
      </c>
      <c r="BE134" s="13">
        <f>BD134*VLOOKUP('Données projet'!$B$11,Paramètres!$A$1:$I$89,3,0)*VLOOKUP('Données projet'!$B$11,Paramètres!$A$1:$I$89,5,0)</f>
        <v>297.20600000000002</v>
      </c>
      <c r="BF134" s="13">
        <f t="shared" si="145"/>
        <v>70.590415164571112</v>
      </c>
      <c r="BG134" s="20">
        <f t="shared" si="115"/>
        <v>640.57875641162809</v>
      </c>
      <c r="BH134" s="59">
        <f t="shared" si="116"/>
        <v>933.91208974496135</v>
      </c>
      <c r="BI134" s="59">
        <f ca="1">AVERAGE(OFFSET($BH$3,0,0,'Données projet'!$E$11+1,1))-AVERAGE(OFFSET($H$3,0,0,'Données projet'!$E$11+1,1))</f>
        <v>270.30888762640245</v>
      </c>
      <c r="BJ134" s="59">
        <f t="shared" si="146"/>
        <v>202.23783851977691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0.28980558161670494</v>
      </c>
      <c r="BQ134" s="21">
        <f>EXP(-LN(2)/25)*BQ133+(1-EXP(-LN(2)/25))/(LN(2)/25)*Calculateur!BL134*Calculateur!BN134*VLOOKUP('Données projet'!$B$11,Paramètres!$A$1:$I$89,3,0)*0.475*44/12</f>
        <v>0.74743719113712048</v>
      </c>
      <c r="BR134" s="21">
        <f>EXP(-LN(2)/2)*BR133+(1-EXP(-LN(2)/2))/(LN(2)/2)*BL134*BO134*VLOOKUP('Données projet'!$B$11,Paramètres!$A$1:$I$89,3,0)*0.475*44/12</f>
        <v>1.1614042113198291E-14</v>
      </c>
      <c r="BS134" s="22">
        <f t="shared" si="117"/>
        <v>1.0372427727538369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497</v>
      </c>
      <c r="BZ134" s="13">
        <f>BY134*VLOOKUP('Données projet'!$B$12,Paramètres!$A$1:$I$89,3,0)*VLOOKUP('Données projet'!$B$12,Paramètres!$A$1:$I$89,5,0)</f>
        <v>297.20600000000002</v>
      </c>
      <c r="CA134" s="13">
        <f t="shared" si="147"/>
        <v>70.590415164571112</v>
      </c>
      <c r="CB134" s="20">
        <f t="shared" si="118"/>
        <v>640.57875641162809</v>
      </c>
      <c r="CC134" s="59">
        <f t="shared" si="119"/>
        <v>933.91208974496135</v>
      </c>
      <c r="CD134" s="59">
        <f ca="1">AVERAGE(OFFSET($CC$3,0,0,'Données projet'!$E$12+1,1))-AVERAGE(OFFSET($H$3,0,0,'Données projet'!$E$12+1,1))</f>
        <v>270.30888762640245</v>
      </c>
      <c r="CE134" s="59">
        <f t="shared" si="148"/>
        <v>202.23783851977691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0.28980558161670494</v>
      </c>
      <c r="CL134" s="21">
        <f>EXP(-LN(2)/25)*CL133+(1-EXP(-LN(2)/25))/(LN(2)/25)*Calculateur!CG134*Calculateur!CI134*VLOOKUP('Données projet'!$B$12,Paramètres!$A$1:$I$89,3,0)*0.475*44/12</f>
        <v>0.74743719113712048</v>
      </c>
      <c r="CM134" s="21">
        <f>EXP(-LN(2)/2)*CM133+(1-EXP(-LN(2)/2))/(LN(2)/2)*CG134*CJ134*VLOOKUP('Données projet'!$B$12,Paramètres!$A$1:$I$89,3,0)*0.475*44/12</f>
        <v>1.1614042113198291E-14</v>
      </c>
      <c r="CN134" s="22">
        <f t="shared" si="120"/>
        <v>1.0372427727538369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3.4106051316484809E-13</v>
      </c>
      <c r="CU134" s="17">
        <f>CT134*VLOOKUP('Données projet'!$B$13,Paramètres!$A$1:$I$89,3,0)*VLOOKUP('Données projet'!$B$13,Paramètres!$A$1:$I$89,5,0)</f>
        <v>1.5961632016114892E-13</v>
      </c>
      <c r="CV134" s="13">
        <f t="shared" si="149"/>
        <v>2.2708641912150958E-12</v>
      </c>
      <c r="CW134" s="20">
        <f t="shared" si="121"/>
        <v>4.2330868906469593E-12</v>
      </c>
      <c r="CX134" s="59">
        <f t="shared" si="122"/>
        <v>293.33333333333752</v>
      </c>
      <c r="CY134" s="59">
        <f ca="1">AVERAGE(OFFSET($CX$3,0,0,'Données projet'!$E$13+1,1))-AVERAGE(OFFSET($H$3,0,0,'Données projet'!$E$13+1,1))</f>
        <v>158.58786357608489</v>
      </c>
      <c r="CZ134" s="59">
        <f t="shared" si="150"/>
        <v>163.20074068819849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3.813056537183002E-14</v>
      </c>
      <c r="DQ134" s="13">
        <f t="shared" si="151"/>
        <v>6.4086286045526829E-13</v>
      </c>
      <c r="DR134" s="20">
        <f t="shared" si="124"/>
        <v>1.1825802166488628E-12</v>
      </c>
      <c r="DS134" s="59">
        <f t="shared" si="125"/>
        <v>293.33333333333451</v>
      </c>
      <c r="DT134" s="59">
        <f ca="1">AVERAGE(OFFSET($DS$3,0,0,'Données projet'!$E$14+1,1))-AVERAGE(OFFSET($H$3,0,0,'Données projet'!$E$14+1,1))</f>
        <v>156.63226020379989</v>
      </c>
      <c r="DU134" s="59">
        <f t="shared" si="152"/>
        <v>196.0481096619543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0.52705500158724761</v>
      </c>
      <c r="EC134" s="21">
        <f>EXP(-LN(2)/2)*EC133+(1-EXP(-LN(2)/2))/(LN(2)/2)*DW134*DZ134*VLOOKUP('Données projet'!$B$14,Paramètres!$A$1:$I$89,3,0)*0.475*44/12</f>
        <v>5.6984752322027122E-15</v>
      </c>
      <c r="ED134" s="22">
        <f t="shared" si="126"/>
        <v>0.52705500158725327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5.2446581196581219</v>
      </c>
      <c r="EJ134" s="12">
        <f>IF('Données projet'!$A$192&gt;35,EJ133+EI134-ER133,IF(A134&lt;'Données projet'!$A$192,$EG$205^A134,IF(A134='Données projet'!$A$192,'Données projet'!$B$192,EJ133+EI134-ER133)))</f>
        <v>261.60256410256363</v>
      </c>
      <c r="EK134" s="17">
        <f>EJ134*VLOOKUP('Données projet'!$B$15,Paramètres!$A$1:$I$89,3,0)*VLOOKUP('Données projet'!$B$15,Paramètres!$A$1:$I$89,5,0)</f>
        <v>281.58899999999949</v>
      </c>
      <c r="EL134" s="13">
        <f t="shared" si="153"/>
        <v>67.302699582818846</v>
      </c>
      <c r="EM134" s="20">
        <f t="shared" si="127"/>
        <v>607.65304344007518</v>
      </c>
      <c r="EN134" s="59">
        <f t="shared" si="128"/>
        <v>900.98637677340844</v>
      </c>
      <c r="EO134" s="59">
        <f ca="1">AVERAGE(OFFSET($EN$3,0,0,'Données projet'!$E$15+1,1))-AVERAGE(OFFSET($H$3,0,0,'Données projet'!$E$15+1,1))</f>
        <v>211.18501783767226</v>
      </c>
      <c r="EP134" s="59">
        <f t="shared" si="154"/>
        <v>147.98306963466246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498</v>
      </c>
      <c r="FF134" s="17">
        <f>FE134*VLOOKUP('Données projet'!$B$16,Paramètres!$A$1:$I$89,3,0)*VLOOKUP('Données projet'!$B$16,Paramètres!$A$1:$I$89,5,0)</f>
        <v>297.80400000000003</v>
      </c>
      <c r="FG134" s="13">
        <f t="shared" si="155"/>
        <v>70.715900863123025</v>
      </c>
      <c r="FH134" s="20">
        <f t="shared" si="130"/>
        <v>641.83882733660596</v>
      </c>
      <c r="FI134" s="59">
        <f t="shared" si="131"/>
        <v>935.17216066993933</v>
      </c>
      <c r="FJ134" s="59">
        <f ca="1">AVERAGE(OFFSET($FI$3,0,0,'Données projet'!$E$16+1,1))-AVERAGE(OFFSET($H$3,0,0,'Données projet'!$E$16+1,1))</f>
        <v>232.26937455765062</v>
      </c>
      <c r="FK134" s="59">
        <f t="shared" si="156"/>
        <v>115.80853281120301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0.2994657676705953</v>
      </c>
      <c r="FR134" s="21">
        <f>EXP(-LN(2)/25)*FR133+(1-EXP(-LN(2)/25))/(LN(2)/25)*Calculateur!FM134*Calculateur!FO134*VLOOKUP('Données projet'!$B$16,Paramètres!$A$1:$I$89,3,0)*0.475*44/12</f>
        <v>0.26803357485707241</v>
      </c>
      <c r="FS134" s="21">
        <f>EXP(-LN(2)/2)*FS133+(1-EXP(-LN(2)/2))/(LN(2)/2)*FM134*FP134*VLOOKUP('Données projet'!$B$16,Paramètres!$A$1:$I$89,3,0)*0.475*44/12</f>
        <v>5.2728282729028398E-15</v>
      </c>
      <c r="FT134" s="22">
        <f t="shared" si="132"/>
        <v>0.56749934252767298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5.6843418860808015E-14</v>
      </c>
      <c r="GA134" s="17">
        <f>FZ134*VLOOKUP('Données projet'!$B$17,Paramètres!$A$1:$I$89,3,0)*VLOOKUP('Données projet'!$B$17,Paramètres!$A$1:$I$89,5,0)</f>
        <v>4.5224624045658861E-14</v>
      </c>
      <c r="GB134" s="13">
        <f t="shared" si="157"/>
        <v>7.4514601661523691E-13</v>
      </c>
      <c r="GC134" s="20">
        <f t="shared" si="133"/>
        <v>1.3765621991510601E-12</v>
      </c>
      <c r="GD134" s="59">
        <f t="shared" si="134"/>
        <v>293.33333333333468</v>
      </c>
      <c r="GE134" s="59">
        <f ca="1">AVERAGE(OFFSET($GD$3,0,0,'Données projet'!$E$17+1,1))-AVERAGE(OFFSET($H$3,0,0,'Données projet'!$E$17+1,1))</f>
        <v>199.58763537752952</v>
      </c>
      <c r="GF134" s="59">
        <f t="shared" si="158"/>
        <v>242.62852778451929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0.62511174606859554</v>
      </c>
      <c r="GN134" s="21">
        <f>EXP(-LN(2)/2)*GN133+(1-EXP(-LN(2)/2))/(LN(2)/2)*GH134*GK134*VLOOKUP('Données projet'!$B$17,Paramètres!$A$1:$I$89,3,0)*0.475*44/12</f>
        <v>6.7586566707520604E-15</v>
      </c>
      <c r="GO134" s="21">
        <f t="shared" si="135"/>
        <v>0.62511174606860231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5.2446581196581219</v>
      </c>
      <c r="N135" s="13">
        <f>IF('Données projet'!$A$36&gt;35,N134+M135-V134,IF(A135&lt;'Données projet'!$A$36,$K$205^A135,IF(A135='Données projet'!$A$36,'Données projet'!$B$36,N134+M135-V134)))</f>
        <v>266.84722222222177</v>
      </c>
      <c r="O135" s="13">
        <f>N135*VLOOKUP('Données projet'!$B$9,Paramètres!$A$1:$I$89,3,0)*VLOOKUP('Données projet'!$B$9,Paramètres!$A$1:$I$89,5,0)</f>
        <v>241.44336666666626</v>
      </c>
      <c r="P135" s="13">
        <f t="shared" si="141"/>
        <v>58.749969397569316</v>
      </c>
      <c r="Q135" s="20">
        <f t="shared" si="108"/>
        <v>522.83672697854365</v>
      </c>
      <c r="R135" s="59">
        <f t="shared" si="109"/>
        <v>816.17006031187702</v>
      </c>
      <c r="S135" s="59">
        <f ca="1">AVERAGE(OFFSET($R$3,0,0,'Données projet'!$E$9+1,1))-AVERAGE(OFFSET($H$3,0,0,'Données projet'!$E$9+1,1))</f>
        <v>153.45079678708987</v>
      </c>
      <c r="T135" s="59">
        <f t="shared" si="142"/>
        <v>115.4217868409637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270.58308333333292</v>
      </c>
      <c r="AK135" s="13">
        <f t="shared" si="143"/>
        <v>64.972998746573325</v>
      </c>
      <c r="AL135" s="20">
        <f t="shared" si="112"/>
        <v>584.42684295583661</v>
      </c>
      <c r="AM135" s="59">
        <f t="shared" si="113"/>
        <v>877.76017628916998</v>
      </c>
      <c r="AN135" s="59">
        <f ca="1">AVERAGE(OFFSET($AM$3,0,0,'Données projet'!$E$10+1,1))-AVERAGE(OFFSET($H$3,0,0,'Données projet'!$E$10+1,1))</f>
        <v>190.21499310415584</v>
      </c>
      <c r="AO135" s="59">
        <f t="shared" si="144"/>
        <v>136.15730566500173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497</v>
      </c>
      <c r="BE135" s="13">
        <f>BD135*VLOOKUP('Données projet'!$B$11,Paramètres!$A$1:$I$89,3,0)*VLOOKUP('Données projet'!$B$11,Paramètres!$A$1:$I$89,5,0)</f>
        <v>297.20600000000002</v>
      </c>
      <c r="BF135" s="13">
        <f t="shared" si="145"/>
        <v>70.590415164571112</v>
      </c>
      <c r="BG135" s="20">
        <f t="shared" si="115"/>
        <v>640.57875641162809</v>
      </c>
      <c r="BH135" s="59">
        <f t="shared" si="116"/>
        <v>933.91208974496135</v>
      </c>
      <c r="BI135" s="59">
        <f ca="1">AVERAGE(OFFSET($BH$3,0,0,'Données projet'!$E$11+1,1))-AVERAGE(OFFSET($H$3,0,0,'Données projet'!$E$11+1,1))</f>
        <v>270.30888762640245</v>
      </c>
      <c r="BJ135" s="59">
        <f t="shared" si="146"/>
        <v>202.23783851977691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0.28412267092515214</v>
      </c>
      <c r="BQ135" s="21">
        <f>EXP(-LN(2)/25)*BQ134+(1-EXP(-LN(2)/25))/(LN(2)/25)*Calculateur!BL135*Calculateur!BN135*VLOOKUP('Données projet'!$B$11,Paramètres!$A$1:$I$89,3,0)*0.475*44/12</f>
        <v>0.72699848183946236</v>
      </c>
      <c r="BR135" s="21">
        <f>EXP(-LN(2)/2)*BR134+(1-EXP(-LN(2)/2))/(LN(2)/2)*BL135*BO135*VLOOKUP('Données projet'!$B$11,Paramètres!$A$1:$I$89,3,0)*0.475*44/12</f>
        <v>8.2123679352286523E-15</v>
      </c>
      <c r="BS135" s="22">
        <f t="shared" si="117"/>
        <v>1.0111211527646227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497</v>
      </c>
      <c r="BZ135" s="13">
        <f>BY135*VLOOKUP('Données projet'!$B$12,Paramètres!$A$1:$I$89,3,0)*VLOOKUP('Données projet'!$B$12,Paramètres!$A$1:$I$89,5,0)</f>
        <v>297.20600000000002</v>
      </c>
      <c r="CA135" s="13">
        <f t="shared" si="147"/>
        <v>70.590415164571112</v>
      </c>
      <c r="CB135" s="20">
        <f t="shared" si="118"/>
        <v>640.57875641162809</v>
      </c>
      <c r="CC135" s="59">
        <f t="shared" si="119"/>
        <v>933.91208974496135</v>
      </c>
      <c r="CD135" s="59">
        <f ca="1">AVERAGE(OFFSET($CC$3,0,0,'Données projet'!$E$12+1,1))-AVERAGE(OFFSET($H$3,0,0,'Données projet'!$E$12+1,1))</f>
        <v>270.30888762640245</v>
      </c>
      <c r="CE135" s="59">
        <f t="shared" si="148"/>
        <v>202.23783851977691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0.28412267092515214</v>
      </c>
      <c r="CL135" s="21">
        <f>EXP(-LN(2)/25)*CL134+(1-EXP(-LN(2)/25))/(LN(2)/25)*Calculateur!CG135*Calculateur!CI135*VLOOKUP('Données projet'!$B$12,Paramètres!$A$1:$I$89,3,0)*0.475*44/12</f>
        <v>0.72699848183946236</v>
      </c>
      <c r="CM135" s="21">
        <f>EXP(-LN(2)/2)*CM134+(1-EXP(-LN(2)/2))/(LN(2)/2)*CG135*CJ135*VLOOKUP('Données projet'!$B$12,Paramètres!$A$1:$I$89,3,0)*0.475*44/12</f>
        <v>8.2123679352286523E-15</v>
      </c>
      <c r="CN135" s="22">
        <f t="shared" si="120"/>
        <v>1.0111211527646227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3.4106051316484809E-13</v>
      </c>
      <c r="CU135" s="17">
        <f>CT135*VLOOKUP('Données projet'!$B$13,Paramètres!$A$1:$I$89,3,0)*VLOOKUP('Données projet'!$B$13,Paramètres!$A$1:$I$89,5,0)</f>
        <v>1.5961632016114892E-13</v>
      </c>
      <c r="CV135" s="13">
        <f t="shared" si="149"/>
        <v>2.2708641912150958E-12</v>
      </c>
      <c r="CW135" s="20">
        <f t="shared" si="121"/>
        <v>4.2330868906469593E-12</v>
      </c>
      <c r="CX135" s="59">
        <f t="shared" si="122"/>
        <v>293.33333333333752</v>
      </c>
      <c r="CY135" s="59">
        <f ca="1">AVERAGE(OFFSET($CX$3,0,0,'Données projet'!$E$13+1,1))-AVERAGE(OFFSET($H$3,0,0,'Données projet'!$E$13+1,1))</f>
        <v>158.58786357608489</v>
      </c>
      <c r="CZ135" s="59">
        <f t="shared" si="150"/>
        <v>163.20074068819849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3.813056537183002E-14</v>
      </c>
      <c r="DQ135" s="13">
        <f t="shared" si="151"/>
        <v>6.4086286045526829E-13</v>
      </c>
      <c r="DR135" s="20">
        <f t="shared" si="124"/>
        <v>1.1825802166488628E-12</v>
      </c>
      <c r="DS135" s="59">
        <f t="shared" si="125"/>
        <v>293.33333333333451</v>
      </c>
      <c r="DT135" s="59">
        <f ca="1">AVERAGE(OFFSET($DS$3,0,0,'Données projet'!$E$14+1,1))-AVERAGE(OFFSET($H$3,0,0,'Données projet'!$E$14+1,1))</f>
        <v>156.63226020379989</v>
      </c>
      <c r="DU135" s="59">
        <f t="shared" si="152"/>
        <v>196.0481096619543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0.51264265485222638</v>
      </c>
      <c r="EC135" s="21">
        <f>EXP(-LN(2)/2)*EC134+(1-EXP(-LN(2)/2))/(LN(2)/2)*DW135*DZ135*VLOOKUP('Données projet'!$B$14,Paramètres!$A$1:$I$89,3,0)*0.475*44/12</f>
        <v>4.0294304791141238E-15</v>
      </c>
      <c r="ED135" s="22">
        <f t="shared" si="126"/>
        <v>0.51264265485223037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5.2446581196581219</v>
      </c>
      <c r="EJ135" s="12">
        <f>IF('Données projet'!$A$192&gt;35,EJ134+EI135-ER134,IF(A135&lt;'Données projet'!$A$192,$EG$205^A135,IF(A135='Données projet'!$A$192,'Données projet'!$B$192,EJ134+EI135-ER134)))</f>
        <v>266.84722222222177</v>
      </c>
      <c r="EK135" s="17">
        <f>EJ135*VLOOKUP('Données projet'!$B$15,Paramètres!$A$1:$I$89,3,0)*VLOOKUP('Données projet'!$B$15,Paramètres!$A$1:$I$89,5,0)</f>
        <v>287.23434999999949</v>
      </c>
      <c r="EL135" s="13">
        <f t="shared" si="153"/>
        <v>68.493557892112591</v>
      </c>
      <c r="EM135" s="20">
        <f t="shared" si="127"/>
        <v>619.55943957876173</v>
      </c>
      <c r="EN135" s="59">
        <f t="shared" si="128"/>
        <v>912.8927729120951</v>
      </c>
      <c r="EO135" s="59">
        <f ca="1">AVERAGE(OFFSET($EN$3,0,0,'Données projet'!$E$15+1,1))-AVERAGE(OFFSET($H$3,0,0,'Données projet'!$E$15+1,1))</f>
        <v>211.18501783767226</v>
      </c>
      <c r="EP135" s="59">
        <f t="shared" si="154"/>
        <v>147.98306963466246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498</v>
      </c>
      <c r="FF135" s="17">
        <f>FE135*VLOOKUP('Données projet'!$B$16,Paramètres!$A$1:$I$89,3,0)*VLOOKUP('Données projet'!$B$16,Paramètres!$A$1:$I$89,5,0)</f>
        <v>297.80400000000003</v>
      </c>
      <c r="FG135" s="13">
        <f t="shared" si="155"/>
        <v>70.715900863123025</v>
      </c>
      <c r="FH135" s="20">
        <f t="shared" si="130"/>
        <v>641.83882733660596</v>
      </c>
      <c r="FI135" s="59">
        <f t="shared" si="131"/>
        <v>935.17216066993933</v>
      </c>
      <c r="FJ135" s="59">
        <f ca="1">AVERAGE(OFFSET($FI$3,0,0,'Données projet'!$E$16+1,1))-AVERAGE(OFFSET($H$3,0,0,'Données projet'!$E$16+1,1))</f>
        <v>232.26937455765062</v>
      </c>
      <c r="FK135" s="59">
        <f t="shared" si="156"/>
        <v>115.80853281120301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0.29359342662265742</v>
      </c>
      <c r="FR135" s="21">
        <f>EXP(-LN(2)/25)*FR134+(1-EXP(-LN(2)/25))/(LN(2)/25)*Calculateur!FM135*Calculateur!FO135*VLOOKUP('Données projet'!$B$16,Paramètres!$A$1:$I$89,3,0)*0.475*44/12</f>
        <v>0.26070418265733264</v>
      </c>
      <c r="FS135" s="21">
        <f>EXP(-LN(2)/2)*FS134+(1-EXP(-LN(2)/2))/(LN(2)/2)*FM135*FP135*VLOOKUP('Données projet'!$B$16,Paramètres!$A$1:$I$89,3,0)*0.475*44/12</f>
        <v>3.7284526278017495E-15</v>
      </c>
      <c r="FT135" s="22">
        <f t="shared" si="132"/>
        <v>0.55429760927999383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5.6843418860808015E-14</v>
      </c>
      <c r="GA135" s="17">
        <f>FZ135*VLOOKUP('Données projet'!$B$17,Paramètres!$A$1:$I$89,3,0)*VLOOKUP('Données projet'!$B$17,Paramètres!$A$1:$I$89,5,0)</f>
        <v>4.5224624045658861E-14</v>
      </c>
      <c r="GB135" s="13">
        <f t="shared" si="157"/>
        <v>7.4514601661523691E-13</v>
      </c>
      <c r="GC135" s="20">
        <f t="shared" si="133"/>
        <v>1.3765621991510601E-12</v>
      </c>
      <c r="GD135" s="59">
        <f t="shared" si="134"/>
        <v>293.33333333333468</v>
      </c>
      <c r="GE135" s="59">
        <f ca="1">AVERAGE(OFFSET($GD$3,0,0,'Données projet'!$E$17+1,1))-AVERAGE(OFFSET($H$3,0,0,'Données projet'!$E$17+1,1))</f>
        <v>199.58763537752952</v>
      </c>
      <c r="GF135" s="59">
        <f t="shared" si="158"/>
        <v>242.62852778451929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0.60801803249915176</v>
      </c>
      <c r="GN135" s="21">
        <f>EXP(-LN(2)/2)*GN134+(1-EXP(-LN(2)/2))/(LN(2)/2)*GH135*GK135*VLOOKUP('Données projet'!$B$17,Paramètres!$A$1:$I$89,3,0)*0.475*44/12</f>
        <v>4.7790919636004769E-15</v>
      </c>
      <c r="GO135" s="21">
        <f t="shared" si="135"/>
        <v>0.60801803249915654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5.2446581196581219</v>
      </c>
      <c r="N136" s="13">
        <f>IF('Données projet'!$A$36&gt;35,N135+M136-V135,IF(A136&lt;'Données projet'!$A$36,$K$205^A136,IF(A136='Données projet'!$A$36,'Données projet'!$B$36,N135+M136-V135)))</f>
        <v>272.09188034187991</v>
      </c>
      <c r="O136" s="13">
        <f>N136*VLOOKUP('Données projet'!$B$9,Paramètres!$A$1:$I$89,3,0)*VLOOKUP('Données projet'!$B$9,Paramètres!$A$1:$I$89,5,0)</f>
        <v>246.18873333333292</v>
      </c>
      <c r="P136" s="13">
        <f t="shared" si="141"/>
        <v>59.769087198438612</v>
      </c>
      <c r="Q136" s="20">
        <f t="shared" si="108"/>
        <v>532.87653742616862</v>
      </c>
      <c r="R136" s="59">
        <f t="shared" si="109"/>
        <v>826.20987075950188</v>
      </c>
      <c r="S136" s="59">
        <f ca="1">AVERAGE(OFFSET($R$3,0,0,'Données projet'!$E$9+1,1))-AVERAGE(OFFSET($H$3,0,0,'Données projet'!$E$9+1,1))</f>
        <v>153.45079678708987</v>
      </c>
      <c r="T136" s="59">
        <f t="shared" si="142"/>
        <v>115.4217868409637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275.90116666666626</v>
      </c>
      <c r="AK136" s="13">
        <f t="shared" si="143"/>
        <v>66.100065539585671</v>
      </c>
      <c r="AL136" s="20">
        <f t="shared" si="112"/>
        <v>595.65214609255543</v>
      </c>
      <c r="AM136" s="59">
        <f t="shared" si="113"/>
        <v>888.9854794258888</v>
      </c>
      <c r="AN136" s="59">
        <f ca="1">AVERAGE(OFFSET($AM$3,0,0,'Données projet'!$E$10+1,1))-AVERAGE(OFFSET($H$3,0,0,'Données projet'!$E$10+1,1))</f>
        <v>190.21499310415584</v>
      </c>
      <c r="AO136" s="59">
        <f t="shared" si="144"/>
        <v>136.15730566500173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497</v>
      </c>
      <c r="BE136" s="13">
        <f>BD136*VLOOKUP('Données projet'!$B$11,Paramètres!$A$1:$I$89,3,0)*VLOOKUP('Données projet'!$B$11,Paramètres!$A$1:$I$89,5,0)</f>
        <v>297.20600000000002</v>
      </c>
      <c r="BF136" s="13">
        <f t="shared" si="145"/>
        <v>70.590415164571112</v>
      </c>
      <c r="BG136" s="20">
        <f t="shared" si="115"/>
        <v>640.57875641162809</v>
      </c>
      <c r="BH136" s="59">
        <f t="shared" si="116"/>
        <v>933.91208974496135</v>
      </c>
      <c r="BI136" s="59">
        <f ca="1">AVERAGE(OFFSET($BH$3,0,0,'Données projet'!$E$11+1,1))-AVERAGE(OFFSET($H$3,0,0,'Données projet'!$E$11+1,1))</f>
        <v>270.30888762640245</v>
      </c>
      <c r="BJ136" s="59">
        <f t="shared" si="146"/>
        <v>202.23783851977691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0.27855119864602745</v>
      </c>
      <c r="BQ136" s="21">
        <f>EXP(-LN(2)/25)*BQ135+(1-EXP(-LN(2)/25))/(LN(2)/25)*Calculateur!BL136*Calculateur!BN136*VLOOKUP('Données projet'!$B$11,Paramètres!$A$1:$I$89,3,0)*0.475*44/12</f>
        <v>0.70711867012237373</v>
      </c>
      <c r="BR136" s="21">
        <f>EXP(-LN(2)/2)*BR135+(1-EXP(-LN(2)/2))/(LN(2)/2)*BL136*BO136*VLOOKUP('Données projet'!$B$11,Paramètres!$A$1:$I$89,3,0)*0.475*44/12</f>
        <v>5.8070210565991457E-15</v>
      </c>
      <c r="BS136" s="22">
        <f t="shared" si="117"/>
        <v>0.9856698687684069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497</v>
      </c>
      <c r="BZ136" s="13">
        <f>BY136*VLOOKUP('Données projet'!$B$12,Paramètres!$A$1:$I$89,3,0)*VLOOKUP('Données projet'!$B$12,Paramètres!$A$1:$I$89,5,0)</f>
        <v>297.20600000000002</v>
      </c>
      <c r="CA136" s="13">
        <f t="shared" si="147"/>
        <v>70.590415164571112</v>
      </c>
      <c r="CB136" s="20">
        <f t="shared" si="118"/>
        <v>640.57875641162809</v>
      </c>
      <c r="CC136" s="59">
        <f t="shared" si="119"/>
        <v>933.91208974496135</v>
      </c>
      <c r="CD136" s="59">
        <f ca="1">AVERAGE(OFFSET($CC$3,0,0,'Données projet'!$E$12+1,1))-AVERAGE(OFFSET($H$3,0,0,'Données projet'!$E$12+1,1))</f>
        <v>270.30888762640245</v>
      </c>
      <c r="CE136" s="59">
        <f t="shared" si="148"/>
        <v>202.23783851977691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0.27855119864602745</v>
      </c>
      <c r="CL136" s="21">
        <f>EXP(-LN(2)/25)*CL135+(1-EXP(-LN(2)/25))/(LN(2)/25)*Calculateur!CG136*Calculateur!CI136*VLOOKUP('Données projet'!$B$12,Paramètres!$A$1:$I$89,3,0)*0.475*44/12</f>
        <v>0.70711867012237373</v>
      </c>
      <c r="CM136" s="21">
        <f>EXP(-LN(2)/2)*CM135+(1-EXP(-LN(2)/2))/(LN(2)/2)*CG136*CJ136*VLOOKUP('Données projet'!$B$12,Paramètres!$A$1:$I$89,3,0)*0.475*44/12</f>
        <v>5.8070210565991457E-15</v>
      </c>
      <c r="CN136" s="22">
        <f t="shared" si="120"/>
        <v>0.9856698687684069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3.4106051316484809E-13</v>
      </c>
      <c r="CU136" s="17">
        <f>CT136*VLOOKUP('Données projet'!$B$13,Paramètres!$A$1:$I$89,3,0)*VLOOKUP('Données projet'!$B$13,Paramètres!$A$1:$I$89,5,0)</f>
        <v>1.5961632016114892E-13</v>
      </c>
      <c r="CV136" s="13">
        <f t="shared" si="149"/>
        <v>2.2708641912150958E-12</v>
      </c>
      <c r="CW136" s="20">
        <f t="shared" si="121"/>
        <v>4.2330868906469593E-12</v>
      </c>
      <c r="CX136" s="59">
        <f t="shared" si="122"/>
        <v>293.33333333333752</v>
      </c>
      <c r="CY136" s="59">
        <f ca="1">AVERAGE(OFFSET($CX$3,0,0,'Données projet'!$E$13+1,1))-AVERAGE(OFFSET($H$3,0,0,'Données projet'!$E$13+1,1))</f>
        <v>158.58786357608489</v>
      </c>
      <c r="CZ136" s="59">
        <f t="shared" si="150"/>
        <v>163.20074068819849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3.813056537183002E-14</v>
      </c>
      <c r="DQ136" s="13">
        <f t="shared" si="151"/>
        <v>6.4086286045526829E-13</v>
      </c>
      <c r="DR136" s="20">
        <f t="shared" si="124"/>
        <v>1.1825802166488628E-12</v>
      </c>
      <c r="DS136" s="59">
        <f t="shared" si="125"/>
        <v>293.33333333333451</v>
      </c>
      <c r="DT136" s="59">
        <f ca="1">AVERAGE(OFFSET($DS$3,0,0,'Données projet'!$E$14+1,1))-AVERAGE(OFFSET($H$3,0,0,'Données projet'!$E$14+1,1))</f>
        <v>156.63226020379989</v>
      </c>
      <c r="DU136" s="59">
        <f t="shared" si="152"/>
        <v>196.0481096619543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0.49862441449658668</v>
      </c>
      <c r="EC136" s="21">
        <f>EXP(-LN(2)/2)*EC135+(1-EXP(-LN(2)/2))/(LN(2)/2)*DW136*DZ136*VLOOKUP('Données projet'!$B$14,Paramètres!$A$1:$I$89,3,0)*0.475*44/12</f>
        <v>2.8492376161013561E-15</v>
      </c>
      <c r="ED136" s="22">
        <f t="shared" si="126"/>
        <v>0.49862441449658951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5.2446581196581219</v>
      </c>
      <c r="EJ136" s="12">
        <f>IF('Données projet'!$A$192&gt;35,EJ135+EI136-ER135,IF(A136&lt;'Données projet'!$A$192,$EG$205^A136,IF(A136='Données projet'!$A$192,'Données projet'!$B$192,EJ135+EI136-ER135)))</f>
        <v>272.09188034187991</v>
      </c>
      <c r="EK136" s="17">
        <f>EJ136*VLOOKUP('Données projet'!$B$15,Paramètres!$A$1:$I$89,3,0)*VLOOKUP('Données projet'!$B$15,Paramètres!$A$1:$I$89,5,0)</f>
        <v>292.8796999999995</v>
      </c>
      <c r="EL136" s="13">
        <f t="shared" si="153"/>
        <v>69.68169475088024</v>
      </c>
      <c r="EM136" s="20">
        <f t="shared" si="127"/>
        <v>631.4610958577822</v>
      </c>
      <c r="EN136" s="59">
        <f t="shared" si="128"/>
        <v>924.79442919111557</v>
      </c>
      <c r="EO136" s="59">
        <f ca="1">AVERAGE(OFFSET($EN$3,0,0,'Données projet'!$E$15+1,1))-AVERAGE(OFFSET($H$3,0,0,'Données projet'!$E$15+1,1))</f>
        <v>211.18501783767226</v>
      </c>
      <c r="EP136" s="59">
        <f t="shared" si="154"/>
        <v>147.98306963466246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498</v>
      </c>
      <c r="FF136" s="17">
        <f>FE136*VLOOKUP('Données projet'!$B$16,Paramètres!$A$1:$I$89,3,0)*VLOOKUP('Données projet'!$B$16,Paramètres!$A$1:$I$89,5,0)</f>
        <v>297.80400000000003</v>
      </c>
      <c r="FG136" s="13">
        <f t="shared" si="155"/>
        <v>70.715900863123025</v>
      </c>
      <c r="FH136" s="20">
        <f t="shared" si="130"/>
        <v>641.83882733660596</v>
      </c>
      <c r="FI136" s="59">
        <f t="shared" si="131"/>
        <v>935.17216066993933</v>
      </c>
      <c r="FJ136" s="59">
        <f ca="1">AVERAGE(OFFSET($FI$3,0,0,'Données projet'!$E$16+1,1))-AVERAGE(OFFSET($H$3,0,0,'Données projet'!$E$16+1,1))</f>
        <v>232.26937455765062</v>
      </c>
      <c r="FK136" s="59">
        <f t="shared" si="156"/>
        <v>115.80853281120301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0.28783623860089524</v>
      </c>
      <c r="FR136" s="21">
        <f>EXP(-LN(2)/25)*FR135+(1-EXP(-LN(2)/25))/(LN(2)/25)*Calculateur!FM136*Calculateur!FO136*VLOOKUP('Données projet'!$B$16,Paramètres!$A$1:$I$89,3,0)*0.475*44/12</f>
        <v>0.25357521307273079</v>
      </c>
      <c r="FS136" s="21">
        <f>EXP(-LN(2)/2)*FS135+(1-EXP(-LN(2)/2))/(LN(2)/2)*FM136*FP136*VLOOKUP('Données projet'!$B$16,Paramètres!$A$1:$I$89,3,0)*0.475*44/12</f>
        <v>2.6364141364514199E-15</v>
      </c>
      <c r="FT136" s="22">
        <f t="shared" si="132"/>
        <v>0.5414114516736287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5.6843418860808015E-14</v>
      </c>
      <c r="GA136" s="17">
        <f>FZ136*VLOOKUP('Données projet'!$B$17,Paramètres!$A$1:$I$89,3,0)*VLOOKUP('Données projet'!$B$17,Paramètres!$A$1:$I$89,5,0)</f>
        <v>4.5224624045658861E-14</v>
      </c>
      <c r="GB136" s="13">
        <f t="shared" si="157"/>
        <v>7.4514601661523691E-13</v>
      </c>
      <c r="GC136" s="20">
        <f t="shared" si="133"/>
        <v>1.3765621991510601E-12</v>
      </c>
      <c r="GD136" s="59">
        <f t="shared" si="134"/>
        <v>293.33333333333468</v>
      </c>
      <c r="GE136" s="59">
        <f ca="1">AVERAGE(OFFSET($GD$3,0,0,'Données projet'!$E$17+1,1))-AVERAGE(OFFSET($H$3,0,0,'Données projet'!$E$17+1,1))</f>
        <v>199.58763537752952</v>
      </c>
      <c r="GF136" s="59">
        <f t="shared" si="158"/>
        <v>242.62852778451929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0.59139174742618372</v>
      </c>
      <c r="GN136" s="21">
        <f>EXP(-LN(2)/2)*GN135+(1-EXP(-LN(2)/2))/(LN(2)/2)*GH136*GK136*VLOOKUP('Données projet'!$B$17,Paramètres!$A$1:$I$89,3,0)*0.475*44/12</f>
        <v>3.3793283353760302E-15</v>
      </c>
      <c r="GO136" s="21">
        <f t="shared" si="135"/>
        <v>0.59139174742618705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5.2446581196581219</v>
      </c>
      <c r="N137" s="13">
        <f>IF('Données projet'!$A$36&gt;35,N136+M137-V136,IF(A137&lt;'Données projet'!$A$36,$K$205^A137,IF(A137='Données projet'!$A$36,'Données projet'!$B$36,N136+M137-V136)))</f>
        <v>277.33653846153805</v>
      </c>
      <c r="O137" s="13">
        <f>N137*VLOOKUP('Données projet'!$B$9,Paramètres!$A$1:$I$89,3,0)*VLOOKUP('Données projet'!$B$9,Paramètres!$A$1:$I$89,5,0)</f>
        <v>250.9340999999996</v>
      </c>
      <c r="P137" s="13">
        <f t="shared" si="141"/>
        <v>60.785920872094742</v>
      </c>
      <c r="Q137" s="20">
        <f t="shared" si="108"/>
        <v>542.91236968556427</v>
      </c>
      <c r="R137" s="59">
        <f t="shared" si="109"/>
        <v>836.24570301889753</v>
      </c>
      <c r="S137" s="59">
        <f ca="1">AVERAGE(OFFSET($R$3,0,0,'Données projet'!$E$9+1,1))-AVERAGE(OFFSET($H$3,0,0,'Données projet'!$E$9+1,1))</f>
        <v>153.45079678708987</v>
      </c>
      <c r="T137" s="59">
        <f t="shared" si="142"/>
        <v>115.4217868409637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281.21924999999965</v>
      </c>
      <c r="AK137" s="13">
        <f t="shared" si="143"/>
        <v>67.224606261587638</v>
      </c>
      <c r="AL137" s="20">
        <f t="shared" si="112"/>
        <v>606.87304965559781</v>
      </c>
      <c r="AM137" s="59">
        <f t="shared" si="113"/>
        <v>900.20638298893118</v>
      </c>
      <c r="AN137" s="59">
        <f ca="1">AVERAGE(OFFSET($AM$3,0,0,'Données projet'!$E$10+1,1))-AVERAGE(OFFSET($H$3,0,0,'Données projet'!$E$10+1,1))</f>
        <v>190.21499310415584</v>
      </c>
      <c r="AO137" s="59">
        <f t="shared" si="144"/>
        <v>136.15730566500173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497</v>
      </c>
      <c r="BE137" s="13">
        <f>BD137*VLOOKUP('Données projet'!$B$11,Paramètres!$A$1:$I$89,3,0)*VLOOKUP('Données projet'!$B$11,Paramètres!$A$1:$I$89,5,0)</f>
        <v>297.20600000000002</v>
      </c>
      <c r="BF137" s="13">
        <f t="shared" si="145"/>
        <v>70.590415164571112</v>
      </c>
      <c r="BG137" s="20">
        <f t="shared" si="115"/>
        <v>640.57875641162809</v>
      </c>
      <c r="BH137" s="59">
        <f t="shared" si="116"/>
        <v>933.91208974496135</v>
      </c>
      <c r="BI137" s="59">
        <f ca="1">AVERAGE(OFFSET($BH$3,0,0,'Données projet'!$E$11+1,1))-AVERAGE(OFFSET($H$3,0,0,'Données projet'!$E$11+1,1))</f>
        <v>270.30888762640245</v>
      </c>
      <c r="BJ137" s="59">
        <f t="shared" si="146"/>
        <v>202.23783851977691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0.27308897954003386</v>
      </c>
      <c r="BQ137" s="21">
        <f>EXP(-LN(2)/25)*BQ136+(1-EXP(-LN(2)/25))/(LN(2)/25)*Calculateur!BL137*Calculateur!BN137*VLOOKUP('Données projet'!$B$11,Paramètres!$A$1:$I$89,3,0)*0.475*44/12</f>
        <v>0.68778247290212269</v>
      </c>
      <c r="BR137" s="21">
        <f>EXP(-LN(2)/2)*BR136+(1-EXP(-LN(2)/2))/(LN(2)/2)*BL137*BO137*VLOOKUP('Données projet'!$B$11,Paramètres!$A$1:$I$89,3,0)*0.475*44/12</f>
        <v>4.1061839676143261E-15</v>
      </c>
      <c r="BS137" s="22">
        <f t="shared" si="117"/>
        <v>0.96087145244216066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497</v>
      </c>
      <c r="BZ137" s="13">
        <f>BY137*VLOOKUP('Données projet'!$B$12,Paramètres!$A$1:$I$89,3,0)*VLOOKUP('Données projet'!$B$12,Paramètres!$A$1:$I$89,5,0)</f>
        <v>297.20600000000002</v>
      </c>
      <c r="CA137" s="13">
        <f t="shared" si="147"/>
        <v>70.590415164571112</v>
      </c>
      <c r="CB137" s="20">
        <f t="shared" si="118"/>
        <v>640.57875641162809</v>
      </c>
      <c r="CC137" s="59">
        <f t="shared" si="119"/>
        <v>933.91208974496135</v>
      </c>
      <c r="CD137" s="59">
        <f ca="1">AVERAGE(OFFSET($CC$3,0,0,'Données projet'!$E$12+1,1))-AVERAGE(OFFSET($H$3,0,0,'Données projet'!$E$12+1,1))</f>
        <v>270.30888762640245</v>
      </c>
      <c r="CE137" s="59">
        <f t="shared" si="148"/>
        <v>202.23783851977691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0.27308897954003386</v>
      </c>
      <c r="CL137" s="21">
        <f>EXP(-LN(2)/25)*CL136+(1-EXP(-LN(2)/25))/(LN(2)/25)*Calculateur!CG137*Calculateur!CI137*VLOOKUP('Données projet'!$B$12,Paramètres!$A$1:$I$89,3,0)*0.475*44/12</f>
        <v>0.68778247290212269</v>
      </c>
      <c r="CM137" s="21">
        <f>EXP(-LN(2)/2)*CM136+(1-EXP(-LN(2)/2))/(LN(2)/2)*CG137*CJ137*VLOOKUP('Données projet'!$B$12,Paramètres!$A$1:$I$89,3,0)*0.475*44/12</f>
        <v>4.1061839676143261E-15</v>
      </c>
      <c r="CN137" s="22">
        <f t="shared" si="120"/>
        <v>0.96087145244216066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3.4106051316484809E-13</v>
      </c>
      <c r="CU137" s="17">
        <f>CT137*VLOOKUP('Données projet'!$B$13,Paramètres!$A$1:$I$89,3,0)*VLOOKUP('Données projet'!$B$13,Paramètres!$A$1:$I$89,5,0)</f>
        <v>1.5961632016114892E-13</v>
      </c>
      <c r="CV137" s="13">
        <f t="shared" si="149"/>
        <v>2.2708641912150958E-12</v>
      </c>
      <c r="CW137" s="20">
        <f t="shared" si="121"/>
        <v>4.2330868906469593E-12</v>
      </c>
      <c r="CX137" s="59">
        <f t="shared" si="122"/>
        <v>293.33333333333752</v>
      </c>
      <c r="CY137" s="59">
        <f ca="1">AVERAGE(OFFSET($CX$3,0,0,'Données projet'!$E$13+1,1))-AVERAGE(OFFSET($H$3,0,0,'Données projet'!$E$13+1,1))</f>
        <v>158.58786357608489</v>
      </c>
      <c r="CZ137" s="59">
        <f t="shared" si="150"/>
        <v>163.20074068819849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3.813056537183002E-14</v>
      </c>
      <c r="DQ137" s="13">
        <f t="shared" si="151"/>
        <v>6.4086286045526829E-13</v>
      </c>
      <c r="DR137" s="20">
        <f t="shared" si="124"/>
        <v>1.1825802166488628E-12</v>
      </c>
      <c r="DS137" s="59">
        <f t="shared" si="125"/>
        <v>293.33333333333451</v>
      </c>
      <c r="DT137" s="59">
        <f ca="1">AVERAGE(OFFSET($DS$3,0,0,'Données projet'!$E$14+1,1))-AVERAGE(OFFSET($H$3,0,0,'Données projet'!$E$14+1,1))</f>
        <v>156.63226020379989</v>
      </c>
      <c r="DU137" s="59">
        <f t="shared" si="152"/>
        <v>196.0481096619543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0.48498950366065918</v>
      </c>
      <c r="EC137" s="21">
        <f>EXP(-LN(2)/2)*EC136+(1-EXP(-LN(2)/2))/(LN(2)/2)*DW137*DZ137*VLOOKUP('Données projet'!$B$14,Paramètres!$A$1:$I$89,3,0)*0.475*44/12</f>
        <v>2.0147152395570619E-15</v>
      </c>
      <c r="ED137" s="22">
        <f t="shared" si="126"/>
        <v>0.48498950366066118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5.2446581196581219</v>
      </c>
      <c r="EJ137" s="12">
        <f>IF('Données projet'!$A$192&gt;35,EJ136+EI137-ER136,IF(A137&lt;'Données projet'!$A$192,$EG$205^A137,IF(A137='Données projet'!$A$192,'Données projet'!$B$192,EJ136+EI137-ER136)))</f>
        <v>277.33653846153805</v>
      </c>
      <c r="EK137" s="17">
        <f>EJ137*VLOOKUP('Données projet'!$B$15,Paramètres!$A$1:$I$89,3,0)*VLOOKUP('Données projet'!$B$15,Paramètres!$A$1:$I$89,5,0)</f>
        <v>298.52504999999957</v>
      </c>
      <c r="EL137" s="13">
        <f t="shared" si="153"/>
        <v>70.867168663588373</v>
      </c>
      <c r="EM137" s="20">
        <f t="shared" si="127"/>
        <v>643.35811417241564</v>
      </c>
      <c r="EN137" s="59">
        <f t="shared" si="128"/>
        <v>936.69144750574901</v>
      </c>
      <c r="EO137" s="59">
        <f ca="1">AVERAGE(OFFSET($EN$3,0,0,'Données projet'!$E$15+1,1))-AVERAGE(OFFSET($H$3,0,0,'Données projet'!$E$15+1,1))</f>
        <v>211.18501783767226</v>
      </c>
      <c r="EP137" s="59">
        <f t="shared" si="154"/>
        <v>147.98306963466246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498</v>
      </c>
      <c r="FF137" s="17">
        <f>FE137*VLOOKUP('Données projet'!$B$16,Paramètres!$A$1:$I$89,3,0)*VLOOKUP('Données projet'!$B$16,Paramètres!$A$1:$I$89,5,0)</f>
        <v>297.80400000000003</v>
      </c>
      <c r="FG137" s="13">
        <f t="shared" si="155"/>
        <v>70.715900863123025</v>
      </c>
      <c r="FH137" s="20">
        <f t="shared" si="130"/>
        <v>641.83882733660596</v>
      </c>
      <c r="FI137" s="59">
        <f t="shared" si="131"/>
        <v>935.17216066993933</v>
      </c>
      <c r="FJ137" s="59">
        <f ca="1">AVERAGE(OFFSET($FI$3,0,0,'Données projet'!$E$16+1,1))-AVERAGE(OFFSET($H$3,0,0,'Données projet'!$E$16+1,1))</f>
        <v>232.26937455765062</v>
      </c>
      <c r="FK137" s="59">
        <f t="shared" si="156"/>
        <v>115.80853281120301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0.28219194552470184</v>
      </c>
      <c r="FR137" s="21">
        <f>EXP(-LN(2)/25)*FR136+(1-EXP(-LN(2)/25))/(LN(2)/25)*Calculateur!FM137*Calculateur!FO137*VLOOKUP('Données projet'!$B$16,Paramètres!$A$1:$I$89,3,0)*0.475*44/12</f>
        <v>0.24664118553631606</v>
      </c>
      <c r="FS137" s="21">
        <f>EXP(-LN(2)/2)*FS136+(1-EXP(-LN(2)/2))/(LN(2)/2)*FM137*FP137*VLOOKUP('Données projet'!$B$16,Paramètres!$A$1:$I$89,3,0)*0.475*44/12</f>
        <v>1.8642263139008748E-15</v>
      </c>
      <c r="FT137" s="22">
        <f t="shared" si="132"/>
        <v>0.52883313106101981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5.6843418860808015E-14</v>
      </c>
      <c r="GA137" s="17">
        <f>FZ137*VLOOKUP('Données projet'!$B$17,Paramètres!$A$1:$I$89,3,0)*VLOOKUP('Données projet'!$B$17,Paramètres!$A$1:$I$89,5,0)</f>
        <v>4.5224624045658861E-14</v>
      </c>
      <c r="GB137" s="13">
        <f t="shared" si="157"/>
        <v>7.4514601661523691E-13</v>
      </c>
      <c r="GC137" s="20">
        <f t="shared" si="133"/>
        <v>1.3765621991510601E-12</v>
      </c>
      <c r="GD137" s="59">
        <f t="shared" si="134"/>
        <v>293.33333333333468</v>
      </c>
      <c r="GE137" s="59">
        <f ca="1">AVERAGE(OFFSET($GD$3,0,0,'Données projet'!$E$17+1,1))-AVERAGE(OFFSET($H$3,0,0,'Données projet'!$E$17+1,1))</f>
        <v>199.58763537752952</v>
      </c>
      <c r="GF137" s="59">
        <f t="shared" si="158"/>
        <v>242.62852778451929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0.57522010899287435</v>
      </c>
      <c r="GN137" s="21">
        <f>EXP(-LN(2)/2)*GN136+(1-EXP(-LN(2)/2))/(LN(2)/2)*GH137*GK137*VLOOKUP('Données projet'!$B$17,Paramètres!$A$1:$I$89,3,0)*0.475*44/12</f>
        <v>2.3895459818002384E-15</v>
      </c>
      <c r="GO137" s="21">
        <f t="shared" si="135"/>
        <v>0.57522010899287679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5.2446581196581219</v>
      </c>
      <c r="N138" s="13">
        <f>IF('Données projet'!$A$36&gt;35,N137+M138-V137,IF(A138&lt;'Données projet'!$A$36,$K$205^A138,IF(A138='Données projet'!$A$36,'Données projet'!$B$36,N137+M138-V137)))</f>
        <v>282.5811965811962</v>
      </c>
      <c r="O138" s="13">
        <f>N138*VLOOKUP('Données projet'!$B$9,Paramètres!$A$1:$I$89,3,0)*VLOOKUP('Données projet'!$B$9,Paramètres!$A$1:$I$89,5,0)</f>
        <v>255.67946666666631</v>
      </c>
      <c r="P138" s="13">
        <f t="shared" si="141"/>
        <v>61.800518593848722</v>
      </c>
      <c r="Q138" s="20">
        <f t="shared" si="108"/>
        <v>552.94430766206358</v>
      </c>
      <c r="R138" s="59">
        <f t="shared" si="109"/>
        <v>846.27764099539695</v>
      </c>
      <c r="S138" s="59">
        <f ca="1">AVERAGE(OFFSET($R$3,0,0,'Données projet'!$E$9+1,1))-AVERAGE(OFFSET($H$3,0,0,'Données projet'!$E$9+1,1))</f>
        <v>153.45079678708987</v>
      </c>
      <c r="T138" s="59">
        <f t="shared" si="142"/>
        <v>115.4217868409637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286.53733333333292</v>
      </c>
      <c r="AK138" s="13">
        <f t="shared" si="143"/>
        <v>68.346674190809836</v>
      </c>
      <c r="AL138" s="20">
        <f t="shared" si="112"/>
        <v>618.08964643788192</v>
      </c>
      <c r="AM138" s="59">
        <f t="shared" si="113"/>
        <v>911.4229797712153</v>
      </c>
      <c r="AN138" s="59">
        <f ca="1">AVERAGE(OFFSET($AM$3,0,0,'Données projet'!$E$10+1,1))-AVERAGE(OFFSET($H$3,0,0,'Données projet'!$E$10+1,1))</f>
        <v>190.21499310415584</v>
      </c>
      <c r="AO138" s="59">
        <f t="shared" si="144"/>
        <v>136.15730566500173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497</v>
      </c>
      <c r="BE138" s="13">
        <f>BD138*VLOOKUP('Données projet'!$B$11,Paramètres!$A$1:$I$89,3,0)*VLOOKUP('Données projet'!$B$11,Paramètres!$A$1:$I$89,5,0)</f>
        <v>297.20600000000002</v>
      </c>
      <c r="BF138" s="13">
        <f t="shared" si="145"/>
        <v>70.590415164571112</v>
      </c>
      <c r="BG138" s="20">
        <f t="shared" si="115"/>
        <v>640.57875641162809</v>
      </c>
      <c r="BH138" s="59">
        <f t="shared" si="116"/>
        <v>933.91208974496135</v>
      </c>
      <c r="BI138" s="59">
        <f ca="1">AVERAGE(OFFSET($BH$3,0,0,'Données projet'!$E$11+1,1))-AVERAGE(OFFSET($H$3,0,0,'Données projet'!$E$11+1,1))</f>
        <v>270.30888762640245</v>
      </c>
      <c r="BJ138" s="59">
        <f t="shared" si="146"/>
        <v>202.23783851977691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0.2677338712190841</v>
      </c>
      <c r="BQ138" s="21">
        <f>EXP(-LN(2)/25)*BQ137+(1-EXP(-LN(2)/25))/(LN(2)/25)*Calculateur!BL138*Calculateur!BN138*VLOOKUP('Données projet'!$B$11,Paramètres!$A$1:$I$89,3,0)*0.475*44/12</f>
        <v>0.6689750250117058</v>
      </c>
      <c r="BR138" s="21">
        <f>EXP(-LN(2)/2)*BR137+(1-EXP(-LN(2)/2))/(LN(2)/2)*BL138*BO138*VLOOKUP('Données projet'!$B$11,Paramètres!$A$1:$I$89,3,0)*0.475*44/12</f>
        <v>2.9035105282995729E-15</v>
      </c>
      <c r="BS138" s="22">
        <f t="shared" si="117"/>
        <v>0.93670889623079279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497</v>
      </c>
      <c r="BZ138" s="13">
        <f>BY138*VLOOKUP('Données projet'!$B$12,Paramètres!$A$1:$I$89,3,0)*VLOOKUP('Données projet'!$B$12,Paramètres!$A$1:$I$89,5,0)</f>
        <v>297.20600000000002</v>
      </c>
      <c r="CA138" s="13">
        <f t="shared" si="147"/>
        <v>70.590415164571112</v>
      </c>
      <c r="CB138" s="20">
        <f t="shared" si="118"/>
        <v>640.57875641162809</v>
      </c>
      <c r="CC138" s="59">
        <f t="shared" si="119"/>
        <v>933.91208974496135</v>
      </c>
      <c r="CD138" s="59">
        <f ca="1">AVERAGE(OFFSET($CC$3,0,0,'Données projet'!$E$12+1,1))-AVERAGE(OFFSET($H$3,0,0,'Données projet'!$E$12+1,1))</f>
        <v>270.30888762640245</v>
      </c>
      <c r="CE138" s="59">
        <f t="shared" si="148"/>
        <v>202.23783851977691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0.2677338712190841</v>
      </c>
      <c r="CL138" s="21">
        <f>EXP(-LN(2)/25)*CL137+(1-EXP(-LN(2)/25))/(LN(2)/25)*Calculateur!CG138*Calculateur!CI138*VLOOKUP('Données projet'!$B$12,Paramètres!$A$1:$I$89,3,0)*0.475*44/12</f>
        <v>0.6689750250117058</v>
      </c>
      <c r="CM138" s="21">
        <f>EXP(-LN(2)/2)*CM137+(1-EXP(-LN(2)/2))/(LN(2)/2)*CG138*CJ138*VLOOKUP('Données projet'!$B$12,Paramètres!$A$1:$I$89,3,0)*0.475*44/12</f>
        <v>2.9035105282995729E-15</v>
      </c>
      <c r="CN138" s="22">
        <f t="shared" si="120"/>
        <v>0.93670889623079279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3.4106051316484809E-13</v>
      </c>
      <c r="CU138" s="17">
        <f>CT138*VLOOKUP('Données projet'!$B$13,Paramètres!$A$1:$I$89,3,0)*VLOOKUP('Données projet'!$B$13,Paramètres!$A$1:$I$89,5,0)</f>
        <v>1.5961632016114892E-13</v>
      </c>
      <c r="CV138" s="13">
        <f t="shared" si="149"/>
        <v>2.2708641912150958E-12</v>
      </c>
      <c r="CW138" s="20">
        <f t="shared" si="121"/>
        <v>4.2330868906469593E-12</v>
      </c>
      <c r="CX138" s="59">
        <f t="shared" si="122"/>
        <v>293.33333333333752</v>
      </c>
      <c r="CY138" s="59">
        <f ca="1">AVERAGE(OFFSET($CX$3,0,0,'Données projet'!$E$13+1,1))-AVERAGE(OFFSET($H$3,0,0,'Données projet'!$E$13+1,1))</f>
        <v>158.58786357608489</v>
      </c>
      <c r="CZ138" s="59">
        <f t="shared" si="150"/>
        <v>163.20074068819849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3.813056537183002E-14</v>
      </c>
      <c r="DQ138" s="13">
        <f t="shared" si="151"/>
        <v>6.4086286045526829E-13</v>
      </c>
      <c r="DR138" s="20">
        <f t="shared" si="124"/>
        <v>1.1825802166488628E-12</v>
      </c>
      <c r="DS138" s="59">
        <f t="shared" si="125"/>
        <v>293.33333333333451</v>
      </c>
      <c r="DT138" s="59">
        <f ca="1">AVERAGE(OFFSET($DS$3,0,0,'Données projet'!$E$14+1,1))-AVERAGE(OFFSET($H$3,0,0,'Données projet'!$E$14+1,1))</f>
        <v>156.63226020379989</v>
      </c>
      <c r="DU138" s="59">
        <f t="shared" si="152"/>
        <v>196.0481096619543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0.47172744017856894</v>
      </c>
      <c r="EC138" s="21">
        <f>EXP(-LN(2)/2)*EC137+(1-EXP(-LN(2)/2))/(LN(2)/2)*DW138*DZ138*VLOOKUP('Données projet'!$B$14,Paramètres!$A$1:$I$89,3,0)*0.475*44/12</f>
        <v>1.424618808050678E-15</v>
      </c>
      <c r="ED138" s="22">
        <f t="shared" si="126"/>
        <v>0.47172744017857038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5.2446581196581219</v>
      </c>
      <c r="EJ138" s="12">
        <f>IF('Données projet'!$A$192&gt;35,EJ137+EI138-ER137,IF(A138&lt;'Données projet'!$A$192,$EG$205^A138,IF(A138='Données projet'!$A$192,'Données projet'!$B$192,EJ137+EI138-ER137)))</f>
        <v>282.5811965811962</v>
      </c>
      <c r="EK138" s="17">
        <f>EJ138*VLOOKUP('Données projet'!$B$15,Paramètres!$A$1:$I$89,3,0)*VLOOKUP('Données projet'!$B$15,Paramètres!$A$1:$I$89,5,0)</f>
        <v>304.17039999999957</v>
      </c>
      <c r="EL138" s="13">
        <f t="shared" si="153"/>
        <v>72.05003579534619</v>
      </c>
      <c r="EM138" s="20">
        <f t="shared" si="127"/>
        <v>655.25059234356047</v>
      </c>
      <c r="EN138" s="59">
        <f t="shared" si="128"/>
        <v>948.58392567689384</v>
      </c>
      <c r="EO138" s="59">
        <f ca="1">AVERAGE(OFFSET($EN$3,0,0,'Données projet'!$E$15+1,1))-AVERAGE(OFFSET($H$3,0,0,'Données projet'!$E$15+1,1))</f>
        <v>211.18501783767226</v>
      </c>
      <c r="EP138" s="59">
        <f t="shared" si="154"/>
        <v>147.98306963466246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498</v>
      </c>
      <c r="FF138" s="17">
        <f>FE138*VLOOKUP('Données projet'!$B$16,Paramètres!$A$1:$I$89,3,0)*VLOOKUP('Données projet'!$B$16,Paramètres!$A$1:$I$89,5,0)</f>
        <v>297.80400000000003</v>
      </c>
      <c r="FG138" s="13">
        <f t="shared" si="155"/>
        <v>70.715900863123025</v>
      </c>
      <c r="FH138" s="20">
        <f t="shared" si="130"/>
        <v>641.83882733660596</v>
      </c>
      <c r="FI138" s="59">
        <f t="shared" si="131"/>
        <v>935.17216066993933</v>
      </c>
      <c r="FJ138" s="59">
        <f ca="1">AVERAGE(OFFSET($FI$3,0,0,'Données projet'!$E$16+1,1))-AVERAGE(OFFSET($H$3,0,0,'Données projet'!$E$16+1,1))</f>
        <v>232.26937455765062</v>
      </c>
      <c r="FK138" s="59">
        <f t="shared" si="156"/>
        <v>115.80853281120301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0.27665833359305375</v>
      </c>
      <c r="FR138" s="21">
        <f>EXP(-LN(2)/25)*FR137+(1-EXP(-LN(2)/25))/(LN(2)/25)*Calculateur!FM138*Calculateur!FO138*VLOOKUP('Données projet'!$B$16,Paramètres!$A$1:$I$89,3,0)*0.475*44/12</f>
        <v>0.23989676934752927</v>
      </c>
      <c r="FS138" s="21">
        <f>EXP(-LN(2)/2)*FS137+(1-EXP(-LN(2)/2))/(LN(2)/2)*FM138*FP138*VLOOKUP('Données projet'!$B$16,Paramètres!$A$1:$I$89,3,0)*0.475*44/12</f>
        <v>1.3182070682257099E-15</v>
      </c>
      <c r="FT138" s="22">
        <f t="shared" si="132"/>
        <v>0.51655510294058438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5.6843418860808015E-14</v>
      </c>
      <c r="GA138" s="17">
        <f>FZ138*VLOOKUP('Données projet'!$B$17,Paramètres!$A$1:$I$89,3,0)*VLOOKUP('Données projet'!$B$17,Paramètres!$A$1:$I$89,5,0)</f>
        <v>4.5224624045658861E-14</v>
      </c>
      <c r="GB138" s="13">
        <f t="shared" si="157"/>
        <v>7.4514601661523691E-13</v>
      </c>
      <c r="GC138" s="20">
        <f t="shared" si="133"/>
        <v>1.3765621991510601E-12</v>
      </c>
      <c r="GD138" s="59">
        <f t="shared" si="134"/>
        <v>293.33333333333468</v>
      </c>
      <c r="GE138" s="59">
        <f ca="1">AVERAGE(OFFSET($GD$3,0,0,'Données projet'!$E$17+1,1))-AVERAGE(OFFSET($H$3,0,0,'Données projet'!$E$17+1,1))</f>
        <v>199.58763537752952</v>
      </c>
      <c r="GF138" s="59">
        <f t="shared" si="158"/>
        <v>242.62852778451929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0.55949068486295339</v>
      </c>
      <c r="GN138" s="21">
        <f>EXP(-LN(2)/2)*GN137+(1-EXP(-LN(2)/2))/(LN(2)/2)*GH138*GK138*VLOOKUP('Données projet'!$B$17,Paramètres!$A$1:$I$89,3,0)*0.475*44/12</f>
        <v>1.6896641676880151E-15</v>
      </c>
      <c r="GO138" s="21">
        <f t="shared" si="135"/>
        <v>0.55949068486295506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5.2446581196581219</v>
      </c>
      <c r="N139" s="13">
        <f>IF('Données projet'!$A$36&gt;35,N138+M139-V138,IF(A139&lt;'Données projet'!$A$36,$K$205^A139,IF(A139='Données projet'!$A$36,'Données projet'!$B$36,N138+M139-V138)))</f>
        <v>287.82585470085434</v>
      </c>
      <c r="O139" s="13">
        <f>N139*VLOOKUP('Données projet'!$B$9,Paramètres!$A$1:$I$89,3,0)*VLOOKUP('Données projet'!$B$9,Paramètres!$A$1:$I$89,5,0)</f>
        <v>260.42483333333297</v>
      </c>
      <c r="P139" s="13">
        <f t="shared" si="141"/>
        <v>62.81292664840214</v>
      </c>
      <c r="Q139" s="20">
        <f t="shared" si="108"/>
        <v>562.97243196818863</v>
      </c>
      <c r="R139" s="59">
        <f t="shared" si="109"/>
        <v>856.30576530152189</v>
      </c>
      <c r="S139" s="59">
        <f ca="1">AVERAGE(OFFSET($R$3,0,0,'Données projet'!$E$9+1,1))-AVERAGE(OFFSET($H$3,0,0,'Données projet'!$E$9+1,1))</f>
        <v>153.45079678708987</v>
      </c>
      <c r="T139" s="59">
        <f t="shared" si="142"/>
        <v>115.4217868409637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291.85541666666631</v>
      </c>
      <c r="AK139" s="13">
        <f t="shared" si="143"/>
        <v>69.466320514612647</v>
      </c>
      <c r="AL139" s="20">
        <f t="shared" si="112"/>
        <v>629.30202559072757</v>
      </c>
      <c r="AM139" s="59">
        <f t="shared" si="113"/>
        <v>922.63535892406094</v>
      </c>
      <c r="AN139" s="59">
        <f ca="1">AVERAGE(OFFSET($AM$3,0,0,'Données projet'!$E$10+1,1))-AVERAGE(OFFSET($H$3,0,0,'Données projet'!$E$10+1,1))</f>
        <v>190.21499310415584</v>
      </c>
      <c r="AO139" s="59">
        <f t="shared" si="144"/>
        <v>136.15730566500173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497</v>
      </c>
      <c r="BE139" s="13">
        <f>BD139*VLOOKUP('Données projet'!$B$11,Paramètres!$A$1:$I$89,3,0)*VLOOKUP('Données projet'!$B$11,Paramètres!$A$1:$I$89,5,0)</f>
        <v>297.20600000000002</v>
      </c>
      <c r="BF139" s="13">
        <f t="shared" si="145"/>
        <v>70.590415164571112</v>
      </c>
      <c r="BG139" s="20">
        <f t="shared" si="115"/>
        <v>640.57875641162809</v>
      </c>
      <c r="BH139" s="59">
        <f t="shared" si="116"/>
        <v>933.91208974496135</v>
      </c>
      <c r="BI139" s="59">
        <f ca="1">AVERAGE(OFFSET($BH$3,0,0,'Données projet'!$E$11+1,1))-AVERAGE(OFFSET($H$3,0,0,'Données projet'!$E$11+1,1))</f>
        <v>270.30888762640245</v>
      </c>
      <c r="BJ139" s="59">
        <f t="shared" si="146"/>
        <v>202.23783851977691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0.26248377330601463</v>
      </c>
      <c r="BQ139" s="21">
        <f>EXP(-LN(2)/25)*BQ138+(1-EXP(-LN(2)/25))/(LN(2)/25)*Calculateur!BL139*Calculateur!BN139*VLOOKUP('Données projet'!$B$11,Paramètres!$A$1:$I$89,3,0)*0.475*44/12</f>
        <v>0.65068186777289305</v>
      </c>
      <c r="BR139" s="21">
        <f>EXP(-LN(2)/2)*BR138+(1-EXP(-LN(2)/2))/(LN(2)/2)*BL139*BO139*VLOOKUP('Données projet'!$B$11,Paramètres!$A$1:$I$89,3,0)*0.475*44/12</f>
        <v>2.0530919838071631E-15</v>
      </c>
      <c r="BS139" s="22">
        <f t="shared" si="117"/>
        <v>0.91316564107890974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497</v>
      </c>
      <c r="BZ139" s="13">
        <f>BY139*VLOOKUP('Données projet'!$B$12,Paramètres!$A$1:$I$89,3,0)*VLOOKUP('Données projet'!$B$12,Paramètres!$A$1:$I$89,5,0)</f>
        <v>297.20600000000002</v>
      </c>
      <c r="CA139" s="13">
        <f t="shared" si="147"/>
        <v>70.590415164571112</v>
      </c>
      <c r="CB139" s="20">
        <f t="shared" si="118"/>
        <v>640.57875641162809</v>
      </c>
      <c r="CC139" s="59">
        <f t="shared" si="119"/>
        <v>933.91208974496135</v>
      </c>
      <c r="CD139" s="59">
        <f ca="1">AVERAGE(OFFSET($CC$3,0,0,'Données projet'!$E$12+1,1))-AVERAGE(OFFSET($H$3,0,0,'Données projet'!$E$12+1,1))</f>
        <v>270.30888762640245</v>
      </c>
      <c r="CE139" s="59">
        <f t="shared" si="148"/>
        <v>202.23783851977691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0.26248377330601463</v>
      </c>
      <c r="CL139" s="21">
        <f>EXP(-LN(2)/25)*CL138+(1-EXP(-LN(2)/25))/(LN(2)/25)*Calculateur!CG139*Calculateur!CI139*VLOOKUP('Données projet'!$B$12,Paramètres!$A$1:$I$89,3,0)*0.475*44/12</f>
        <v>0.65068186777289305</v>
      </c>
      <c r="CM139" s="21">
        <f>EXP(-LN(2)/2)*CM138+(1-EXP(-LN(2)/2))/(LN(2)/2)*CG139*CJ139*VLOOKUP('Données projet'!$B$12,Paramètres!$A$1:$I$89,3,0)*0.475*44/12</f>
        <v>2.0530919838071631E-15</v>
      </c>
      <c r="CN139" s="22">
        <f t="shared" si="120"/>
        <v>0.91316564107890974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3.4106051316484809E-13</v>
      </c>
      <c r="CU139" s="17">
        <f>CT139*VLOOKUP('Données projet'!$B$13,Paramètres!$A$1:$I$89,3,0)*VLOOKUP('Données projet'!$B$13,Paramètres!$A$1:$I$89,5,0)</f>
        <v>1.5961632016114892E-13</v>
      </c>
      <c r="CV139" s="13">
        <f t="shared" si="149"/>
        <v>2.2708641912150958E-12</v>
      </c>
      <c r="CW139" s="20">
        <f t="shared" si="121"/>
        <v>4.2330868906469593E-12</v>
      </c>
      <c r="CX139" s="59">
        <f t="shared" si="122"/>
        <v>293.33333333333752</v>
      </c>
      <c r="CY139" s="59">
        <f ca="1">AVERAGE(OFFSET($CX$3,0,0,'Données projet'!$E$13+1,1))-AVERAGE(OFFSET($H$3,0,0,'Données projet'!$E$13+1,1))</f>
        <v>158.58786357608489</v>
      </c>
      <c r="CZ139" s="59">
        <f t="shared" si="150"/>
        <v>163.20074068819849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3.813056537183002E-14</v>
      </c>
      <c r="DQ139" s="13">
        <f t="shared" si="151"/>
        <v>6.4086286045526829E-13</v>
      </c>
      <c r="DR139" s="20">
        <f t="shared" si="124"/>
        <v>1.1825802166488628E-12</v>
      </c>
      <c r="DS139" s="59">
        <f t="shared" si="125"/>
        <v>293.33333333333451</v>
      </c>
      <c r="DT139" s="59">
        <f ca="1">AVERAGE(OFFSET($DS$3,0,0,'Données projet'!$E$14+1,1))-AVERAGE(OFFSET($H$3,0,0,'Données projet'!$E$14+1,1))</f>
        <v>156.63226020379989</v>
      </c>
      <c r="DU139" s="59">
        <f t="shared" si="152"/>
        <v>196.0481096619543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0.45882802851981802</v>
      </c>
      <c r="EC139" s="21">
        <f>EXP(-LN(2)/2)*EC138+(1-EXP(-LN(2)/2))/(LN(2)/2)*DW139*DZ139*VLOOKUP('Données projet'!$B$14,Paramètres!$A$1:$I$89,3,0)*0.475*44/12</f>
        <v>1.0073576197785309E-15</v>
      </c>
      <c r="ED139" s="22">
        <f t="shared" si="126"/>
        <v>0.45882802851981902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5.2446581196581219</v>
      </c>
      <c r="EJ139" s="12">
        <f>IF('Données projet'!$A$192&gt;35,EJ138+EI139-ER138,IF(A139&lt;'Données projet'!$A$192,$EG$205^A139,IF(A139='Données projet'!$A$192,'Données projet'!$B$192,EJ138+EI139-ER138)))</f>
        <v>287.82585470085434</v>
      </c>
      <c r="EK139" s="17">
        <f>EJ139*VLOOKUP('Données projet'!$B$15,Paramètres!$A$1:$I$89,3,0)*VLOOKUP('Données projet'!$B$15,Paramètres!$A$1:$I$89,5,0)</f>
        <v>309.81574999999958</v>
      </c>
      <c r="EL139" s="13">
        <f t="shared" si="153"/>
        <v>73.230350107099014</v>
      </c>
      <c r="EM139" s="20">
        <f t="shared" si="127"/>
        <v>667.13862435319663</v>
      </c>
      <c r="EN139" s="59">
        <f t="shared" si="128"/>
        <v>960.47195768653</v>
      </c>
      <c r="EO139" s="59">
        <f ca="1">AVERAGE(OFFSET($EN$3,0,0,'Données projet'!$E$15+1,1))-AVERAGE(OFFSET($H$3,0,0,'Données projet'!$E$15+1,1))</f>
        <v>211.18501783767226</v>
      </c>
      <c r="EP139" s="59">
        <f t="shared" si="154"/>
        <v>147.98306963466246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498</v>
      </c>
      <c r="FF139" s="17">
        <f>FE139*VLOOKUP('Données projet'!$B$16,Paramètres!$A$1:$I$89,3,0)*VLOOKUP('Données projet'!$B$16,Paramètres!$A$1:$I$89,5,0)</f>
        <v>297.80400000000003</v>
      </c>
      <c r="FG139" s="13">
        <f t="shared" si="155"/>
        <v>70.715900863123025</v>
      </c>
      <c r="FH139" s="20">
        <f t="shared" si="130"/>
        <v>641.83882733660596</v>
      </c>
      <c r="FI139" s="59">
        <f t="shared" si="131"/>
        <v>935.17216066993933</v>
      </c>
      <c r="FJ139" s="59">
        <f ca="1">AVERAGE(OFFSET($FI$3,0,0,'Données projet'!$E$16+1,1))-AVERAGE(OFFSET($H$3,0,0,'Données projet'!$E$16+1,1))</f>
        <v>232.26937455765062</v>
      </c>
      <c r="FK139" s="59">
        <f t="shared" si="156"/>
        <v>115.80853281120301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0.27123323241621528</v>
      </c>
      <c r="FR139" s="21">
        <f>EXP(-LN(2)/25)*FR138+(1-EXP(-LN(2)/25))/(LN(2)/25)*Calculateur!FM139*Calculateur!FO139*VLOOKUP('Données projet'!$B$16,Paramètres!$A$1:$I$89,3,0)*0.475*44/12</f>
        <v>0.23333677957409826</v>
      </c>
      <c r="FS139" s="21">
        <f>EXP(-LN(2)/2)*FS138+(1-EXP(-LN(2)/2))/(LN(2)/2)*FM139*FP139*VLOOKUP('Données projet'!$B$16,Paramètres!$A$1:$I$89,3,0)*0.475*44/12</f>
        <v>9.3211315695043739E-16</v>
      </c>
      <c r="FT139" s="22">
        <f t="shared" si="132"/>
        <v>0.50457001199031448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5.6843418860808015E-14</v>
      </c>
      <c r="GA139" s="17">
        <f>FZ139*VLOOKUP('Données projet'!$B$17,Paramètres!$A$1:$I$89,3,0)*VLOOKUP('Données projet'!$B$17,Paramètres!$A$1:$I$89,5,0)</f>
        <v>4.5224624045658861E-14</v>
      </c>
      <c r="GB139" s="13">
        <f t="shared" si="157"/>
        <v>7.4514601661523691E-13</v>
      </c>
      <c r="GC139" s="20">
        <f t="shared" si="133"/>
        <v>1.3765621991510601E-12</v>
      </c>
      <c r="GD139" s="59">
        <f t="shared" si="134"/>
        <v>293.33333333333468</v>
      </c>
      <c r="GE139" s="59">
        <f ca="1">AVERAGE(OFFSET($GD$3,0,0,'Données projet'!$E$17+1,1))-AVERAGE(OFFSET($H$3,0,0,'Données projet'!$E$17+1,1))</f>
        <v>199.58763537752952</v>
      </c>
      <c r="GF139" s="59">
        <f t="shared" si="158"/>
        <v>242.62852778451929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0.54419138266303957</v>
      </c>
      <c r="GN139" s="21">
        <f>EXP(-LN(2)/2)*GN138+(1-EXP(-LN(2)/2))/(LN(2)/2)*GH139*GK139*VLOOKUP('Données projet'!$B$17,Paramètres!$A$1:$I$89,3,0)*0.475*44/12</f>
        <v>1.1947729909001192E-15</v>
      </c>
      <c r="GO139" s="21">
        <f t="shared" si="135"/>
        <v>0.54419138266304079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293.07051282051282</v>
      </c>
      <c r="L140" s="12">
        <f>VLOOKUP(A140,'Données projet'!$A$35:$I$55,9,0)</f>
        <v>5.2446581196581219</v>
      </c>
      <c r="M140" s="12">
        <f t="array" ref="M140">INDEX(L:L,MIN(IF(ISNUMBER(L140:L336),ROW(L140:L336),"")))</f>
        <v>5.2446581196581219</v>
      </c>
      <c r="N140" s="13">
        <f>IF('Données projet'!$A$36&gt;35,N139+M140-V139,IF(A140&lt;'Données projet'!$A$36,$K$205^A140,IF(A140='Données projet'!$A$36,'Données projet'!$B$36,N139+M140-V139)))</f>
        <v>293.07051282051248</v>
      </c>
      <c r="O140" s="13">
        <f>N140*VLOOKUP('Données projet'!$B$9,Paramètres!$A$1:$I$89,3,0)*VLOOKUP('Données projet'!$B$9,Paramètres!$A$1:$I$89,5,0)</f>
        <v>265.17019999999968</v>
      </c>
      <c r="P140" s="13">
        <f t="shared" si="141"/>
        <v>63.823189537116463</v>
      </c>
      <c r="Q140" s="20">
        <f t="shared" si="108"/>
        <v>572.9968201104773</v>
      </c>
      <c r="R140" s="59">
        <f t="shared" si="109"/>
        <v>866.33015344381056</v>
      </c>
      <c r="S140" s="59">
        <f ca="1">AVERAGE(OFFSET($R$3,0,0,'Données projet'!$E$9+1,1))-AVERAGE(OFFSET($H$3,0,0,'Données projet'!$E$9+1,1))</f>
        <v>153.45079678708987</v>
      </c>
      <c r="T140" s="59">
        <f t="shared" si="142"/>
        <v>115.4217868409637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51.160256410256409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297.17349999999965</v>
      </c>
      <c r="AK140" s="13">
        <f t="shared" si="143"/>
        <v>70.583594448118191</v>
      </c>
      <c r="AL140" s="20">
        <f t="shared" si="112"/>
        <v>640.51027283047199</v>
      </c>
      <c r="AM140" s="59">
        <f t="shared" si="113"/>
        <v>933.84360616380536</v>
      </c>
      <c r="AN140" s="59">
        <f ca="1">AVERAGE(OFFSET($AM$3,0,0,'Données projet'!$E$10+1,1))-AVERAGE(OFFSET($H$3,0,0,'Données projet'!$E$10+1,1))</f>
        <v>190.21499310415584</v>
      </c>
      <c r="AO140" s="59">
        <f t="shared" si="144"/>
        <v>136.15730566500173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497</v>
      </c>
      <c r="BE140" s="13">
        <f>BD140*VLOOKUP('Données projet'!$B$11,Paramètres!$A$1:$I$89,3,0)*VLOOKUP('Données projet'!$B$11,Paramètres!$A$1:$I$89,5,0)</f>
        <v>297.20600000000002</v>
      </c>
      <c r="BF140" s="13">
        <f t="shared" si="145"/>
        <v>70.590415164571112</v>
      </c>
      <c r="BG140" s="20">
        <f t="shared" si="115"/>
        <v>640.57875641162809</v>
      </c>
      <c r="BH140" s="59">
        <f t="shared" si="116"/>
        <v>933.91208974496135</v>
      </c>
      <c r="BI140" s="59">
        <f ca="1">AVERAGE(OFFSET($BH$3,0,0,'Données projet'!$E$11+1,1))-AVERAGE(OFFSET($H$3,0,0,'Données projet'!$E$11+1,1))</f>
        <v>270.30888762640245</v>
      </c>
      <c r="BJ140" s="59">
        <f t="shared" si="146"/>
        <v>202.23783851977691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0.25733662661077689</v>
      </c>
      <c r="BQ140" s="21">
        <f>EXP(-LN(2)/25)*BQ139+(1-EXP(-LN(2)/25))/(LN(2)/25)*Calculateur!BL140*Calculateur!BN140*VLOOKUP('Données projet'!$B$11,Paramètres!$A$1:$I$89,3,0)*0.475*44/12</f>
        <v>0.63288893788077105</v>
      </c>
      <c r="BR140" s="21">
        <f>EXP(-LN(2)/2)*BR139+(1-EXP(-LN(2)/2))/(LN(2)/2)*BL140*BO140*VLOOKUP('Données projet'!$B$11,Paramètres!$A$1:$I$89,3,0)*0.475*44/12</f>
        <v>1.4517552641497864E-15</v>
      </c>
      <c r="BS140" s="22">
        <f t="shared" si="117"/>
        <v>0.89022556449154944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497</v>
      </c>
      <c r="BZ140" s="13">
        <f>BY140*VLOOKUP('Données projet'!$B$12,Paramètres!$A$1:$I$89,3,0)*VLOOKUP('Données projet'!$B$12,Paramètres!$A$1:$I$89,5,0)</f>
        <v>297.20600000000002</v>
      </c>
      <c r="CA140" s="13">
        <f t="shared" si="147"/>
        <v>70.590415164571112</v>
      </c>
      <c r="CB140" s="20">
        <f t="shared" si="118"/>
        <v>640.57875641162809</v>
      </c>
      <c r="CC140" s="59">
        <f t="shared" si="119"/>
        <v>933.91208974496135</v>
      </c>
      <c r="CD140" s="59">
        <f ca="1">AVERAGE(OFFSET($CC$3,0,0,'Données projet'!$E$12+1,1))-AVERAGE(OFFSET($H$3,0,0,'Données projet'!$E$12+1,1))</f>
        <v>270.30888762640245</v>
      </c>
      <c r="CE140" s="59">
        <f t="shared" si="148"/>
        <v>202.23783851977691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0.25733662661077689</v>
      </c>
      <c r="CL140" s="21">
        <f>EXP(-LN(2)/25)*CL139+(1-EXP(-LN(2)/25))/(LN(2)/25)*Calculateur!CG140*Calculateur!CI140*VLOOKUP('Données projet'!$B$12,Paramètres!$A$1:$I$89,3,0)*0.475*44/12</f>
        <v>0.63288893788077105</v>
      </c>
      <c r="CM140" s="21">
        <f>EXP(-LN(2)/2)*CM139+(1-EXP(-LN(2)/2))/(LN(2)/2)*CG140*CJ140*VLOOKUP('Données projet'!$B$12,Paramètres!$A$1:$I$89,3,0)*0.475*44/12</f>
        <v>1.4517552641497864E-15</v>
      </c>
      <c r="CN140" s="22">
        <f t="shared" si="120"/>
        <v>0.89022556449154944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3.4106051316484809E-13</v>
      </c>
      <c r="CU140" s="17">
        <f>CT140*VLOOKUP('Données projet'!$B$13,Paramètres!$A$1:$I$89,3,0)*VLOOKUP('Données projet'!$B$13,Paramètres!$A$1:$I$89,5,0)</f>
        <v>1.5961632016114892E-13</v>
      </c>
      <c r="CV140" s="13">
        <f t="shared" si="149"/>
        <v>2.2708641912150958E-12</v>
      </c>
      <c r="CW140" s="20">
        <f t="shared" si="121"/>
        <v>4.2330868906469593E-12</v>
      </c>
      <c r="CX140" s="59">
        <f t="shared" si="122"/>
        <v>293.33333333333752</v>
      </c>
      <c r="CY140" s="59">
        <f ca="1">AVERAGE(OFFSET($CX$3,0,0,'Données projet'!$E$13+1,1))-AVERAGE(OFFSET($H$3,0,0,'Données projet'!$E$13+1,1))</f>
        <v>158.58786357608489</v>
      </c>
      <c r="CZ140" s="59">
        <f t="shared" si="150"/>
        <v>163.20074068819849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3.813056537183002E-14</v>
      </c>
      <c r="DQ140" s="13">
        <f t="shared" si="151"/>
        <v>6.4086286045526829E-13</v>
      </c>
      <c r="DR140" s="20">
        <f t="shared" si="124"/>
        <v>1.1825802166488628E-12</v>
      </c>
      <c r="DS140" s="59">
        <f t="shared" si="125"/>
        <v>293.33333333333451</v>
      </c>
      <c r="DT140" s="59">
        <f ca="1">AVERAGE(OFFSET($DS$3,0,0,'Données projet'!$E$14+1,1))-AVERAGE(OFFSET($H$3,0,0,'Données projet'!$E$14+1,1))</f>
        <v>156.63226020379989</v>
      </c>
      <c r="DU140" s="59">
        <f t="shared" si="152"/>
        <v>196.0481096619543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0.44628135195122626</v>
      </c>
      <c r="EC140" s="21">
        <f>EXP(-LN(2)/2)*EC139+(1-EXP(-LN(2)/2))/(LN(2)/2)*DW140*DZ140*VLOOKUP('Données projet'!$B$14,Paramètres!$A$1:$I$89,3,0)*0.475*44/12</f>
        <v>7.1230940402533902E-16</v>
      </c>
      <c r="ED140" s="22">
        <f t="shared" si="126"/>
        <v>0.44628135195122698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projet'!$A$191:$I$211,2,0)</f>
        <v>293.07051282051282</v>
      </c>
      <c r="EH140" s="12">
        <f>VLOOKUP(A140,'Données projet'!$A$191:$I$211,9,0)</f>
        <v>5.2446581196581219</v>
      </c>
      <c r="EI140" s="12">
        <f t="array" ref="EI140">INDEX(EH:EH,MIN(IF(ISNUMBER(EH140:EH336),ROW(EH140:EH336),"")))</f>
        <v>5.2446581196581219</v>
      </c>
      <c r="EJ140" s="12">
        <f>IF('Données projet'!$A$192&gt;35,EJ139+EI140-ER139,IF(A140&lt;'Données projet'!$A$192,$EG$205^A140,IF(A140='Données projet'!$A$192,'Données projet'!$B$192,EJ139+EI140-ER139)))</f>
        <v>293.07051282051248</v>
      </c>
      <c r="EK140" s="17">
        <f>EJ140*VLOOKUP('Données projet'!$B$15,Paramètres!$A$1:$I$89,3,0)*VLOOKUP('Données projet'!$B$15,Paramètres!$A$1:$I$89,5,0)</f>
        <v>315.46109999999959</v>
      </c>
      <c r="EL140" s="13">
        <f t="shared" si="153"/>
        <v>74.408163480688174</v>
      </c>
      <c r="EM140" s="20">
        <f t="shared" si="127"/>
        <v>679.02230056219787</v>
      </c>
      <c r="EN140" s="59">
        <f t="shared" si="128"/>
        <v>972.35563389553113</v>
      </c>
      <c r="EO140" s="59">
        <f ca="1">AVERAGE(OFFSET($EN$3,0,0,'Données projet'!$E$15+1,1))-AVERAGE(OFFSET($H$3,0,0,'Données projet'!$E$15+1,1))</f>
        <v>211.18501783767226</v>
      </c>
      <c r="EP140" s="59">
        <f t="shared" si="154"/>
        <v>147.98306963466246</v>
      </c>
      <c r="EQ140" s="15">
        <f>IF(ISNA(VLOOKUP(A140,'Données projet'!$A$191:$I$211,3,0)),0,VLOOKUP(A140,'Données projet'!$A$191:$I$211,3,0))</f>
        <v>11</v>
      </c>
      <c r="ER140" s="15">
        <f>IF(ISNA(VLOOKUP(A140,'Données projet'!$A$191:$I$211,4,0)),0,VLOOKUP(A140,'Données projet'!$A$191:$I$211,4,0))</f>
        <v>51.160256410256409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498</v>
      </c>
      <c r="FF140" s="17">
        <f>FE140*VLOOKUP('Données projet'!$B$16,Paramètres!$A$1:$I$89,3,0)*VLOOKUP('Données projet'!$B$16,Paramètres!$A$1:$I$89,5,0)</f>
        <v>297.80400000000003</v>
      </c>
      <c r="FG140" s="13">
        <f t="shared" si="155"/>
        <v>70.715900863123025</v>
      </c>
      <c r="FH140" s="20">
        <f t="shared" si="130"/>
        <v>641.83882733660596</v>
      </c>
      <c r="FI140" s="59">
        <f t="shared" si="131"/>
        <v>935.17216066993933</v>
      </c>
      <c r="FJ140" s="59">
        <f ca="1">AVERAGE(OFFSET($FI$3,0,0,'Données projet'!$E$16+1,1))-AVERAGE(OFFSET($H$3,0,0,'Données projet'!$E$16+1,1))</f>
        <v>232.26937455765062</v>
      </c>
      <c r="FK140" s="59">
        <f t="shared" si="156"/>
        <v>115.80853281120301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0.26591451416446965</v>
      </c>
      <c r="FR140" s="21">
        <f>EXP(-LN(2)/25)*FR139+(1-EXP(-LN(2)/25))/(LN(2)/25)*Calculateur!FM140*Calculateur!FO140*VLOOKUP('Données projet'!$B$16,Paramètres!$A$1:$I$89,3,0)*0.475*44/12</f>
        <v>0.22695617306599661</v>
      </c>
      <c r="FS140" s="21">
        <f>EXP(-LN(2)/2)*FS139+(1-EXP(-LN(2)/2))/(LN(2)/2)*FM140*FP140*VLOOKUP('Données projet'!$B$16,Paramètres!$A$1:$I$89,3,0)*0.475*44/12</f>
        <v>6.5910353411285497E-16</v>
      </c>
      <c r="FT140" s="22">
        <f t="shared" si="132"/>
        <v>0.4928706872304669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5.6843418860808015E-14</v>
      </c>
      <c r="GA140" s="17">
        <f>FZ140*VLOOKUP('Données projet'!$B$17,Paramètres!$A$1:$I$89,3,0)*VLOOKUP('Données projet'!$B$17,Paramètres!$A$1:$I$89,5,0)</f>
        <v>4.5224624045658861E-14</v>
      </c>
      <c r="GB140" s="13">
        <f t="shared" si="157"/>
        <v>7.4514601661523691E-13</v>
      </c>
      <c r="GC140" s="20">
        <f t="shared" si="133"/>
        <v>1.3765621991510601E-12</v>
      </c>
      <c r="GD140" s="59">
        <f t="shared" si="134"/>
        <v>293.33333333333468</v>
      </c>
      <c r="GE140" s="59">
        <f ca="1">AVERAGE(OFFSET($GD$3,0,0,'Données projet'!$E$17+1,1))-AVERAGE(OFFSET($H$3,0,0,'Données projet'!$E$17+1,1))</f>
        <v>199.58763537752952</v>
      </c>
      <c r="GF140" s="59">
        <f t="shared" si="158"/>
        <v>242.62852778451929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0.5293104406863377</v>
      </c>
      <c r="GN140" s="21">
        <f>EXP(-LN(2)/2)*GN139+(1-EXP(-LN(2)/2))/(LN(2)/2)*GH140*GK140*VLOOKUP('Données projet'!$B$17,Paramètres!$A$1:$I$89,3,0)*0.475*44/12</f>
        <v>8.4483208384400755E-16</v>
      </c>
      <c r="GO140" s="21">
        <f t="shared" si="135"/>
        <v>0.52931044068633859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5.1063034188034209</v>
      </c>
      <c r="N141" s="13">
        <f>IF('Données projet'!$A$36&gt;35,N140+M141-V140,IF(A141&lt;'Données projet'!$A$36,$K$205^A141,IF(A141='Données projet'!$A$36,'Données projet'!$B$36,N140+M141-V140)))</f>
        <v>247.01655982905947</v>
      </c>
      <c r="O141" s="13">
        <f>N141*VLOOKUP('Données projet'!$B$9,Paramètres!$A$1:$I$89,3,0)*VLOOKUP('Données projet'!$B$9,Paramètres!$A$1:$I$89,5,0)</f>
        <v>223.500583333333</v>
      </c>
      <c r="P141" s="13">
        <f t="shared" si="141"/>
        <v>54.875019768659023</v>
      </c>
      <c r="Q141" s="20">
        <f t="shared" si="108"/>
        <v>484.83750873596932</v>
      </c>
      <c r="R141" s="59">
        <f t="shared" si="109"/>
        <v>778.17084206930258</v>
      </c>
      <c r="S141" s="59">
        <f ca="1">AVERAGE(OFFSET($R$3,0,0,'Données projet'!$E$9+1,1))-AVERAGE(OFFSET($H$3,0,0,'Données projet'!$E$9+1,1))</f>
        <v>153.45079678708987</v>
      </c>
      <c r="T141" s="59">
        <f t="shared" si="142"/>
        <v>115.4217868409637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250.47479166666631</v>
      </c>
      <c r="AK141" s="13">
        <f t="shared" si="143"/>
        <v>60.687599112090453</v>
      </c>
      <c r="AL141" s="20">
        <f t="shared" si="112"/>
        <v>541.94116393966794</v>
      </c>
      <c r="AM141" s="59">
        <f t="shared" si="113"/>
        <v>835.27449727300132</v>
      </c>
      <c r="AN141" s="59">
        <f ca="1">AVERAGE(OFFSET($AM$3,0,0,'Données projet'!$E$10+1,1))-AVERAGE(OFFSET($H$3,0,0,'Données projet'!$E$10+1,1))</f>
        <v>190.21499310415584</v>
      </c>
      <c r="AO141" s="59">
        <f t="shared" si="144"/>
        <v>136.15730566500173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497</v>
      </c>
      <c r="BE141" s="13">
        <f>BD141*VLOOKUP('Données projet'!$B$11,Paramètres!$A$1:$I$89,3,0)*VLOOKUP('Données projet'!$B$11,Paramètres!$A$1:$I$89,5,0)</f>
        <v>297.20600000000002</v>
      </c>
      <c r="BF141" s="13">
        <f t="shared" si="145"/>
        <v>70.590415164571112</v>
      </c>
      <c r="BG141" s="20">
        <f t="shared" si="115"/>
        <v>640.57875641162809</v>
      </c>
      <c r="BH141" s="59">
        <f t="shared" si="116"/>
        <v>933.91208974496135</v>
      </c>
      <c r="BI141" s="59">
        <f ca="1">AVERAGE(OFFSET($BH$3,0,0,'Données projet'!$E$11+1,1))-AVERAGE(OFFSET($H$3,0,0,'Données projet'!$E$11+1,1))</f>
        <v>270.30888762640245</v>
      </c>
      <c r="BJ141" s="59">
        <f t="shared" si="146"/>
        <v>202.23783851977691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0.25229041232278326</v>
      </c>
      <c r="BQ141" s="21">
        <f>EXP(-LN(2)/25)*BQ140+(1-EXP(-LN(2)/25))/(LN(2)/25)*Calculateur!BL141*Calculateur!BN141*VLOOKUP('Données projet'!$B$11,Paramètres!$A$1:$I$89,3,0)*0.475*44/12</f>
        <v>0.61558255659223859</v>
      </c>
      <c r="BR141" s="21">
        <f>EXP(-LN(2)/2)*BR140+(1-EXP(-LN(2)/2))/(LN(2)/2)*BL141*BO141*VLOOKUP('Données projet'!$B$11,Paramètres!$A$1:$I$89,3,0)*0.475*44/12</f>
        <v>1.0265459919035815E-15</v>
      </c>
      <c r="BS141" s="22">
        <f t="shared" si="117"/>
        <v>0.86787296891502286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497</v>
      </c>
      <c r="BZ141" s="13">
        <f>BY141*VLOOKUP('Données projet'!$B$12,Paramètres!$A$1:$I$89,3,0)*VLOOKUP('Données projet'!$B$12,Paramètres!$A$1:$I$89,5,0)</f>
        <v>297.20600000000002</v>
      </c>
      <c r="CA141" s="13">
        <f t="shared" si="147"/>
        <v>70.590415164571112</v>
      </c>
      <c r="CB141" s="20">
        <f t="shared" si="118"/>
        <v>640.57875641162809</v>
      </c>
      <c r="CC141" s="59">
        <f t="shared" si="119"/>
        <v>933.91208974496135</v>
      </c>
      <c r="CD141" s="59">
        <f ca="1">AVERAGE(OFFSET($CC$3,0,0,'Données projet'!$E$12+1,1))-AVERAGE(OFFSET($H$3,0,0,'Données projet'!$E$12+1,1))</f>
        <v>270.30888762640245</v>
      </c>
      <c r="CE141" s="59">
        <f t="shared" si="148"/>
        <v>202.23783851977691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0.25229041232278326</v>
      </c>
      <c r="CL141" s="21">
        <f>EXP(-LN(2)/25)*CL140+(1-EXP(-LN(2)/25))/(LN(2)/25)*Calculateur!CG141*Calculateur!CI141*VLOOKUP('Données projet'!$B$12,Paramètres!$A$1:$I$89,3,0)*0.475*44/12</f>
        <v>0.61558255659223859</v>
      </c>
      <c r="CM141" s="21">
        <f>EXP(-LN(2)/2)*CM140+(1-EXP(-LN(2)/2))/(LN(2)/2)*CG141*CJ141*VLOOKUP('Données projet'!$B$12,Paramètres!$A$1:$I$89,3,0)*0.475*44/12</f>
        <v>1.0265459919035815E-15</v>
      </c>
      <c r="CN141" s="22">
        <f t="shared" si="120"/>
        <v>0.86787296891502286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3.4106051316484809E-13</v>
      </c>
      <c r="CU141" s="17">
        <f>CT141*VLOOKUP('Données projet'!$B$13,Paramètres!$A$1:$I$89,3,0)*VLOOKUP('Données projet'!$B$13,Paramètres!$A$1:$I$89,5,0)</f>
        <v>1.5961632016114892E-13</v>
      </c>
      <c r="CV141" s="13">
        <f t="shared" si="149"/>
        <v>2.2708641912150958E-12</v>
      </c>
      <c r="CW141" s="20">
        <f t="shared" si="121"/>
        <v>4.2330868906469593E-12</v>
      </c>
      <c r="CX141" s="59">
        <f t="shared" si="122"/>
        <v>293.33333333333752</v>
      </c>
      <c r="CY141" s="59">
        <f ca="1">AVERAGE(OFFSET($CX$3,0,0,'Données projet'!$E$13+1,1))-AVERAGE(OFFSET($H$3,0,0,'Données projet'!$E$13+1,1))</f>
        <v>158.58786357608489</v>
      </c>
      <c r="CZ141" s="59">
        <f t="shared" si="150"/>
        <v>163.20074068819849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3.813056537183002E-14</v>
      </c>
      <c r="DQ141" s="13">
        <f t="shared" si="151"/>
        <v>6.4086286045526829E-13</v>
      </c>
      <c r="DR141" s="20">
        <f t="shared" si="124"/>
        <v>1.1825802166488628E-12</v>
      </c>
      <c r="DS141" s="59">
        <f t="shared" si="125"/>
        <v>293.33333333333451</v>
      </c>
      <c r="DT141" s="59">
        <f ca="1">AVERAGE(OFFSET($DS$3,0,0,'Données projet'!$E$14+1,1))-AVERAGE(OFFSET($H$3,0,0,'Données projet'!$E$14+1,1))</f>
        <v>156.63226020379989</v>
      </c>
      <c r="DU141" s="59">
        <f t="shared" si="152"/>
        <v>196.0481096619543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0.43407776491320366</v>
      </c>
      <c r="EC141" s="21">
        <f>EXP(-LN(2)/2)*EC140+(1-EXP(-LN(2)/2))/(LN(2)/2)*DW141*DZ141*VLOOKUP('Données projet'!$B$14,Paramètres!$A$1:$I$89,3,0)*0.475*44/12</f>
        <v>5.0367880988926547E-16</v>
      </c>
      <c r="ED141" s="22">
        <f t="shared" si="126"/>
        <v>0.43407776491320416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5.1063034188034209</v>
      </c>
      <c r="EJ141" s="12">
        <f>IF('Données projet'!$A$192&gt;35,EJ140+EI141-ER140,IF(A141&lt;'Données projet'!$A$192,$EG$205^A141,IF(A141='Données projet'!$A$192,'Données projet'!$B$192,EJ140+EI141-ER140)))</f>
        <v>247.01655982905947</v>
      </c>
      <c r="EK141" s="17">
        <f>EJ141*VLOOKUP('Données projet'!$B$15,Paramètres!$A$1:$I$89,3,0)*VLOOKUP('Données projet'!$B$15,Paramètres!$A$1:$I$89,5,0)</f>
        <v>265.88862499999959</v>
      </c>
      <c r="EL141" s="13">
        <f t="shared" si="153"/>
        <v>63.97595406255607</v>
      </c>
      <c r="EM141" s="20">
        <f t="shared" si="127"/>
        <v>574.51414186728437</v>
      </c>
      <c r="EN141" s="59">
        <f t="shared" si="128"/>
        <v>867.84747520061774</v>
      </c>
      <c r="EO141" s="59">
        <f ca="1">AVERAGE(OFFSET($EN$3,0,0,'Données projet'!$E$15+1,1))-AVERAGE(OFFSET($H$3,0,0,'Données projet'!$E$15+1,1))</f>
        <v>211.18501783767226</v>
      </c>
      <c r="EP141" s="59">
        <f t="shared" si="154"/>
        <v>147.98306963466246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498</v>
      </c>
      <c r="FF141" s="17">
        <f>FE141*VLOOKUP('Données projet'!$B$16,Paramètres!$A$1:$I$89,3,0)*VLOOKUP('Données projet'!$B$16,Paramètres!$A$1:$I$89,5,0)</f>
        <v>297.80400000000003</v>
      </c>
      <c r="FG141" s="13">
        <f t="shared" si="155"/>
        <v>70.715900863123025</v>
      </c>
      <c r="FH141" s="20">
        <f t="shared" si="130"/>
        <v>641.83882733660596</v>
      </c>
      <c r="FI141" s="59">
        <f t="shared" si="131"/>
        <v>935.17216066993933</v>
      </c>
      <c r="FJ141" s="59">
        <f ca="1">AVERAGE(OFFSET($FI$3,0,0,'Données projet'!$E$16+1,1))-AVERAGE(OFFSET($H$3,0,0,'Données projet'!$E$16+1,1))</f>
        <v>232.26937455765062</v>
      </c>
      <c r="FK141" s="59">
        <f t="shared" si="156"/>
        <v>115.80853281120301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0.26070009273354294</v>
      </c>
      <c r="FR141" s="21">
        <f>EXP(-LN(2)/25)*FR140+(1-EXP(-LN(2)/25))/(LN(2)/25)*Calculateur!FM141*Calculateur!FO141*VLOOKUP('Données projet'!$B$16,Paramètres!$A$1:$I$89,3,0)*0.475*44/12</f>
        <v>0.2207500445784005</v>
      </c>
      <c r="FS141" s="21">
        <f>EXP(-LN(2)/2)*FS140+(1-EXP(-LN(2)/2))/(LN(2)/2)*FM141*FP141*VLOOKUP('Données projet'!$B$16,Paramètres!$A$1:$I$89,3,0)*0.475*44/12</f>
        <v>4.6605657847521869E-16</v>
      </c>
      <c r="FT141" s="22">
        <f t="shared" si="132"/>
        <v>0.48145013731194386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5.6843418860808015E-14</v>
      </c>
      <c r="GA141" s="17">
        <f>FZ141*VLOOKUP('Données projet'!$B$17,Paramètres!$A$1:$I$89,3,0)*VLOOKUP('Données projet'!$B$17,Paramètres!$A$1:$I$89,5,0)</f>
        <v>4.5224624045658861E-14</v>
      </c>
      <c r="GB141" s="13">
        <f t="shared" si="157"/>
        <v>7.4514601661523691E-13</v>
      </c>
      <c r="GC141" s="20">
        <f t="shared" si="133"/>
        <v>1.3765621991510601E-12</v>
      </c>
      <c r="GD141" s="59">
        <f t="shared" si="134"/>
        <v>293.33333333333468</v>
      </c>
      <c r="GE141" s="59">
        <f ca="1">AVERAGE(OFFSET($GD$3,0,0,'Données projet'!$E$17+1,1))-AVERAGE(OFFSET($H$3,0,0,'Données projet'!$E$17+1,1))</f>
        <v>199.58763537752952</v>
      </c>
      <c r="GF141" s="59">
        <f t="shared" si="158"/>
        <v>242.62852778451929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0.51483641885054343</v>
      </c>
      <c r="GN141" s="21">
        <f>EXP(-LN(2)/2)*GN140+(1-EXP(-LN(2)/2))/(LN(2)/2)*GH141*GK141*VLOOKUP('Données projet'!$B$17,Paramètres!$A$1:$I$89,3,0)*0.475*44/12</f>
        <v>5.9738649545005961E-16</v>
      </c>
      <c r="GO141" s="21">
        <f t="shared" si="135"/>
        <v>0.51483641885054399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5.1063034188034209</v>
      </c>
      <c r="N142" s="13">
        <f>IF('Données projet'!$A$36&gt;35,N141+M142-V141,IF(A142&lt;'Données projet'!$A$36,$K$205^A142,IF(A142='Données projet'!$A$36,'Données projet'!$B$36,N141+M142-V141)))</f>
        <v>252.12286324786288</v>
      </c>
      <c r="O142" s="13">
        <f>N142*VLOOKUP('Données projet'!$B$9,Paramètres!$A$1:$I$89,3,0)*VLOOKUP('Données projet'!$B$9,Paramètres!$A$1:$I$89,5,0)</f>
        <v>228.12076666666633</v>
      </c>
      <c r="P142" s="13">
        <f t="shared" si="141"/>
        <v>55.876153534759418</v>
      </c>
      <c r="Q142" s="20">
        <f t="shared" si="108"/>
        <v>494.62796935081639</v>
      </c>
      <c r="R142" s="59">
        <f t="shared" si="109"/>
        <v>787.9613026841497</v>
      </c>
      <c r="S142" s="59">
        <f ca="1">AVERAGE(OFFSET($R$3,0,0,'Données projet'!$E$9+1,1))-AVERAGE(OFFSET($H$3,0,0,'Données projet'!$E$9+1,1))</f>
        <v>153.45079678708987</v>
      </c>
      <c r="T142" s="59">
        <f t="shared" si="142"/>
        <v>115.4217868409637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255.65258333333296</v>
      </c>
      <c r="AK142" s="13">
        <f t="shared" si="143"/>
        <v>61.794776930172596</v>
      </c>
      <c r="AL142" s="20">
        <f t="shared" si="112"/>
        <v>552.88748579227229</v>
      </c>
      <c r="AM142" s="59">
        <f t="shared" si="113"/>
        <v>846.22081912560566</v>
      </c>
      <c r="AN142" s="59">
        <f ca="1">AVERAGE(OFFSET($AM$3,0,0,'Données projet'!$E$10+1,1))-AVERAGE(OFFSET($H$3,0,0,'Données projet'!$E$10+1,1))</f>
        <v>190.21499310415584</v>
      </c>
      <c r="AO142" s="59">
        <f t="shared" si="144"/>
        <v>136.15730566500173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497</v>
      </c>
      <c r="BE142" s="13">
        <f>BD142*VLOOKUP('Données projet'!$B$11,Paramètres!$A$1:$I$89,3,0)*VLOOKUP('Données projet'!$B$11,Paramètres!$A$1:$I$89,5,0)</f>
        <v>297.20600000000002</v>
      </c>
      <c r="BF142" s="13">
        <f t="shared" si="145"/>
        <v>70.590415164571112</v>
      </c>
      <c r="BG142" s="20">
        <f t="shared" si="115"/>
        <v>640.57875641162809</v>
      </c>
      <c r="BH142" s="59">
        <f t="shared" si="116"/>
        <v>933.91208974496135</v>
      </c>
      <c r="BI142" s="59">
        <f ca="1">AVERAGE(OFFSET($BH$3,0,0,'Données projet'!$E$11+1,1))-AVERAGE(OFFSET($H$3,0,0,'Données projet'!$E$11+1,1))</f>
        <v>270.30888762640245</v>
      </c>
      <c r="BJ142" s="59">
        <f t="shared" si="146"/>
        <v>202.23783851977691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0.24734315121909042</v>
      </c>
      <c r="BQ142" s="21">
        <f>EXP(-LN(2)/25)*BQ141+(1-EXP(-LN(2)/25))/(LN(2)/25)*Calculateur!BL142*Calculateur!BN142*VLOOKUP('Données projet'!$B$11,Paramètres!$A$1:$I$89,3,0)*0.475*44/12</f>
        <v>0.59874941921014413</v>
      </c>
      <c r="BR142" s="21">
        <f>EXP(-LN(2)/2)*BR141+(1-EXP(-LN(2)/2))/(LN(2)/2)*BL142*BO142*VLOOKUP('Données projet'!$B$11,Paramètres!$A$1:$I$89,3,0)*0.475*44/12</f>
        <v>7.2587763207489322E-16</v>
      </c>
      <c r="BS142" s="22">
        <f t="shared" si="117"/>
        <v>0.84609257042923536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497</v>
      </c>
      <c r="BZ142" s="13">
        <f>BY142*VLOOKUP('Données projet'!$B$12,Paramètres!$A$1:$I$89,3,0)*VLOOKUP('Données projet'!$B$12,Paramètres!$A$1:$I$89,5,0)</f>
        <v>297.20600000000002</v>
      </c>
      <c r="CA142" s="13">
        <f t="shared" si="147"/>
        <v>70.590415164571112</v>
      </c>
      <c r="CB142" s="20">
        <f t="shared" si="118"/>
        <v>640.57875641162809</v>
      </c>
      <c r="CC142" s="59">
        <f t="shared" si="119"/>
        <v>933.91208974496135</v>
      </c>
      <c r="CD142" s="59">
        <f ca="1">AVERAGE(OFFSET($CC$3,0,0,'Données projet'!$E$12+1,1))-AVERAGE(OFFSET($H$3,0,0,'Données projet'!$E$12+1,1))</f>
        <v>270.30888762640245</v>
      </c>
      <c r="CE142" s="59">
        <f t="shared" si="148"/>
        <v>202.23783851977691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0.24734315121909042</v>
      </c>
      <c r="CL142" s="21">
        <f>EXP(-LN(2)/25)*CL141+(1-EXP(-LN(2)/25))/(LN(2)/25)*Calculateur!CG142*Calculateur!CI142*VLOOKUP('Données projet'!$B$12,Paramètres!$A$1:$I$89,3,0)*0.475*44/12</f>
        <v>0.59874941921014413</v>
      </c>
      <c r="CM142" s="21">
        <f>EXP(-LN(2)/2)*CM141+(1-EXP(-LN(2)/2))/(LN(2)/2)*CG142*CJ142*VLOOKUP('Données projet'!$B$12,Paramètres!$A$1:$I$89,3,0)*0.475*44/12</f>
        <v>7.2587763207489322E-16</v>
      </c>
      <c r="CN142" s="22">
        <f t="shared" si="120"/>
        <v>0.84609257042923536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3.4106051316484809E-13</v>
      </c>
      <c r="CU142" s="17">
        <f>CT142*VLOOKUP('Données projet'!$B$13,Paramètres!$A$1:$I$89,3,0)*VLOOKUP('Données projet'!$B$13,Paramètres!$A$1:$I$89,5,0)</f>
        <v>1.5961632016114892E-13</v>
      </c>
      <c r="CV142" s="13">
        <f t="shared" si="149"/>
        <v>2.2708641912150958E-12</v>
      </c>
      <c r="CW142" s="20">
        <f t="shared" si="121"/>
        <v>4.2330868906469593E-12</v>
      </c>
      <c r="CX142" s="59">
        <f t="shared" si="122"/>
        <v>293.33333333333752</v>
      </c>
      <c r="CY142" s="59">
        <f ca="1">AVERAGE(OFFSET($CX$3,0,0,'Données projet'!$E$13+1,1))-AVERAGE(OFFSET($H$3,0,0,'Données projet'!$E$13+1,1))</f>
        <v>158.58786357608489</v>
      </c>
      <c r="CZ142" s="59">
        <f t="shared" si="150"/>
        <v>163.20074068819849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3.813056537183002E-14</v>
      </c>
      <c r="DQ142" s="13">
        <f t="shared" si="151"/>
        <v>6.4086286045526829E-13</v>
      </c>
      <c r="DR142" s="20">
        <f t="shared" si="124"/>
        <v>1.1825802166488628E-12</v>
      </c>
      <c r="DS142" s="59">
        <f t="shared" si="125"/>
        <v>293.33333333333451</v>
      </c>
      <c r="DT142" s="59">
        <f ca="1">AVERAGE(OFFSET($DS$3,0,0,'Données projet'!$E$14+1,1))-AVERAGE(OFFSET($H$3,0,0,'Données projet'!$E$14+1,1))</f>
        <v>156.63226020379989</v>
      </c>
      <c r="DU142" s="59">
        <f t="shared" si="152"/>
        <v>196.0481096619543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0.42220788560449457</v>
      </c>
      <c r="EC142" s="21">
        <f>EXP(-LN(2)/2)*EC141+(1-EXP(-LN(2)/2))/(LN(2)/2)*DW142*DZ142*VLOOKUP('Données projet'!$B$14,Paramètres!$A$1:$I$89,3,0)*0.475*44/12</f>
        <v>3.5615470201266951E-16</v>
      </c>
      <c r="ED142" s="22">
        <f t="shared" si="126"/>
        <v>0.4222078856044949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5.1063034188034209</v>
      </c>
      <c r="EJ142" s="12">
        <f>IF('Données projet'!$A$192&gt;35,EJ141+EI142-ER141,IF(A142&lt;'Données projet'!$A$192,$EG$205^A142,IF(A142='Données projet'!$A$192,'Données projet'!$B$192,EJ141+EI142-ER141)))</f>
        <v>252.12286324786288</v>
      </c>
      <c r="EK142" s="17">
        <f>EJ142*VLOOKUP('Données projet'!$B$15,Paramètres!$A$1:$I$89,3,0)*VLOOKUP('Données projet'!$B$15,Paramètres!$A$1:$I$89,5,0)</f>
        <v>271.38504999999958</v>
      </c>
      <c r="EL142" s="13">
        <f t="shared" si="153"/>
        <v>65.143124263141459</v>
      </c>
      <c r="EM142" s="20">
        <f t="shared" si="127"/>
        <v>586.11990350830399</v>
      </c>
      <c r="EN142" s="59">
        <f t="shared" si="128"/>
        <v>879.45323684163736</v>
      </c>
      <c r="EO142" s="59">
        <f ca="1">AVERAGE(OFFSET($EN$3,0,0,'Données projet'!$E$15+1,1))-AVERAGE(OFFSET($H$3,0,0,'Données projet'!$E$15+1,1))</f>
        <v>211.18501783767226</v>
      </c>
      <c r="EP142" s="59">
        <f t="shared" si="154"/>
        <v>147.98306963466246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498</v>
      </c>
      <c r="FF142" s="17">
        <f>FE142*VLOOKUP('Données projet'!$B$16,Paramètres!$A$1:$I$89,3,0)*VLOOKUP('Données projet'!$B$16,Paramètres!$A$1:$I$89,5,0)</f>
        <v>297.80400000000003</v>
      </c>
      <c r="FG142" s="13">
        <f t="shared" si="155"/>
        <v>70.715900863123025</v>
      </c>
      <c r="FH142" s="20">
        <f t="shared" si="130"/>
        <v>641.83882733660596</v>
      </c>
      <c r="FI142" s="59">
        <f t="shared" si="131"/>
        <v>935.17216066993933</v>
      </c>
      <c r="FJ142" s="59">
        <f ca="1">AVERAGE(OFFSET($FI$3,0,0,'Données projet'!$E$16+1,1))-AVERAGE(OFFSET($H$3,0,0,'Données projet'!$E$16+1,1))</f>
        <v>232.26937455765062</v>
      </c>
      <c r="FK142" s="59">
        <f t="shared" si="156"/>
        <v>115.80853281120301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0.25558792292639365</v>
      </c>
      <c r="FR142" s="21">
        <f>EXP(-LN(2)/25)*FR141+(1-EXP(-LN(2)/25))/(LN(2)/25)*Calculateur!FM142*Calculateur!FO142*VLOOKUP('Données projet'!$B$16,Paramètres!$A$1:$I$89,3,0)*0.475*44/12</f>
        <v>0.21471362300066382</v>
      </c>
      <c r="FS142" s="21">
        <f>EXP(-LN(2)/2)*FS141+(1-EXP(-LN(2)/2))/(LN(2)/2)*FM142*FP142*VLOOKUP('Données projet'!$B$16,Paramètres!$A$1:$I$89,3,0)*0.475*44/12</f>
        <v>3.2955176705642748E-16</v>
      </c>
      <c r="FT142" s="22">
        <f t="shared" si="132"/>
        <v>0.47030154592705781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5.6843418860808015E-14</v>
      </c>
      <c r="GA142" s="17">
        <f>FZ142*VLOOKUP('Données projet'!$B$17,Paramètres!$A$1:$I$89,3,0)*VLOOKUP('Données projet'!$B$17,Paramètres!$A$1:$I$89,5,0)</f>
        <v>4.5224624045658861E-14</v>
      </c>
      <c r="GB142" s="13">
        <f t="shared" si="157"/>
        <v>7.4514601661523691E-13</v>
      </c>
      <c r="GC142" s="20">
        <f t="shared" si="133"/>
        <v>1.3765621991510601E-12</v>
      </c>
      <c r="GD142" s="59">
        <f t="shared" si="134"/>
        <v>293.33333333333468</v>
      </c>
      <c r="GE142" s="59">
        <f ca="1">AVERAGE(OFFSET($GD$3,0,0,'Données projet'!$E$17+1,1))-AVERAGE(OFFSET($H$3,0,0,'Données projet'!$E$17+1,1))</f>
        <v>199.58763537752952</v>
      </c>
      <c r="GF142" s="59">
        <f t="shared" si="158"/>
        <v>242.62852778451929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0.50075818990300469</v>
      </c>
      <c r="GN142" s="21">
        <f>EXP(-LN(2)/2)*GN141+(1-EXP(-LN(2)/2))/(LN(2)/2)*GH142*GK142*VLOOKUP('Données projet'!$B$17,Paramètres!$A$1:$I$89,3,0)*0.475*44/12</f>
        <v>4.2241604192200378E-16</v>
      </c>
      <c r="GO142" s="21">
        <f t="shared" si="135"/>
        <v>0.50075818990300514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5.1063034188034209</v>
      </c>
      <c r="N143" s="13">
        <f>IF('Données projet'!$A$36&gt;35,N142+M143-V142,IF(A143&lt;'Données projet'!$A$36,$K$205^A143,IF(A143='Données projet'!$A$36,'Données projet'!$B$36,N142+M143-V142)))</f>
        <v>257.22916666666629</v>
      </c>
      <c r="O143" s="13">
        <f>N143*VLOOKUP('Données projet'!$B$9,Paramètres!$A$1:$I$89,3,0)*VLOOKUP('Données projet'!$B$9,Paramètres!$A$1:$I$89,5,0)</f>
        <v>232.74094999999966</v>
      </c>
      <c r="P143" s="13">
        <f t="shared" si="141"/>
        <v>56.874929761004168</v>
      </c>
      <c r="Q143" s="20">
        <f t="shared" si="108"/>
        <v>504.41432391708167</v>
      </c>
      <c r="R143" s="59">
        <f t="shared" si="109"/>
        <v>797.74765725041493</v>
      </c>
      <c r="S143" s="59">
        <f ca="1">AVERAGE(OFFSET($R$3,0,0,'Données projet'!$E$9+1,1))-AVERAGE(OFFSET($H$3,0,0,'Données projet'!$E$9+1,1))</f>
        <v>153.45079678708987</v>
      </c>
      <c r="T143" s="59">
        <f t="shared" si="142"/>
        <v>115.4217868409637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260.83037499999961</v>
      </c>
      <c r="AK143" s="13">
        <f t="shared" si="143"/>
        <v>62.899347488444107</v>
      </c>
      <c r="AL143" s="20">
        <f t="shared" si="112"/>
        <v>563.82926666737285</v>
      </c>
      <c r="AM143" s="59">
        <f t="shared" si="113"/>
        <v>857.16260000070611</v>
      </c>
      <c r="AN143" s="59">
        <f ca="1">AVERAGE(OFFSET($AM$3,0,0,'Données projet'!$E$10+1,1))-AVERAGE(OFFSET($H$3,0,0,'Données projet'!$E$10+1,1))</f>
        <v>190.21499310415584</v>
      </c>
      <c r="AO143" s="59">
        <f t="shared" si="144"/>
        <v>136.15730566500173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497</v>
      </c>
      <c r="BE143" s="13">
        <f>BD143*VLOOKUP('Données projet'!$B$11,Paramètres!$A$1:$I$89,3,0)*VLOOKUP('Données projet'!$B$11,Paramètres!$A$1:$I$89,5,0)</f>
        <v>297.20600000000002</v>
      </c>
      <c r="BF143" s="13">
        <f t="shared" si="145"/>
        <v>70.590415164571112</v>
      </c>
      <c r="BG143" s="20">
        <f t="shared" si="115"/>
        <v>640.57875641162809</v>
      </c>
      <c r="BH143" s="59">
        <f t="shared" si="116"/>
        <v>933.91208974496135</v>
      </c>
      <c r="BI143" s="59">
        <f ca="1">AVERAGE(OFFSET($BH$3,0,0,'Données projet'!$E$11+1,1))-AVERAGE(OFFSET($H$3,0,0,'Données projet'!$E$11+1,1))</f>
        <v>270.30888762640245</v>
      </c>
      <c r="BJ143" s="59">
        <f t="shared" si="146"/>
        <v>202.23783851977691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0.24249290288810968</v>
      </c>
      <c r="BQ143" s="21">
        <f>EXP(-LN(2)/25)*BQ142+(1-EXP(-LN(2)/25))/(LN(2)/25)*Calculateur!BL143*Calculateur!BN143*VLOOKUP('Données projet'!$B$11,Paramètres!$A$1:$I$89,3,0)*0.475*44/12</f>
        <v>0.58237658485497923</v>
      </c>
      <c r="BR143" s="21">
        <f>EXP(-LN(2)/2)*BR142+(1-EXP(-LN(2)/2))/(LN(2)/2)*BL143*BO143*VLOOKUP('Données projet'!$B$11,Paramètres!$A$1:$I$89,3,0)*0.475*44/12</f>
        <v>5.1327299595179077E-16</v>
      </c>
      <c r="BS143" s="22">
        <f t="shared" si="117"/>
        <v>0.82486948774308944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497</v>
      </c>
      <c r="BZ143" s="13">
        <f>BY143*VLOOKUP('Données projet'!$B$12,Paramètres!$A$1:$I$89,3,0)*VLOOKUP('Données projet'!$B$12,Paramètres!$A$1:$I$89,5,0)</f>
        <v>297.20600000000002</v>
      </c>
      <c r="CA143" s="13">
        <f t="shared" si="147"/>
        <v>70.590415164571112</v>
      </c>
      <c r="CB143" s="20">
        <f t="shared" si="118"/>
        <v>640.57875641162809</v>
      </c>
      <c r="CC143" s="59">
        <f t="shared" si="119"/>
        <v>933.91208974496135</v>
      </c>
      <c r="CD143" s="59">
        <f ca="1">AVERAGE(OFFSET($CC$3,0,0,'Données projet'!$E$12+1,1))-AVERAGE(OFFSET($H$3,0,0,'Données projet'!$E$12+1,1))</f>
        <v>270.30888762640245</v>
      </c>
      <c r="CE143" s="59">
        <f t="shared" si="148"/>
        <v>202.23783851977691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0.24249290288810968</v>
      </c>
      <c r="CL143" s="21">
        <f>EXP(-LN(2)/25)*CL142+(1-EXP(-LN(2)/25))/(LN(2)/25)*Calculateur!CG143*Calculateur!CI143*VLOOKUP('Données projet'!$B$12,Paramètres!$A$1:$I$89,3,0)*0.475*44/12</f>
        <v>0.58237658485497923</v>
      </c>
      <c r="CM143" s="21">
        <f>EXP(-LN(2)/2)*CM142+(1-EXP(-LN(2)/2))/(LN(2)/2)*CG143*CJ143*VLOOKUP('Données projet'!$B$12,Paramètres!$A$1:$I$89,3,0)*0.475*44/12</f>
        <v>5.1327299595179077E-16</v>
      </c>
      <c r="CN143" s="22">
        <f t="shared" si="120"/>
        <v>0.82486948774308944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3.4106051316484809E-13</v>
      </c>
      <c r="CU143" s="17">
        <f>CT143*VLOOKUP('Données projet'!$B$13,Paramètres!$A$1:$I$89,3,0)*VLOOKUP('Données projet'!$B$13,Paramètres!$A$1:$I$89,5,0)</f>
        <v>1.5961632016114892E-13</v>
      </c>
      <c r="CV143" s="13">
        <f t="shared" si="149"/>
        <v>2.2708641912150958E-12</v>
      </c>
      <c r="CW143" s="20">
        <f t="shared" si="121"/>
        <v>4.2330868906469593E-12</v>
      </c>
      <c r="CX143" s="59">
        <f t="shared" si="122"/>
        <v>293.33333333333752</v>
      </c>
      <c r="CY143" s="59">
        <f ca="1">AVERAGE(OFFSET($CX$3,0,0,'Données projet'!$E$13+1,1))-AVERAGE(OFFSET($H$3,0,0,'Données projet'!$E$13+1,1))</f>
        <v>158.58786357608489</v>
      </c>
      <c r="CZ143" s="59">
        <f t="shared" si="150"/>
        <v>163.20074068819849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3.813056537183002E-14</v>
      </c>
      <c r="DQ143" s="13">
        <f t="shared" si="151"/>
        <v>6.4086286045526829E-13</v>
      </c>
      <c r="DR143" s="20">
        <f t="shared" si="124"/>
        <v>1.1825802166488628E-12</v>
      </c>
      <c r="DS143" s="59">
        <f t="shared" si="125"/>
        <v>293.33333333333451</v>
      </c>
      <c r="DT143" s="59">
        <f ca="1">AVERAGE(OFFSET($DS$3,0,0,'Données projet'!$E$14+1,1))-AVERAGE(OFFSET($H$3,0,0,'Données projet'!$E$14+1,1))</f>
        <v>156.63226020379989</v>
      </c>
      <c r="DU143" s="59">
        <f t="shared" si="152"/>
        <v>196.0481096619543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0.41066258876969192</v>
      </c>
      <c r="EC143" s="21">
        <f>EXP(-LN(2)/2)*EC142+(1-EXP(-LN(2)/2))/(LN(2)/2)*DW143*DZ143*VLOOKUP('Données projet'!$B$14,Paramètres!$A$1:$I$89,3,0)*0.475*44/12</f>
        <v>2.5183940494463274E-16</v>
      </c>
      <c r="ED143" s="22">
        <f t="shared" si="126"/>
        <v>0.41066258876969219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5.1063034188034209</v>
      </c>
      <c r="EJ143" s="12">
        <f>IF('Données projet'!$A$192&gt;35,EJ142+EI143-ER142,IF(A143&lt;'Données projet'!$A$192,$EG$205^A143,IF(A143='Données projet'!$A$192,'Données projet'!$B$192,EJ142+EI143-ER142)))</f>
        <v>257.22916666666629</v>
      </c>
      <c r="EK143" s="17">
        <f>EJ143*VLOOKUP('Données projet'!$B$15,Paramètres!$A$1:$I$89,3,0)*VLOOKUP('Données projet'!$B$15,Paramètres!$A$1:$I$89,5,0)</f>
        <v>276.88147499999957</v>
      </c>
      <c r="EL143" s="13">
        <f t="shared" si="153"/>
        <v>66.30754592965539</v>
      </c>
      <c r="EM143" s="20">
        <f t="shared" si="127"/>
        <v>597.72087811914889</v>
      </c>
      <c r="EN143" s="59">
        <f t="shared" si="128"/>
        <v>891.05421145248215</v>
      </c>
      <c r="EO143" s="59">
        <f ca="1">AVERAGE(OFFSET($EN$3,0,0,'Données projet'!$E$15+1,1))-AVERAGE(OFFSET($H$3,0,0,'Données projet'!$E$15+1,1))</f>
        <v>211.18501783767226</v>
      </c>
      <c r="EP143" s="59">
        <f t="shared" si="154"/>
        <v>147.98306963466246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498</v>
      </c>
      <c r="FF143" s="17">
        <f>FE143*VLOOKUP('Données projet'!$B$16,Paramètres!$A$1:$I$89,3,0)*VLOOKUP('Données projet'!$B$16,Paramètres!$A$1:$I$89,5,0)</f>
        <v>297.80400000000003</v>
      </c>
      <c r="FG143" s="13">
        <f t="shared" si="155"/>
        <v>70.715900863123025</v>
      </c>
      <c r="FH143" s="20">
        <f t="shared" si="130"/>
        <v>641.83882733660596</v>
      </c>
      <c r="FI143" s="59">
        <f t="shared" si="131"/>
        <v>935.17216066993933</v>
      </c>
      <c r="FJ143" s="59">
        <f ca="1">AVERAGE(OFFSET($FI$3,0,0,'Données projet'!$E$16+1,1))-AVERAGE(OFFSET($H$3,0,0,'Données projet'!$E$16+1,1))</f>
        <v>232.26937455765062</v>
      </c>
      <c r="FK143" s="59">
        <f t="shared" si="156"/>
        <v>115.80853281120301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0.25057599965104688</v>
      </c>
      <c r="FR143" s="21">
        <f>EXP(-LN(2)/25)*FR142+(1-EXP(-LN(2)/25))/(LN(2)/25)*Calculateur!FM143*Calculateur!FO143*VLOOKUP('Données projet'!$B$16,Paramètres!$A$1:$I$89,3,0)*0.475*44/12</f>
        <v>0.20884226768841196</v>
      </c>
      <c r="FS143" s="21">
        <f>EXP(-LN(2)/2)*FS142+(1-EXP(-LN(2)/2))/(LN(2)/2)*FM143*FP143*VLOOKUP('Données projet'!$B$16,Paramètres!$A$1:$I$89,3,0)*0.475*44/12</f>
        <v>2.3302828923760935E-16</v>
      </c>
      <c r="FT143" s="22">
        <f t="shared" si="132"/>
        <v>0.45941826733945906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5.6843418860808015E-14</v>
      </c>
      <c r="GA143" s="17">
        <f>FZ143*VLOOKUP('Données projet'!$B$17,Paramètres!$A$1:$I$89,3,0)*VLOOKUP('Données projet'!$B$17,Paramètres!$A$1:$I$89,5,0)</f>
        <v>4.5224624045658861E-14</v>
      </c>
      <c r="GB143" s="13">
        <f t="shared" si="157"/>
        <v>7.4514601661523691E-13</v>
      </c>
      <c r="GC143" s="20">
        <f t="shared" si="133"/>
        <v>1.3765621991510601E-12</v>
      </c>
      <c r="GD143" s="59">
        <f t="shared" si="134"/>
        <v>293.33333333333468</v>
      </c>
      <c r="GE143" s="59">
        <f ca="1">AVERAGE(OFFSET($GD$3,0,0,'Données projet'!$E$17+1,1))-AVERAGE(OFFSET($H$3,0,0,'Données projet'!$E$17+1,1))</f>
        <v>199.58763537752952</v>
      </c>
      <c r="GF143" s="59">
        <f t="shared" si="158"/>
        <v>242.62852778451929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0.48706493086637831</v>
      </c>
      <c r="GN143" s="21">
        <f>EXP(-LN(2)/2)*GN142+(1-EXP(-LN(2)/2))/(LN(2)/2)*GH143*GK143*VLOOKUP('Données projet'!$B$17,Paramètres!$A$1:$I$89,3,0)*0.475*44/12</f>
        <v>2.9869324772502981E-16</v>
      </c>
      <c r="GO143" s="21">
        <f t="shared" si="135"/>
        <v>0.48706493086637859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5.1063034188034209</v>
      </c>
      <c r="N144" s="13">
        <f>IF('Données projet'!$A$36&gt;35,N143+M144-V143,IF(A144&lt;'Données projet'!$A$36,$K$205^A144,IF(A144='Données projet'!$A$36,'Données projet'!$B$36,N143+M144-V143)))</f>
        <v>262.33547008546969</v>
      </c>
      <c r="O144" s="13">
        <f>N144*VLOOKUP('Données projet'!$B$9,Paramètres!$A$1:$I$89,3,0)*VLOOKUP('Données projet'!$B$9,Paramètres!$A$1:$I$89,5,0)</f>
        <v>237.36113333333296</v>
      </c>
      <c r="P144" s="13">
        <f t="shared" si="141"/>
        <v>57.871400641465833</v>
      </c>
      <c r="Q144" s="20">
        <f t="shared" si="108"/>
        <v>514.19666333944122</v>
      </c>
      <c r="R144" s="59">
        <f t="shared" si="109"/>
        <v>807.52999667277459</v>
      </c>
      <c r="S144" s="59">
        <f ca="1">AVERAGE(OFFSET($R$3,0,0,'Données projet'!$E$9+1,1))-AVERAGE(OFFSET($H$3,0,0,'Données projet'!$E$9+1,1))</f>
        <v>153.45079678708987</v>
      </c>
      <c r="T144" s="59">
        <f t="shared" si="142"/>
        <v>115.4217868409637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266.00816666666628</v>
      </c>
      <c r="AK144" s="13">
        <f t="shared" si="143"/>
        <v>64.00136850958036</v>
      </c>
      <c r="AL144" s="20">
        <f t="shared" si="112"/>
        <v>574.76660709862961</v>
      </c>
      <c r="AM144" s="59">
        <f t="shared" si="113"/>
        <v>868.09994043196298</v>
      </c>
      <c r="AN144" s="59">
        <f ca="1">AVERAGE(OFFSET($AM$3,0,0,'Données projet'!$E$10+1,1))-AVERAGE(OFFSET($H$3,0,0,'Données projet'!$E$10+1,1))</f>
        <v>190.21499310415584</v>
      </c>
      <c r="AO144" s="59">
        <f t="shared" si="144"/>
        <v>136.15730566500173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497</v>
      </c>
      <c r="BE144" s="13">
        <f>BD144*VLOOKUP('Données projet'!$B$11,Paramètres!$A$1:$I$89,3,0)*VLOOKUP('Données projet'!$B$11,Paramètres!$A$1:$I$89,5,0)</f>
        <v>297.20600000000002</v>
      </c>
      <c r="BF144" s="13">
        <f t="shared" si="145"/>
        <v>70.590415164571112</v>
      </c>
      <c r="BG144" s="20">
        <f t="shared" si="115"/>
        <v>640.57875641162809</v>
      </c>
      <c r="BH144" s="59">
        <f t="shared" si="116"/>
        <v>933.91208974496135</v>
      </c>
      <c r="BI144" s="59">
        <f ca="1">AVERAGE(OFFSET($BH$3,0,0,'Données projet'!$E$11+1,1))-AVERAGE(OFFSET($H$3,0,0,'Données projet'!$E$11+1,1))</f>
        <v>270.30888762640245</v>
      </c>
      <c r="BJ144" s="59">
        <f t="shared" si="146"/>
        <v>202.23783851977691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0.2377377649685401</v>
      </c>
      <c r="BQ144" s="21">
        <f>EXP(-LN(2)/25)*BQ143+(1-EXP(-LN(2)/25))/(LN(2)/25)*Calculateur!BL144*Calculateur!BN144*VLOOKUP('Données projet'!$B$11,Paramètres!$A$1:$I$89,3,0)*0.475*44/12</f>
        <v>0.56645146651626621</v>
      </c>
      <c r="BR144" s="21">
        <f>EXP(-LN(2)/2)*BR143+(1-EXP(-LN(2)/2))/(LN(2)/2)*BL144*BO144*VLOOKUP('Données projet'!$B$11,Paramètres!$A$1:$I$89,3,0)*0.475*44/12</f>
        <v>3.6293881603744661E-16</v>
      </c>
      <c r="BS144" s="22">
        <f t="shared" si="117"/>
        <v>0.80418923148480659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497</v>
      </c>
      <c r="BZ144" s="13">
        <f>BY144*VLOOKUP('Données projet'!$B$12,Paramètres!$A$1:$I$89,3,0)*VLOOKUP('Données projet'!$B$12,Paramètres!$A$1:$I$89,5,0)</f>
        <v>297.20600000000002</v>
      </c>
      <c r="CA144" s="13">
        <f t="shared" si="147"/>
        <v>70.590415164571112</v>
      </c>
      <c r="CB144" s="20">
        <f t="shared" si="118"/>
        <v>640.57875641162809</v>
      </c>
      <c r="CC144" s="59">
        <f t="shared" si="119"/>
        <v>933.91208974496135</v>
      </c>
      <c r="CD144" s="59">
        <f ca="1">AVERAGE(OFFSET($CC$3,0,0,'Données projet'!$E$12+1,1))-AVERAGE(OFFSET($H$3,0,0,'Données projet'!$E$12+1,1))</f>
        <v>270.30888762640245</v>
      </c>
      <c r="CE144" s="59">
        <f t="shared" si="148"/>
        <v>202.23783851977691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0.2377377649685401</v>
      </c>
      <c r="CL144" s="21">
        <f>EXP(-LN(2)/25)*CL143+(1-EXP(-LN(2)/25))/(LN(2)/25)*Calculateur!CG144*Calculateur!CI144*VLOOKUP('Données projet'!$B$12,Paramètres!$A$1:$I$89,3,0)*0.475*44/12</f>
        <v>0.56645146651626621</v>
      </c>
      <c r="CM144" s="21">
        <f>EXP(-LN(2)/2)*CM143+(1-EXP(-LN(2)/2))/(LN(2)/2)*CG144*CJ144*VLOOKUP('Données projet'!$B$12,Paramètres!$A$1:$I$89,3,0)*0.475*44/12</f>
        <v>3.6293881603744661E-16</v>
      </c>
      <c r="CN144" s="22">
        <f t="shared" si="120"/>
        <v>0.80418923148480659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3.4106051316484809E-13</v>
      </c>
      <c r="CU144" s="17">
        <f>CT144*VLOOKUP('Données projet'!$B$13,Paramètres!$A$1:$I$89,3,0)*VLOOKUP('Données projet'!$B$13,Paramètres!$A$1:$I$89,5,0)</f>
        <v>1.5961632016114892E-13</v>
      </c>
      <c r="CV144" s="13">
        <f t="shared" si="149"/>
        <v>2.2708641912150958E-12</v>
      </c>
      <c r="CW144" s="20">
        <f t="shared" si="121"/>
        <v>4.2330868906469593E-12</v>
      </c>
      <c r="CX144" s="59">
        <f t="shared" si="122"/>
        <v>293.33333333333752</v>
      </c>
      <c r="CY144" s="59">
        <f ca="1">AVERAGE(OFFSET($CX$3,0,0,'Données projet'!$E$13+1,1))-AVERAGE(OFFSET($H$3,0,0,'Données projet'!$E$13+1,1))</f>
        <v>158.58786357608489</v>
      </c>
      <c r="CZ144" s="59">
        <f t="shared" si="150"/>
        <v>163.20074068819849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3.813056537183002E-14</v>
      </c>
      <c r="DQ144" s="13">
        <f t="shared" si="151"/>
        <v>6.4086286045526829E-13</v>
      </c>
      <c r="DR144" s="20">
        <f t="shared" si="124"/>
        <v>1.1825802166488628E-12</v>
      </c>
      <c r="DS144" s="59">
        <f t="shared" si="125"/>
        <v>293.33333333333451</v>
      </c>
      <c r="DT144" s="59">
        <f ca="1">AVERAGE(OFFSET($DS$3,0,0,'Données projet'!$E$14+1,1))-AVERAGE(OFFSET($H$3,0,0,'Données projet'!$E$14+1,1))</f>
        <v>156.63226020379989</v>
      </c>
      <c r="DU144" s="59">
        <f t="shared" si="152"/>
        <v>196.0481096619543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0.39943299868397775</v>
      </c>
      <c r="EC144" s="21">
        <f>EXP(-LN(2)/2)*EC143+(1-EXP(-LN(2)/2))/(LN(2)/2)*DW144*DZ144*VLOOKUP('Données projet'!$B$14,Paramètres!$A$1:$I$89,3,0)*0.475*44/12</f>
        <v>1.7807735100633476E-16</v>
      </c>
      <c r="ED144" s="22">
        <f t="shared" si="126"/>
        <v>0.39943299868397791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5.1063034188034209</v>
      </c>
      <c r="EJ144" s="12">
        <f>IF('Données projet'!$A$192&gt;35,EJ143+EI144-ER143,IF(A144&lt;'Données projet'!$A$192,$EG$205^A144,IF(A144='Données projet'!$A$192,'Données projet'!$B$192,EJ143+EI144-ER143)))</f>
        <v>262.33547008546969</v>
      </c>
      <c r="EK144" s="17">
        <f>EJ144*VLOOKUP('Données projet'!$B$15,Paramètres!$A$1:$I$89,3,0)*VLOOKUP('Données projet'!$B$15,Paramètres!$A$1:$I$89,5,0)</f>
        <v>282.37789999999956</v>
      </c>
      <c r="EL144" s="13">
        <f t="shared" si="153"/>
        <v>67.469279912473937</v>
      </c>
      <c r="EM144" s="20">
        <f t="shared" si="127"/>
        <v>609.31717168089131</v>
      </c>
      <c r="EN144" s="59">
        <f t="shared" si="128"/>
        <v>902.65050501422456</v>
      </c>
      <c r="EO144" s="59">
        <f ca="1">AVERAGE(OFFSET($EN$3,0,0,'Données projet'!$E$15+1,1))-AVERAGE(OFFSET($H$3,0,0,'Données projet'!$E$15+1,1))</f>
        <v>211.18501783767226</v>
      </c>
      <c r="EP144" s="59">
        <f t="shared" si="154"/>
        <v>147.98306963466246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498</v>
      </c>
      <c r="FF144" s="17">
        <f>FE144*VLOOKUP('Données projet'!$B$16,Paramètres!$A$1:$I$89,3,0)*VLOOKUP('Données projet'!$B$16,Paramètres!$A$1:$I$89,5,0)</f>
        <v>297.80400000000003</v>
      </c>
      <c r="FG144" s="13">
        <f t="shared" si="155"/>
        <v>70.715900863123025</v>
      </c>
      <c r="FH144" s="20">
        <f t="shared" si="130"/>
        <v>641.83882733660596</v>
      </c>
      <c r="FI144" s="59">
        <f t="shared" si="131"/>
        <v>935.17216066993933</v>
      </c>
      <c r="FJ144" s="59">
        <f ca="1">AVERAGE(OFFSET($FI$3,0,0,'Données projet'!$E$16+1,1))-AVERAGE(OFFSET($H$3,0,0,'Données projet'!$E$16+1,1))</f>
        <v>232.26937455765062</v>
      </c>
      <c r="FK144" s="59">
        <f t="shared" si="156"/>
        <v>115.80853281120301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0.24566235713415829</v>
      </c>
      <c r="FR144" s="21">
        <f>EXP(-LN(2)/25)*FR143+(1-EXP(-LN(2)/25))/(LN(2)/25)*Calculateur!FM144*Calculateur!FO144*VLOOKUP('Données projet'!$B$16,Paramètres!$A$1:$I$89,3,0)*0.475*44/12</f>
        <v>0.20313146489593481</v>
      </c>
      <c r="FS144" s="21">
        <f>EXP(-LN(2)/2)*FS143+(1-EXP(-LN(2)/2))/(LN(2)/2)*FM144*FP144*VLOOKUP('Données projet'!$B$16,Paramètres!$A$1:$I$89,3,0)*0.475*44/12</f>
        <v>1.6477588352821374E-16</v>
      </c>
      <c r="FT144" s="22">
        <f t="shared" si="132"/>
        <v>0.44879382203009327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5.6843418860808015E-14</v>
      </c>
      <c r="GA144" s="17">
        <f>FZ144*VLOOKUP('Données projet'!$B$17,Paramètres!$A$1:$I$89,3,0)*VLOOKUP('Données projet'!$B$17,Paramètres!$A$1:$I$89,5,0)</f>
        <v>4.5224624045658861E-14</v>
      </c>
      <c r="GB144" s="13">
        <f t="shared" si="157"/>
        <v>7.4514601661523691E-13</v>
      </c>
      <c r="GC144" s="20">
        <f t="shared" si="133"/>
        <v>1.3765621991510601E-12</v>
      </c>
      <c r="GD144" s="59">
        <f t="shared" si="134"/>
        <v>293.33333333333468</v>
      </c>
      <c r="GE144" s="59">
        <f ca="1">AVERAGE(OFFSET($GD$3,0,0,'Données projet'!$E$17+1,1))-AVERAGE(OFFSET($H$3,0,0,'Données projet'!$E$17+1,1))</f>
        <v>199.58763537752952</v>
      </c>
      <c r="GF144" s="59">
        <f t="shared" si="158"/>
        <v>242.62852778451929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0.47374611471820566</v>
      </c>
      <c r="GN144" s="21">
        <f>EXP(-LN(2)/2)*GN143+(1-EXP(-LN(2)/2))/(LN(2)/2)*GH144*GK144*VLOOKUP('Données projet'!$B$17,Paramètres!$A$1:$I$89,3,0)*0.475*44/12</f>
        <v>2.1120802096100189E-16</v>
      </c>
      <c r="GO144" s="21">
        <f t="shared" si="135"/>
        <v>0.47374611471820588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5.1063034188034209</v>
      </c>
      <c r="N145" s="13">
        <f>IF('Données projet'!$A$36&gt;35,N144+M145-V144,IF(A145&lt;'Données projet'!$A$36,$K$205^A145,IF(A145='Données projet'!$A$36,'Données projet'!$B$36,N144+M145-V144)))</f>
        <v>267.4417735042731</v>
      </c>
      <c r="O145" s="13">
        <f>N145*VLOOKUP('Données projet'!$B$9,Paramètres!$A$1:$I$89,3,0)*VLOOKUP('Données projet'!$B$9,Paramètres!$A$1:$I$89,5,0)</f>
        <v>241.98131666666632</v>
      </c>
      <c r="P145" s="13">
        <f t="shared" si="141"/>
        <v>58.865616222095206</v>
      </c>
      <c r="Q145" s="20">
        <f t="shared" si="108"/>
        <v>523.97507478125954</v>
      </c>
      <c r="R145" s="59">
        <f t="shared" si="109"/>
        <v>817.30840811459279</v>
      </c>
      <c r="S145" s="59">
        <f ca="1">AVERAGE(OFFSET($R$3,0,0,'Données projet'!$E$9+1,1))-AVERAGE(OFFSET($H$3,0,0,'Données projet'!$E$9+1,1))</f>
        <v>153.45079678708987</v>
      </c>
      <c r="T145" s="59">
        <f t="shared" si="142"/>
        <v>115.4217868409637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271.18595833333296</v>
      </c>
      <c r="AK145" s="13">
        <f t="shared" si="143"/>
        <v>65.100895340597489</v>
      </c>
      <c r="AL145" s="20">
        <f t="shared" si="112"/>
        <v>585.69960348209554</v>
      </c>
      <c r="AM145" s="59">
        <f t="shared" si="113"/>
        <v>879.03293681542891</v>
      </c>
      <c r="AN145" s="59">
        <f ca="1">AVERAGE(OFFSET($AM$3,0,0,'Données projet'!$E$10+1,1))-AVERAGE(OFFSET($H$3,0,0,'Données projet'!$E$10+1,1))</f>
        <v>190.21499310415584</v>
      </c>
      <c r="AO145" s="59">
        <f t="shared" si="144"/>
        <v>136.15730566500173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497</v>
      </c>
      <c r="BE145" s="13">
        <f>BD145*VLOOKUP('Données projet'!$B$11,Paramètres!$A$1:$I$89,3,0)*VLOOKUP('Données projet'!$B$11,Paramètres!$A$1:$I$89,5,0)</f>
        <v>297.20600000000002</v>
      </c>
      <c r="BF145" s="13">
        <f t="shared" si="145"/>
        <v>70.590415164571112</v>
      </c>
      <c r="BG145" s="20">
        <f t="shared" si="115"/>
        <v>640.57875641162809</v>
      </c>
      <c r="BH145" s="59">
        <f t="shared" si="116"/>
        <v>933.91208974496135</v>
      </c>
      <c r="BI145" s="59">
        <f ca="1">AVERAGE(OFFSET($BH$3,0,0,'Données projet'!$E$11+1,1))-AVERAGE(OFFSET($H$3,0,0,'Données projet'!$E$11+1,1))</f>
        <v>270.30888762640245</v>
      </c>
      <c r="BJ145" s="59">
        <f t="shared" si="146"/>
        <v>202.23783851977691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0.23307587240322553</v>
      </c>
      <c r="BQ145" s="21">
        <f>EXP(-LN(2)/25)*BQ144+(1-EXP(-LN(2)/25))/(LN(2)/25)*Calculateur!BL145*Calculateur!BN145*VLOOKUP('Données projet'!$B$11,Paramètres!$A$1:$I$89,3,0)*0.475*44/12</f>
        <v>0.55096182137599092</v>
      </c>
      <c r="BR145" s="21">
        <f>EXP(-LN(2)/2)*BR144+(1-EXP(-LN(2)/2))/(LN(2)/2)*BL145*BO145*VLOOKUP('Données projet'!$B$11,Paramètres!$A$1:$I$89,3,0)*0.475*44/12</f>
        <v>2.5663649797589538E-16</v>
      </c>
      <c r="BS145" s="22">
        <f t="shared" si="117"/>
        <v>0.78403769377921662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497</v>
      </c>
      <c r="BZ145" s="13">
        <f>BY145*VLOOKUP('Données projet'!$B$12,Paramètres!$A$1:$I$89,3,0)*VLOOKUP('Données projet'!$B$12,Paramètres!$A$1:$I$89,5,0)</f>
        <v>297.20600000000002</v>
      </c>
      <c r="CA145" s="13">
        <f t="shared" si="147"/>
        <v>70.590415164571112</v>
      </c>
      <c r="CB145" s="20">
        <f t="shared" si="118"/>
        <v>640.57875641162809</v>
      </c>
      <c r="CC145" s="59">
        <f t="shared" si="119"/>
        <v>933.91208974496135</v>
      </c>
      <c r="CD145" s="59">
        <f ca="1">AVERAGE(OFFSET($CC$3,0,0,'Données projet'!$E$12+1,1))-AVERAGE(OFFSET($H$3,0,0,'Données projet'!$E$12+1,1))</f>
        <v>270.30888762640245</v>
      </c>
      <c r="CE145" s="59">
        <f t="shared" si="148"/>
        <v>202.23783851977691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0.23307587240322553</v>
      </c>
      <c r="CL145" s="21">
        <f>EXP(-LN(2)/25)*CL144+(1-EXP(-LN(2)/25))/(LN(2)/25)*Calculateur!CG145*Calculateur!CI145*VLOOKUP('Données projet'!$B$12,Paramètres!$A$1:$I$89,3,0)*0.475*44/12</f>
        <v>0.55096182137599092</v>
      </c>
      <c r="CM145" s="21">
        <f>EXP(-LN(2)/2)*CM144+(1-EXP(-LN(2)/2))/(LN(2)/2)*CG145*CJ145*VLOOKUP('Données projet'!$B$12,Paramètres!$A$1:$I$89,3,0)*0.475*44/12</f>
        <v>2.5663649797589538E-16</v>
      </c>
      <c r="CN145" s="22">
        <f t="shared" si="120"/>
        <v>0.78403769377921662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3.4106051316484809E-13</v>
      </c>
      <c r="CU145" s="17">
        <f>CT145*VLOOKUP('Données projet'!$B$13,Paramètres!$A$1:$I$89,3,0)*VLOOKUP('Données projet'!$B$13,Paramètres!$A$1:$I$89,5,0)</f>
        <v>1.5961632016114892E-13</v>
      </c>
      <c r="CV145" s="13">
        <f t="shared" si="149"/>
        <v>2.2708641912150958E-12</v>
      </c>
      <c r="CW145" s="20">
        <f t="shared" si="121"/>
        <v>4.2330868906469593E-12</v>
      </c>
      <c r="CX145" s="59">
        <f t="shared" si="122"/>
        <v>293.33333333333752</v>
      </c>
      <c r="CY145" s="59">
        <f ca="1">AVERAGE(OFFSET($CX$3,0,0,'Données projet'!$E$13+1,1))-AVERAGE(OFFSET($H$3,0,0,'Données projet'!$E$13+1,1))</f>
        <v>158.58786357608489</v>
      </c>
      <c r="CZ145" s="59">
        <f t="shared" si="150"/>
        <v>163.20074068819849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3.813056537183002E-14</v>
      </c>
      <c r="DQ145" s="13">
        <f t="shared" si="151"/>
        <v>6.4086286045526829E-13</v>
      </c>
      <c r="DR145" s="20">
        <f t="shared" si="124"/>
        <v>1.1825802166488628E-12</v>
      </c>
      <c r="DS145" s="59">
        <f t="shared" si="125"/>
        <v>293.33333333333451</v>
      </c>
      <c r="DT145" s="59">
        <f ca="1">AVERAGE(OFFSET($DS$3,0,0,'Données projet'!$E$14+1,1))-AVERAGE(OFFSET($H$3,0,0,'Données projet'!$E$14+1,1))</f>
        <v>156.63226020379989</v>
      </c>
      <c r="DU145" s="59">
        <f t="shared" si="152"/>
        <v>196.0481096619543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0.38851048232969587</v>
      </c>
      <c r="EC145" s="21">
        <f>EXP(-LN(2)/2)*EC144+(1-EXP(-LN(2)/2))/(LN(2)/2)*DW145*DZ145*VLOOKUP('Données projet'!$B$14,Paramètres!$A$1:$I$89,3,0)*0.475*44/12</f>
        <v>1.2591970247231637E-16</v>
      </c>
      <c r="ED145" s="22">
        <f t="shared" si="126"/>
        <v>0.38851048232969598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5.1063034188034209</v>
      </c>
      <c r="EJ145" s="12">
        <f>IF('Données projet'!$A$192&gt;35,EJ144+EI145-ER144,IF(A145&lt;'Données projet'!$A$192,$EG$205^A145,IF(A145='Données projet'!$A$192,'Données projet'!$B$192,EJ144+EI145-ER144)))</f>
        <v>267.4417735042731</v>
      </c>
      <c r="EK145" s="17">
        <f>EJ145*VLOOKUP('Données projet'!$B$15,Paramètres!$A$1:$I$89,3,0)*VLOOKUP('Données projet'!$B$15,Paramètres!$A$1:$I$89,5,0)</f>
        <v>287.87432499999954</v>
      </c>
      <c r="EL145" s="13">
        <f t="shared" si="153"/>
        <v>68.628384557588845</v>
      </c>
      <c r="EM145" s="20">
        <f t="shared" si="127"/>
        <v>620.90888581279978</v>
      </c>
      <c r="EN145" s="59">
        <f t="shared" si="128"/>
        <v>914.24221914613304</v>
      </c>
      <c r="EO145" s="59">
        <f ca="1">AVERAGE(OFFSET($EN$3,0,0,'Données projet'!$E$15+1,1))-AVERAGE(OFFSET($H$3,0,0,'Données projet'!$E$15+1,1))</f>
        <v>211.18501783767226</v>
      </c>
      <c r="EP145" s="59">
        <f t="shared" si="154"/>
        <v>147.98306963466246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498</v>
      </c>
      <c r="FF145" s="17">
        <f>FE145*VLOOKUP('Données projet'!$B$16,Paramètres!$A$1:$I$89,3,0)*VLOOKUP('Données projet'!$B$16,Paramètres!$A$1:$I$89,5,0)</f>
        <v>297.80400000000003</v>
      </c>
      <c r="FG145" s="13">
        <f t="shared" si="155"/>
        <v>70.715900863123025</v>
      </c>
      <c r="FH145" s="20">
        <f t="shared" si="130"/>
        <v>641.83882733660596</v>
      </c>
      <c r="FI145" s="59">
        <f t="shared" si="131"/>
        <v>935.17216066993933</v>
      </c>
      <c r="FJ145" s="59">
        <f ca="1">AVERAGE(OFFSET($FI$3,0,0,'Données projet'!$E$16+1,1))-AVERAGE(OFFSET($H$3,0,0,'Données projet'!$E$16+1,1))</f>
        <v>232.26937455765062</v>
      </c>
      <c r="FK145" s="59">
        <f t="shared" si="156"/>
        <v>115.80853281120301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0.2408450681499999</v>
      </c>
      <c r="FR145" s="21">
        <f>EXP(-LN(2)/25)*FR144+(1-EXP(-LN(2)/25))/(LN(2)/25)*Calculateur!FM145*Calculateur!FO145*VLOOKUP('Données projet'!$B$16,Paramètres!$A$1:$I$89,3,0)*0.475*44/12</f>
        <v>0.19757682430613599</v>
      </c>
      <c r="FS145" s="21">
        <f>EXP(-LN(2)/2)*FS144+(1-EXP(-LN(2)/2))/(LN(2)/2)*FM145*FP145*VLOOKUP('Données projet'!$B$16,Paramètres!$A$1:$I$89,3,0)*0.475*44/12</f>
        <v>1.1651414461880467E-16</v>
      </c>
      <c r="FT145" s="22">
        <f t="shared" si="132"/>
        <v>0.438421892456136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5.6843418860808015E-14</v>
      </c>
      <c r="GA145" s="17">
        <f>FZ145*VLOOKUP('Données projet'!$B$17,Paramètres!$A$1:$I$89,3,0)*VLOOKUP('Données projet'!$B$17,Paramètres!$A$1:$I$89,5,0)</f>
        <v>4.5224624045658861E-14</v>
      </c>
      <c r="GB145" s="13">
        <f t="shared" si="157"/>
        <v>7.4514601661523691E-13</v>
      </c>
      <c r="GC145" s="20">
        <f t="shared" si="133"/>
        <v>1.3765621991510601E-12</v>
      </c>
      <c r="GD145" s="59">
        <f t="shared" si="134"/>
        <v>293.33333333333468</v>
      </c>
      <c r="GE145" s="59">
        <f ca="1">AVERAGE(OFFSET($GD$3,0,0,'Données projet'!$E$17+1,1))-AVERAGE(OFFSET($H$3,0,0,'Données projet'!$E$17+1,1))</f>
        <v>199.58763537752952</v>
      </c>
      <c r="GF145" s="59">
        <f t="shared" si="158"/>
        <v>242.62852778451929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0.46079150229801091</v>
      </c>
      <c r="GN145" s="21">
        <f>EXP(-LN(2)/2)*GN144+(1-EXP(-LN(2)/2))/(LN(2)/2)*GH145*GK145*VLOOKUP('Données projet'!$B$17,Paramètres!$A$1:$I$89,3,0)*0.475*44/12</f>
        <v>1.493466238625149E-16</v>
      </c>
      <c r="GO145" s="21">
        <f t="shared" si="135"/>
        <v>0.46079150229801108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5.1063034188034209</v>
      </c>
      <c r="N146" s="13">
        <f>IF('Données projet'!$A$36&gt;35,N145+M146-V145,IF(A146&lt;'Données projet'!$A$36,$K$205^A146,IF(A146='Données projet'!$A$36,'Données projet'!$B$36,N145+M146-V145)))</f>
        <v>272.54807692307651</v>
      </c>
      <c r="O146" s="13">
        <f>N146*VLOOKUP('Données projet'!$B$9,Paramètres!$A$1:$I$89,3,0)*VLOOKUP('Données projet'!$B$9,Paramètres!$A$1:$I$89,5,0)</f>
        <v>246.60149999999962</v>
      </c>
      <c r="P146" s="13">
        <f t="shared" si="141"/>
        <v>59.857624528428133</v>
      </c>
      <c r="Q146" s="20">
        <f t="shared" si="108"/>
        <v>533.74964188701165</v>
      </c>
      <c r="R146" s="59">
        <f t="shared" si="109"/>
        <v>827.08297522034491</v>
      </c>
      <c r="S146" s="59">
        <f ca="1">AVERAGE(OFFSET($R$3,0,0,'Données projet'!$E$9+1,1))-AVERAGE(OFFSET($H$3,0,0,'Données projet'!$E$9+1,1))</f>
        <v>153.45079678708987</v>
      </c>
      <c r="T146" s="59">
        <f t="shared" si="142"/>
        <v>115.4217868409637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276.36374999999958</v>
      </c>
      <c r="AK146" s="13">
        <f t="shared" si="143"/>
        <v>66.19798109408589</v>
      </c>
      <c r="AL146" s="20">
        <f t="shared" si="112"/>
        <v>596.6283483221988</v>
      </c>
      <c r="AM146" s="59">
        <f t="shared" si="113"/>
        <v>889.96168165553217</v>
      </c>
      <c r="AN146" s="59">
        <f ca="1">AVERAGE(OFFSET($AM$3,0,0,'Données projet'!$E$10+1,1))-AVERAGE(OFFSET($H$3,0,0,'Données projet'!$E$10+1,1))</f>
        <v>190.21499310415584</v>
      </c>
      <c r="AO146" s="59">
        <f t="shared" si="144"/>
        <v>136.15730566500173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497</v>
      </c>
      <c r="BE146" s="13">
        <f>BD146*VLOOKUP('Données projet'!$B$11,Paramètres!$A$1:$I$89,3,0)*VLOOKUP('Données projet'!$B$11,Paramètres!$A$1:$I$89,5,0)</f>
        <v>297.20600000000002</v>
      </c>
      <c r="BF146" s="13">
        <f t="shared" si="145"/>
        <v>70.590415164571112</v>
      </c>
      <c r="BG146" s="20">
        <f t="shared" si="115"/>
        <v>640.57875641162809</v>
      </c>
      <c r="BH146" s="59">
        <f t="shared" si="116"/>
        <v>933.91208974496135</v>
      </c>
      <c r="BI146" s="59">
        <f ca="1">AVERAGE(OFFSET($BH$3,0,0,'Données projet'!$E$11+1,1))-AVERAGE(OFFSET($H$3,0,0,'Données projet'!$E$11+1,1))</f>
        <v>270.30888762640245</v>
      </c>
      <c r="BJ146" s="59">
        <f t="shared" si="146"/>
        <v>202.23783851977691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0.22850539670764308</v>
      </c>
      <c r="BQ146" s="21">
        <f>EXP(-LN(2)/25)*BQ145+(1-EXP(-LN(2)/25))/(LN(2)/25)*Calculateur!BL146*Calculateur!BN146*VLOOKUP('Données projet'!$B$11,Paramètres!$A$1:$I$89,3,0)*0.475*44/12</f>
        <v>0.53589574139664153</v>
      </c>
      <c r="BR146" s="21">
        <f>EXP(-LN(2)/2)*BR145+(1-EXP(-LN(2)/2))/(LN(2)/2)*BL146*BO146*VLOOKUP('Données projet'!$B$11,Paramètres!$A$1:$I$89,3,0)*0.475*44/12</f>
        <v>1.814694080187233E-16</v>
      </c>
      <c r="BS146" s="22">
        <f t="shared" si="117"/>
        <v>0.76440113810428478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497</v>
      </c>
      <c r="BZ146" s="13">
        <f>BY146*VLOOKUP('Données projet'!$B$12,Paramètres!$A$1:$I$89,3,0)*VLOOKUP('Données projet'!$B$12,Paramètres!$A$1:$I$89,5,0)</f>
        <v>297.20600000000002</v>
      </c>
      <c r="CA146" s="13">
        <f t="shared" si="147"/>
        <v>70.590415164571112</v>
      </c>
      <c r="CB146" s="20">
        <f t="shared" si="118"/>
        <v>640.57875641162809</v>
      </c>
      <c r="CC146" s="59">
        <f t="shared" si="119"/>
        <v>933.91208974496135</v>
      </c>
      <c r="CD146" s="59">
        <f ca="1">AVERAGE(OFFSET($CC$3,0,0,'Données projet'!$E$12+1,1))-AVERAGE(OFFSET($H$3,0,0,'Données projet'!$E$12+1,1))</f>
        <v>270.30888762640245</v>
      </c>
      <c r="CE146" s="59">
        <f t="shared" si="148"/>
        <v>202.23783851977691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0.22850539670764308</v>
      </c>
      <c r="CL146" s="21">
        <f>EXP(-LN(2)/25)*CL145+(1-EXP(-LN(2)/25))/(LN(2)/25)*Calculateur!CG146*Calculateur!CI146*VLOOKUP('Données projet'!$B$12,Paramètres!$A$1:$I$89,3,0)*0.475*44/12</f>
        <v>0.53589574139664153</v>
      </c>
      <c r="CM146" s="21">
        <f>EXP(-LN(2)/2)*CM145+(1-EXP(-LN(2)/2))/(LN(2)/2)*CG146*CJ146*VLOOKUP('Données projet'!$B$12,Paramètres!$A$1:$I$89,3,0)*0.475*44/12</f>
        <v>1.814694080187233E-16</v>
      </c>
      <c r="CN146" s="22">
        <f t="shared" si="120"/>
        <v>0.76440113810428478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3.4106051316484809E-13</v>
      </c>
      <c r="CU146" s="17">
        <f>CT146*VLOOKUP('Données projet'!$B$13,Paramètres!$A$1:$I$89,3,0)*VLOOKUP('Données projet'!$B$13,Paramètres!$A$1:$I$89,5,0)</f>
        <v>1.5961632016114892E-13</v>
      </c>
      <c r="CV146" s="13">
        <f t="shared" si="149"/>
        <v>2.2708641912150958E-12</v>
      </c>
      <c r="CW146" s="20">
        <f t="shared" si="121"/>
        <v>4.2330868906469593E-12</v>
      </c>
      <c r="CX146" s="59">
        <f t="shared" si="122"/>
        <v>293.33333333333752</v>
      </c>
      <c r="CY146" s="59">
        <f ca="1">AVERAGE(OFFSET($CX$3,0,0,'Données projet'!$E$13+1,1))-AVERAGE(OFFSET($H$3,0,0,'Données projet'!$E$13+1,1))</f>
        <v>158.58786357608489</v>
      </c>
      <c r="CZ146" s="59">
        <f t="shared" si="150"/>
        <v>163.20074068819849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3.813056537183002E-14</v>
      </c>
      <c r="DQ146" s="13">
        <f t="shared" si="151"/>
        <v>6.4086286045526829E-13</v>
      </c>
      <c r="DR146" s="20">
        <f t="shared" si="124"/>
        <v>1.1825802166488628E-12</v>
      </c>
      <c r="DS146" s="59">
        <f t="shared" si="125"/>
        <v>293.33333333333451</v>
      </c>
      <c r="DT146" s="59">
        <f ca="1">AVERAGE(OFFSET($DS$3,0,0,'Données projet'!$E$14+1,1))-AVERAGE(OFFSET($H$3,0,0,'Données projet'!$E$14+1,1))</f>
        <v>156.63226020379989</v>
      </c>
      <c r="DU146" s="59">
        <f t="shared" si="152"/>
        <v>196.0481096619543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0.377886642759512</v>
      </c>
      <c r="EC146" s="21">
        <f>EXP(-LN(2)/2)*EC145+(1-EXP(-LN(2)/2))/(LN(2)/2)*DW146*DZ146*VLOOKUP('Données projet'!$B$14,Paramètres!$A$1:$I$89,3,0)*0.475*44/12</f>
        <v>8.9038675503167378E-17</v>
      </c>
      <c r="ED146" s="22">
        <f t="shared" si="126"/>
        <v>0.37788664275951211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5.1063034188034209</v>
      </c>
      <c r="EJ146" s="12">
        <f>IF('Données projet'!$A$192&gt;35,EJ145+EI146-ER145,IF(A146&lt;'Données projet'!$A$192,$EG$205^A146,IF(A146='Données projet'!$A$192,'Données projet'!$B$192,EJ145+EI146-ER145)))</f>
        <v>272.54807692307651</v>
      </c>
      <c r="EK146" s="17">
        <f>EJ146*VLOOKUP('Données projet'!$B$15,Paramètres!$A$1:$I$89,3,0)*VLOOKUP('Données projet'!$B$15,Paramètres!$A$1:$I$89,5,0)</f>
        <v>293.37074999999953</v>
      </c>
      <c r="EL146" s="13">
        <f t="shared" si="153"/>
        <v>69.784915855494148</v>
      </c>
      <c r="EM146" s="20">
        <f t="shared" si="127"/>
        <v>632.49611803165146</v>
      </c>
      <c r="EN146" s="59">
        <f t="shared" si="128"/>
        <v>925.82945136498483</v>
      </c>
      <c r="EO146" s="59">
        <f ca="1">AVERAGE(OFFSET($EN$3,0,0,'Données projet'!$E$15+1,1))-AVERAGE(OFFSET($H$3,0,0,'Données projet'!$E$15+1,1))</f>
        <v>211.18501783767226</v>
      </c>
      <c r="EP146" s="59">
        <f t="shared" si="154"/>
        <v>147.98306963466246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498</v>
      </c>
      <c r="FF146" s="17">
        <f>FE146*VLOOKUP('Données projet'!$B$16,Paramètres!$A$1:$I$89,3,0)*VLOOKUP('Données projet'!$B$16,Paramètres!$A$1:$I$89,5,0)</f>
        <v>297.80400000000003</v>
      </c>
      <c r="FG146" s="13">
        <f t="shared" si="155"/>
        <v>70.715900863123025</v>
      </c>
      <c r="FH146" s="20">
        <f t="shared" si="130"/>
        <v>641.83882733660596</v>
      </c>
      <c r="FI146" s="59">
        <f t="shared" si="131"/>
        <v>935.17216066993933</v>
      </c>
      <c r="FJ146" s="59">
        <f ca="1">AVERAGE(OFFSET($FI$3,0,0,'Données projet'!$E$16+1,1))-AVERAGE(OFFSET($H$3,0,0,'Données projet'!$E$16+1,1))</f>
        <v>232.26937455765062</v>
      </c>
      <c r="FK146" s="59">
        <f t="shared" si="156"/>
        <v>115.80853281120301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0.23612224326456471</v>
      </c>
      <c r="FR146" s="21">
        <f>EXP(-LN(2)/25)*FR145+(1-EXP(-LN(2)/25))/(LN(2)/25)*Calculateur!FM146*Calculateur!FO146*VLOOKUP('Données projet'!$B$16,Paramètres!$A$1:$I$89,3,0)*0.475*44/12</f>
        <v>0.19217407565537109</v>
      </c>
      <c r="FS146" s="21">
        <f>EXP(-LN(2)/2)*FS145+(1-EXP(-LN(2)/2))/(LN(2)/2)*FM146*FP146*VLOOKUP('Données projet'!$B$16,Paramètres!$A$1:$I$89,3,0)*0.475*44/12</f>
        <v>8.2387941764106871E-17</v>
      </c>
      <c r="FT146" s="22">
        <f t="shared" si="132"/>
        <v>0.42829631891993586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5.6843418860808015E-14</v>
      </c>
      <c r="GA146" s="17">
        <f>FZ146*VLOOKUP('Données projet'!$B$17,Paramètres!$A$1:$I$89,3,0)*VLOOKUP('Données projet'!$B$17,Paramètres!$A$1:$I$89,5,0)</f>
        <v>4.5224624045658861E-14</v>
      </c>
      <c r="GB146" s="13">
        <f t="shared" si="157"/>
        <v>7.4514601661523691E-13</v>
      </c>
      <c r="GC146" s="20">
        <f t="shared" si="133"/>
        <v>1.3765621991510601E-12</v>
      </c>
      <c r="GD146" s="59">
        <f t="shared" si="134"/>
        <v>293.33333333333468</v>
      </c>
      <c r="GE146" s="59">
        <f ca="1">AVERAGE(OFFSET($GD$3,0,0,'Données projet'!$E$17+1,1))-AVERAGE(OFFSET($H$3,0,0,'Données projet'!$E$17+1,1))</f>
        <v>199.58763537752952</v>
      </c>
      <c r="GF146" s="59">
        <f t="shared" si="158"/>
        <v>242.62852778451929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0.44819113443569986</v>
      </c>
      <c r="GN146" s="21">
        <f>EXP(-LN(2)/2)*GN145+(1-EXP(-LN(2)/2))/(LN(2)/2)*GH146*GK146*VLOOKUP('Données projet'!$B$17,Paramètres!$A$1:$I$89,3,0)*0.475*44/12</f>
        <v>1.0560401048050094E-16</v>
      </c>
      <c r="GO146" s="21">
        <f t="shared" si="135"/>
        <v>0.44819113443569997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5.1063034188034209</v>
      </c>
      <c r="N147" s="13">
        <f>IF('Données projet'!$A$36&gt;35,N146+M147-V146,IF(A147&lt;'Données projet'!$A$36,$K$205^A147,IF(A147='Données projet'!$A$36,'Données projet'!$B$36,N146+M147-V146)))</f>
        <v>277.65438034187991</v>
      </c>
      <c r="O147" s="13">
        <f>N147*VLOOKUP('Données projet'!$B$9,Paramètres!$A$1:$I$89,3,0)*VLOOKUP('Données projet'!$B$9,Paramètres!$A$1:$I$89,5,0)</f>
        <v>251.22168333333292</v>
      </c>
      <c r="P147" s="13">
        <f t="shared" si="141"/>
        <v>60.847471683449903</v>
      </c>
      <c r="Q147" s="20">
        <f t="shared" si="108"/>
        <v>543.52044498756334</v>
      </c>
      <c r="R147" s="59">
        <f t="shared" si="109"/>
        <v>836.85377832089671</v>
      </c>
      <c r="S147" s="59">
        <f ca="1">AVERAGE(OFFSET($R$3,0,0,'Données projet'!$E$9+1,1))-AVERAGE(OFFSET($H$3,0,0,'Données projet'!$E$9+1,1))</f>
        <v>153.45079678708987</v>
      </c>
      <c r="T147" s="59">
        <f t="shared" si="142"/>
        <v>115.4217868409637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281.54154166666626</v>
      </c>
      <c r="AK147" s="13">
        <f t="shared" si="143"/>
        <v>67.292676778560462</v>
      </c>
      <c r="AL147" s="20">
        <f t="shared" si="112"/>
        <v>607.55293045876988</v>
      </c>
      <c r="AM147" s="59">
        <f t="shared" si="113"/>
        <v>900.88626379210314</v>
      </c>
      <c r="AN147" s="59">
        <f ca="1">AVERAGE(OFFSET($AM$3,0,0,'Données projet'!$E$10+1,1))-AVERAGE(OFFSET($H$3,0,0,'Données projet'!$E$10+1,1))</f>
        <v>190.21499310415584</v>
      </c>
      <c r="AO147" s="59">
        <f t="shared" si="144"/>
        <v>136.15730566500173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497</v>
      </c>
      <c r="BE147" s="13">
        <f>BD147*VLOOKUP('Données projet'!$B$11,Paramètres!$A$1:$I$89,3,0)*VLOOKUP('Données projet'!$B$11,Paramètres!$A$1:$I$89,5,0)</f>
        <v>297.20600000000002</v>
      </c>
      <c r="BF147" s="13">
        <f t="shared" si="145"/>
        <v>70.590415164571112</v>
      </c>
      <c r="BG147" s="20">
        <f t="shared" si="115"/>
        <v>640.57875641162809</v>
      </c>
      <c r="BH147" s="59">
        <f t="shared" si="116"/>
        <v>933.91208974496135</v>
      </c>
      <c r="BI147" s="59">
        <f ca="1">AVERAGE(OFFSET($BH$3,0,0,'Données projet'!$E$11+1,1))-AVERAGE(OFFSET($H$3,0,0,'Données projet'!$E$11+1,1))</f>
        <v>270.30888762640245</v>
      </c>
      <c r="BJ147" s="59">
        <f t="shared" si="146"/>
        <v>202.23783851977691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0.2240245452527361</v>
      </c>
      <c r="BQ147" s="21">
        <f>EXP(-LN(2)/25)*BQ146+(1-EXP(-LN(2)/25))/(LN(2)/25)*Calculateur!BL147*Calculateur!BN147*VLOOKUP('Données projet'!$B$11,Paramètres!$A$1:$I$89,3,0)*0.475*44/12</f>
        <v>0.52124164416661811</v>
      </c>
      <c r="BR147" s="21">
        <f>EXP(-LN(2)/2)*BR146+(1-EXP(-LN(2)/2))/(LN(2)/2)*BL147*BO147*VLOOKUP('Données projet'!$B$11,Paramètres!$A$1:$I$89,3,0)*0.475*44/12</f>
        <v>1.2831824898794769E-16</v>
      </c>
      <c r="BS147" s="22">
        <f t="shared" si="117"/>
        <v>0.7452661894193543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497</v>
      </c>
      <c r="BZ147" s="13">
        <f>BY147*VLOOKUP('Données projet'!$B$12,Paramètres!$A$1:$I$89,3,0)*VLOOKUP('Données projet'!$B$12,Paramètres!$A$1:$I$89,5,0)</f>
        <v>297.20600000000002</v>
      </c>
      <c r="CA147" s="13">
        <f t="shared" si="147"/>
        <v>70.590415164571112</v>
      </c>
      <c r="CB147" s="20">
        <f t="shared" si="118"/>
        <v>640.57875641162809</v>
      </c>
      <c r="CC147" s="59">
        <f t="shared" si="119"/>
        <v>933.91208974496135</v>
      </c>
      <c r="CD147" s="59">
        <f ca="1">AVERAGE(OFFSET($CC$3,0,0,'Données projet'!$E$12+1,1))-AVERAGE(OFFSET($H$3,0,0,'Données projet'!$E$12+1,1))</f>
        <v>270.30888762640245</v>
      </c>
      <c r="CE147" s="59">
        <f t="shared" si="148"/>
        <v>202.23783851977691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0.2240245452527361</v>
      </c>
      <c r="CL147" s="21">
        <f>EXP(-LN(2)/25)*CL146+(1-EXP(-LN(2)/25))/(LN(2)/25)*Calculateur!CG147*Calculateur!CI147*VLOOKUP('Données projet'!$B$12,Paramètres!$A$1:$I$89,3,0)*0.475*44/12</f>
        <v>0.52124164416661811</v>
      </c>
      <c r="CM147" s="21">
        <f>EXP(-LN(2)/2)*CM146+(1-EXP(-LN(2)/2))/(LN(2)/2)*CG147*CJ147*VLOOKUP('Données projet'!$B$12,Paramètres!$A$1:$I$89,3,0)*0.475*44/12</f>
        <v>1.2831824898794769E-16</v>
      </c>
      <c r="CN147" s="22">
        <f t="shared" si="120"/>
        <v>0.7452661894193543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3.4106051316484809E-13</v>
      </c>
      <c r="CU147" s="17">
        <f>CT147*VLOOKUP('Données projet'!$B$13,Paramètres!$A$1:$I$89,3,0)*VLOOKUP('Données projet'!$B$13,Paramètres!$A$1:$I$89,5,0)</f>
        <v>1.5961632016114892E-13</v>
      </c>
      <c r="CV147" s="13">
        <f t="shared" si="149"/>
        <v>2.2708641912150958E-12</v>
      </c>
      <c r="CW147" s="20">
        <f t="shared" si="121"/>
        <v>4.2330868906469593E-12</v>
      </c>
      <c r="CX147" s="59">
        <f t="shared" si="122"/>
        <v>293.33333333333752</v>
      </c>
      <c r="CY147" s="59">
        <f ca="1">AVERAGE(OFFSET($CX$3,0,0,'Données projet'!$E$13+1,1))-AVERAGE(OFFSET($H$3,0,0,'Données projet'!$E$13+1,1))</f>
        <v>158.58786357608489</v>
      </c>
      <c r="CZ147" s="59">
        <f t="shared" si="150"/>
        <v>163.20074068819849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3.813056537183002E-14</v>
      </c>
      <c r="DQ147" s="13">
        <f t="shared" si="151"/>
        <v>6.4086286045526829E-13</v>
      </c>
      <c r="DR147" s="20">
        <f t="shared" si="124"/>
        <v>1.1825802166488628E-12</v>
      </c>
      <c r="DS147" s="59">
        <f t="shared" si="125"/>
        <v>293.33333333333451</v>
      </c>
      <c r="DT147" s="59">
        <f ca="1">AVERAGE(OFFSET($DS$3,0,0,'Données projet'!$E$14+1,1))-AVERAGE(OFFSET($H$3,0,0,'Données projet'!$E$14+1,1))</f>
        <v>156.63226020379989</v>
      </c>
      <c r="DU147" s="59">
        <f t="shared" si="152"/>
        <v>196.0481096619543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0.36755331264105828</v>
      </c>
      <c r="EC147" s="21">
        <f>EXP(-LN(2)/2)*EC146+(1-EXP(-LN(2)/2))/(LN(2)/2)*DW147*DZ147*VLOOKUP('Données projet'!$B$14,Paramètres!$A$1:$I$89,3,0)*0.475*44/12</f>
        <v>6.2959851236158184E-17</v>
      </c>
      <c r="ED147" s="22">
        <f t="shared" si="126"/>
        <v>0.36755331264105834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5.1063034188034209</v>
      </c>
      <c r="EJ147" s="12">
        <f>IF('Données projet'!$A$192&gt;35,EJ146+EI147-ER146,IF(A147&lt;'Données projet'!$A$192,$EG$205^A147,IF(A147='Données projet'!$A$192,'Données projet'!$B$192,EJ146+EI147-ER146)))</f>
        <v>277.65438034187991</v>
      </c>
      <c r="EK147" s="17">
        <f>EJ147*VLOOKUP('Données projet'!$B$15,Paramètres!$A$1:$I$89,3,0)*VLOOKUP('Données projet'!$B$15,Paramètres!$A$1:$I$89,5,0)</f>
        <v>298.86717499999952</v>
      </c>
      <c r="EL147" s="13">
        <f t="shared" si="153"/>
        <v>70.938927578598737</v>
      </c>
      <c r="EM147" s="20">
        <f t="shared" si="127"/>
        <v>644.07896199105858</v>
      </c>
      <c r="EN147" s="59">
        <f t="shared" si="128"/>
        <v>937.41229532439183</v>
      </c>
      <c r="EO147" s="59">
        <f ca="1">AVERAGE(OFFSET($EN$3,0,0,'Données projet'!$E$15+1,1))-AVERAGE(OFFSET($H$3,0,0,'Données projet'!$E$15+1,1))</f>
        <v>211.18501783767226</v>
      </c>
      <c r="EP147" s="59">
        <f t="shared" si="154"/>
        <v>147.98306963466246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498</v>
      </c>
      <c r="FF147" s="17">
        <f>FE147*VLOOKUP('Données projet'!$B$16,Paramètres!$A$1:$I$89,3,0)*VLOOKUP('Données projet'!$B$16,Paramètres!$A$1:$I$89,5,0)</f>
        <v>297.80400000000003</v>
      </c>
      <c r="FG147" s="13">
        <f t="shared" si="155"/>
        <v>70.715900863123025</v>
      </c>
      <c r="FH147" s="20">
        <f t="shared" si="130"/>
        <v>641.83882733660596</v>
      </c>
      <c r="FI147" s="59">
        <f t="shared" si="131"/>
        <v>935.17216066993933</v>
      </c>
      <c r="FJ147" s="59">
        <f ca="1">AVERAGE(OFFSET($FI$3,0,0,'Données projet'!$E$16+1,1))-AVERAGE(OFFSET($H$3,0,0,'Données projet'!$E$16+1,1))</f>
        <v>232.26937455765062</v>
      </c>
      <c r="FK147" s="59">
        <f t="shared" si="156"/>
        <v>115.80853281120301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0.23149203009449415</v>
      </c>
      <c r="FR147" s="21">
        <f>EXP(-LN(2)/25)*FR146+(1-EXP(-LN(2)/25))/(LN(2)/25)*Calculateur!FM147*Calculateur!FO147*VLOOKUP('Données projet'!$B$16,Paramètres!$A$1:$I$89,3,0)*0.475*44/12</f>
        <v>0.18691906545057954</v>
      </c>
      <c r="FS147" s="21">
        <f>EXP(-LN(2)/2)*FS146+(1-EXP(-LN(2)/2))/(LN(2)/2)*FM147*FP147*VLOOKUP('Données projet'!$B$16,Paramètres!$A$1:$I$89,3,0)*0.475*44/12</f>
        <v>5.8257072309402337E-17</v>
      </c>
      <c r="FT147" s="22">
        <f t="shared" si="132"/>
        <v>0.41841109554507377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5.6843418860808015E-14</v>
      </c>
      <c r="GA147" s="17">
        <f>FZ147*VLOOKUP('Données projet'!$B$17,Paramètres!$A$1:$I$89,3,0)*VLOOKUP('Données projet'!$B$17,Paramètres!$A$1:$I$89,5,0)</f>
        <v>4.5224624045658861E-14</v>
      </c>
      <c r="GB147" s="13">
        <f t="shared" si="157"/>
        <v>7.4514601661523691E-13</v>
      </c>
      <c r="GC147" s="20">
        <f t="shared" si="133"/>
        <v>1.3765621991510601E-12</v>
      </c>
      <c r="GD147" s="59">
        <f t="shared" si="134"/>
        <v>293.33333333333468</v>
      </c>
      <c r="GE147" s="59">
        <f ca="1">AVERAGE(OFFSET($GD$3,0,0,'Données projet'!$E$17+1,1))-AVERAGE(OFFSET($H$3,0,0,'Données projet'!$E$17+1,1))</f>
        <v>199.58763537752952</v>
      </c>
      <c r="GF147" s="59">
        <f t="shared" si="158"/>
        <v>242.62852778451929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0.43593532429520826</v>
      </c>
      <c r="GN147" s="21">
        <f>EXP(-LN(2)/2)*GN146+(1-EXP(-LN(2)/2))/(LN(2)/2)*GH147*GK147*VLOOKUP('Données projet'!$B$17,Paramètres!$A$1:$I$89,3,0)*0.475*44/12</f>
        <v>7.4673311931257452E-17</v>
      </c>
      <c r="GO147" s="21">
        <f t="shared" si="135"/>
        <v>0.43593532429520832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5.1063034188034209</v>
      </c>
      <c r="N148" s="13">
        <f>IF('Données projet'!$A$36&gt;35,N147+M148-V147,IF(A148&lt;'Données projet'!$A$36,$K$205^A148,IF(A148='Données projet'!$A$36,'Données projet'!$B$36,N147+M148-V147)))</f>
        <v>282.76068376068332</v>
      </c>
      <c r="O148" s="13">
        <f>N148*VLOOKUP('Données projet'!$B$9,Paramètres!$A$1:$I$89,3,0)*VLOOKUP('Données projet'!$B$9,Paramètres!$A$1:$I$89,5,0)</f>
        <v>255.84186666666628</v>
      </c>
      <c r="P148" s="13">
        <f t="shared" si="141"/>
        <v>61.83520201654526</v>
      </c>
      <c r="Q148" s="20">
        <f t="shared" si="108"/>
        <v>553.28756128992666</v>
      </c>
      <c r="R148" s="59">
        <f t="shared" si="109"/>
        <v>846.62089462326003</v>
      </c>
      <c r="S148" s="59">
        <f ca="1">AVERAGE(OFFSET($R$3,0,0,'Données projet'!$E$9+1,1))-AVERAGE(OFFSET($H$3,0,0,'Données projet'!$E$9+1,1))</f>
        <v>153.45079678708987</v>
      </c>
      <c r="T148" s="59">
        <f t="shared" si="142"/>
        <v>115.4217868409637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286.71933333333288</v>
      </c>
      <c r="AK148" s="13">
        <f t="shared" si="143"/>
        <v>68.38503141894958</v>
      </c>
      <c r="AL148" s="20">
        <f t="shared" si="112"/>
        <v>618.47343527689191</v>
      </c>
      <c r="AM148" s="59">
        <f t="shared" si="113"/>
        <v>911.80676861022516</v>
      </c>
      <c r="AN148" s="59">
        <f ca="1">AVERAGE(OFFSET($AM$3,0,0,'Données projet'!$E$10+1,1))-AVERAGE(OFFSET($H$3,0,0,'Données projet'!$E$10+1,1))</f>
        <v>190.21499310415584</v>
      </c>
      <c r="AO148" s="59">
        <f t="shared" si="144"/>
        <v>136.15730566500173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497</v>
      </c>
      <c r="BE148" s="13">
        <f>BD148*VLOOKUP('Données projet'!$B$11,Paramètres!$A$1:$I$89,3,0)*VLOOKUP('Données projet'!$B$11,Paramètres!$A$1:$I$89,5,0)</f>
        <v>297.20600000000002</v>
      </c>
      <c r="BF148" s="13">
        <f t="shared" si="145"/>
        <v>70.590415164571112</v>
      </c>
      <c r="BG148" s="20">
        <f t="shared" si="115"/>
        <v>640.57875641162809</v>
      </c>
      <c r="BH148" s="59">
        <f t="shared" si="116"/>
        <v>933.91208974496135</v>
      </c>
      <c r="BI148" s="59">
        <f ca="1">AVERAGE(OFFSET($BH$3,0,0,'Données projet'!$E$11+1,1))-AVERAGE(OFFSET($H$3,0,0,'Données projet'!$E$11+1,1))</f>
        <v>270.30888762640245</v>
      </c>
      <c r="BJ148" s="59">
        <f t="shared" si="146"/>
        <v>202.23783851977691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0.21963156056181032</v>
      </c>
      <c r="BQ148" s="21">
        <f>EXP(-LN(2)/25)*BQ147+(1-EXP(-LN(2)/25))/(LN(2)/25)*Calculateur!BL148*Calculateur!BN148*VLOOKUP('Données projet'!$B$11,Paramètres!$A$1:$I$89,3,0)*0.475*44/12</f>
        <v>0.50698826399597519</v>
      </c>
      <c r="BR148" s="21">
        <f>EXP(-LN(2)/2)*BR147+(1-EXP(-LN(2)/2))/(LN(2)/2)*BL148*BO148*VLOOKUP('Données projet'!$B$11,Paramètres!$A$1:$I$89,3,0)*0.475*44/12</f>
        <v>9.0734704009361652E-17</v>
      </c>
      <c r="BS148" s="22">
        <f t="shared" si="117"/>
        <v>0.72661982455778562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497</v>
      </c>
      <c r="BZ148" s="13">
        <f>BY148*VLOOKUP('Données projet'!$B$12,Paramètres!$A$1:$I$89,3,0)*VLOOKUP('Données projet'!$B$12,Paramètres!$A$1:$I$89,5,0)</f>
        <v>297.20600000000002</v>
      </c>
      <c r="CA148" s="13">
        <f t="shared" si="147"/>
        <v>70.590415164571112</v>
      </c>
      <c r="CB148" s="20">
        <f t="shared" si="118"/>
        <v>640.57875641162809</v>
      </c>
      <c r="CC148" s="59">
        <f t="shared" si="119"/>
        <v>933.91208974496135</v>
      </c>
      <c r="CD148" s="59">
        <f ca="1">AVERAGE(OFFSET($CC$3,0,0,'Données projet'!$E$12+1,1))-AVERAGE(OFFSET($H$3,0,0,'Données projet'!$E$12+1,1))</f>
        <v>270.30888762640245</v>
      </c>
      <c r="CE148" s="59">
        <f t="shared" si="148"/>
        <v>202.23783851977691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0.21963156056181032</v>
      </c>
      <c r="CL148" s="21">
        <f>EXP(-LN(2)/25)*CL147+(1-EXP(-LN(2)/25))/(LN(2)/25)*Calculateur!CG148*Calculateur!CI148*VLOOKUP('Données projet'!$B$12,Paramètres!$A$1:$I$89,3,0)*0.475*44/12</f>
        <v>0.50698826399597519</v>
      </c>
      <c r="CM148" s="21">
        <f>EXP(-LN(2)/2)*CM147+(1-EXP(-LN(2)/2))/(LN(2)/2)*CG148*CJ148*VLOOKUP('Données projet'!$B$12,Paramètres!$A$1:$I$89,3,0)*0.475*44/12</f>
        <v>9.0734704009361652E-17</v>
      </c>
      <c r="CN148" s="22">
        <f t="shared" si="120"/>
        <v>0.72661982455778562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3.4106051316484809E-13</v>
      </c>
      <c r="CU148" s="17">
        <f>CT148*VLOOKUP('Données projet'!$B$13,Paramètres!$A$1:$I$89,3,0)*VLOOKUP('Données projet'!$B$13,Paramètres!$A$1:$I$89,5,0)</f>
        <v>1.5961632016114892E-13</v>
      </c>
      <c r="CV148" s="13">
        <f t="shared" si="149"/>
        <v>2.2708641912150958E-12</v>
      </c>
      <c r="CW148" s="20">
        <f t="shared" si="121"/>
        <v>4.2330868906469593E-12</v>
      </c>
      <c r="CX148" s="59">
        <f t="shared" si="122"/>
        <v>293.33333333333752</v>
      </c>
      <c r="CY148" s="59">
        <f ca="1">AVERAGE(OFFSET($CX$3,0,0,'Données projet'!$E$13+1,1))-AVERAGE(OFFSET($H$3,0,0,'Données projet'!$E$13+1,1))</f>
        <v>158.58786357608489</v>
      </c>
      <c r="CZ148" s="59">
        <f t="shared" si="150"/>
        <v>163.20074068819849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3.813056537183002E-14</v>
      </c>
      <c r="DQ148" s="13">
        <f t="shared" si="151"/>
        <v>6.4086286045526829E-13</v>
      </c>
      <c r="DR148" s="20">
        <f t="shared" si="124"/>
        <v>1.1825802166488628E-12</v>
      </c>
      <c r="DS148" s="59">
        <f t="shared" si="125"/>
        <v>293.33333333333451</v>
      </c>
      <c r="DT148" s="59">
        <f ca="1">AVERAGE(OFFSET($DS$3,0,0,'Données projet'!$E$14+1,1))-AVERAGE(OFFSET($H$3,0,0,'Données projet'!$E$14+1,1))</f>
        <v>156.63226020379989</v>
      </c>
      <c r="DU148" s="59">
        <f t="shared" si="152"/>
        <v>196.0481096619543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0.35750254797809988</v>
      </c>
      <c r="EC148" s="21">
        <f>EXP(-LN(2)/2)*EC147+(1-EXP(-LN(2)/2))/(LN(2)/2)*DW148*DZ148*VLOOKUP('Données projet'!$B$14,Paramètres!$A$1:$I$89,3,0)*0.475*44/12</f>
        <v>4.4519337751583689E-17</v>
      </c>
      <c r="ED148" s="22">
        <f t="shared" si="126"/>
        <v>0.35750254797809994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5.1063034188034209</v>
      </c>
      <c r="EJ148" s="12">
        <f>IF('Données projet'!$A$192&gt;35,EJ147+EI148-ER147,IF(A148&lt;'Données projet'!$A$192,$EG$205^A148,IF(A148='Données projet'!$A$192,'Données projet'!$B$192,EJ147+EI148-ER147)))</f>
        <v>282.76068376068332</v>
      </c>
      <c r="EK148" s="17">
        <f>EJ148*VLOOKUP('Données projet'!$B$15,Paramètres!$A$1:$I$89,3,0)*VLOOKUP('Données projet'!$B$15,Paramètres!$A$1:$I$89,5,0)</f>
        <v>304.36359999999951</v>
      </c>
      <c r="EL148" s="13">
        <f t="shared" si="153"/>
        <v>72.090471408244667</v>
      </c>
      <c r="EM148" s="20">
        <f t="shared" si="127"/>
        <v>655.65750770269199</v>
      </c>
      <c r="EN148" s="59">
        <f t="shared" si="128"/>
        <v>948.99084103602536</v>
      </c>
      <c r="EO148" s="59">
        <f ca="1">AVERAGE(OFFSET($EN$3,0,0,'Données projet'!$E$15+1,1))-AVERAGE(OFFSET($H$3,0,0,'Données projet'!$E$15+1,1))</f>
        <v>211.18501783767226</v>
      </c>
      <c r="EP148" s="59">
        <f t="shared" si="154"/>
        <v>147.98306963466246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498</v>
      </c>
      <c r="FF148" s="17">
        <f>FE148*VLOOKUP('Données projet'!$B$16,Paramètres!$A$1:$I$89,3,0)*VLOOKUP('Données projet'!$B$16,Paramètres!$A$1:$I$89,5,0)</f>
        <v>297.80400000000003</v>
      </c>
      <c r="FG148" s="13">
        <f t="shared" si="155"/>
        <v>70.715900863123025</v>
      </c>
      <c r="FH148" s="20">
        <f t="shared" si="130"/>
        <v>641.83882733660596</v>
      </c>
      <c r="FI148" s="59">
        <f t="shared" si="131"/>
        <v>935.17216066993933</v>
      </c>
      <c r="FJ148" s="59">
        <f ca="1">AVERAGE(OFFSET($FI$3,0,0,'Données projet'!$E$16+1,1))-AVERAGE(OFFSET($H$3,0,0,'Données projet'!$E$16+1,1))</f>
        <v>232.26937455765062</v>
      </c>
      <c r="FK148" s="59">
        <f t="shared" si="156"/>
        <v>115.80853281120301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0.2269526125805375</v>
      </c>
      <c r="FR148" s="21">
        <f>EXP(-LN(2)/25)*FR147+(1-EXP(-LN(2)/25))/(LN(2)/25)*Calculateur!FM148*Calculateur!FO148*VLOOKUP('Données projet'!$B$16,Paramètres!$A$1:$I$89,3,0)*0.475*44/12</f>
        <v>0.18180775377618699</v>
      </c>
      <c r="FS148" s="21">
        <f>EXP(-LN(2)/2)*FS147+(1-EXP(-LN(2)/2))/(LN(2)/2)*FM148*FP148*VLOOKUP('Données projet'!$B$16,Paramètres!$A$1:$I$89,3,0)*0.475*44/12</f>
        <v>4.1193970882053436E-17</v>
      </c>
      <c r="FT148" s="22">
        <f t="shared" si="132"/>
        <v>0.40876036635672458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5.6843418860808015E-14</v>
      </c>
      <c r="GA148" s="17">
        <f>FZ148*VLOOKUP('Données projet'!$B$17,Paramètres!$A$1:$I$89,3,0)*VLOOKUP('Données projet'!$B$17,Paramètres!$A$1:$I$89,5,0)</f>
        <v>4.5224624045658861E-14</v>
      </c>
      <c r="GB148" s="13">
        <f t="shared" si="157"/>
        <v>7.4514601661523691E-13</v>
      </c>
      <c r="GC148" s="20">
        <f t="shared" si="133"/>
        <v>1.3765621991510601E-12</v>
      </c>
      <c r="GD148" s="59">
        <f t="shared" si="134"/>
        <v>293.33333333333468</v>
      </c>
      <c r="GE148" s="59">
        <f ca="1">AVERAGE(OFFSET($GD$3,0,0,'Données projet'!$E$17+1,1))-AVERAGE(OFFSET($H$3,0,0,'Données projet'!$E$17+1,1))</f>
        <v>199.58763537752952</v>
      </c>
      <c r="GF148" s="59">
        <f t="shared" si="158"/>
        <v>242.62852778451929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0.42401464992751342</v>
      </c>
      <c r="GN148" s="21">
        <f>EXP(-LN(2)/2)*GN147+(1-EXP(-LN(2)/2))/(LN(2)/2)*GH148*GK148*VLOOKUP('Données projet'!$B$17,Paramètres!$A$1:$I$89,3,0)*0.475*44/12</f>
        <v>5.2802005240250472E-17</v>
      </c>
      <c r="GO148" s="21">
        <f t="shared" si="135"/>
        <v>0.42401464992751348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5.1063034188034209</v>
      </c>
      <c r="N149" s="13">
        <f>IF('Données projet'!$A$36&gt;35,N148+M149-V148,IF(A149&lt;'Données projet'!$A$36,$K$205^A149,IF(A149='Données projet'!$A$36,'Données projet'!$B$36,N148+M149-V148)))</f>
        <v>287.86698717948673</v>
      </c>
      <c r="O149" s="13">
        <f>N149*VLOOKUP('Données projet'!$B$9,Paramètres!$A$1:$I$89,3,0)*VLOOKUP('Données projet'!$B$9,Paramètres!$A$1:$I$89,5,0)</f>
        <v>260.46204999999958</v>
      </c>
      <c r="P149" s="13">
        <f t="shared" si="141"/>
        <v>62.820858164354384</v>
      </c>
      <c r="Q149" s="20">
        <f t="shared" si="108"/>
        <v>563.05106505291644</v>
      </c>
      <c r="R149" s="59">
        <f t="shared" si="109"/>
        <v>856.38439838624981</v>
      </c>
      <c r="S149" s="59">
        <f ca="1">AVERAGE(OFFSET($R$3,0,0,'Données projet'!$E$9+1,1))-AVERAGE(OFFSET($H$3,0,0,'Données projet'!$E$9+1,1))</f>
        <v>153.45079678708987</v>
      </c>
      <c r="T149" s="59">
        <f t="shared" si="142"/>
        <v>115.4217868409637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291.89712499999956</v>
      </c>
      <c r="AK149" s="13">
        <f t="shared" si="143"/>
        <v>69.47509216813539</v>
      </c>
      <c r="AL149" s="20">
        <f t="shared" si="112"/>
        <v>629.38994490116841</v>
      </c>
      <c r="AM149" s="59">
        <f t="shared" si="113"/>
        <v>922.72327823450178</v>
      </c>
      <c r="AN149" s="59">
        <f ca="1">AVERAGE(OFFSET($AM$3,0,0,'Données projet'!$E$10+1,1))-AVERAGE(OFFSET($H$3,0,0,'Données projet'!$E$10+1,1))</f>
        <v>190.21499310415584</v>
      </c>
      <c r="AO149" s="59">
        <f t="shared" si="144"/>
        <v>136.15730566500173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497</v>
      </c>
      <c r="BE149" s="13">
        <f>BD149*VLOOKUP('Données projet'!$B$11,Paramètres!$A$1:$I$89,3,0)*VLOOKUP('Données projet'!$B$11,Paramètres!$A$1:$I$89,5,0)</f>
        <v>297.20600000000002</v>
      </c>
      <c r="BF149" s="13">
        <f t="shared" si="145"/>
        <v>70.590415164571112</v>
      </c>
      <c r="BG149" s="20">
        <f t="shared" si="115"/>
        <v>640.57875641162809</v>
      </c>
      <c r="BH149" s="59">
        <f t="shared" si="116"/>
        <v>933.91208974496135</v>
      </c>
      <c r="BI149" s="59">
        <f ca="1">AVERAGE(OFFSET($BH$3,0,0,'Données projet'!$E$11+1,1))-AVERAGE(OFFSET($H$3,0,0,'Données projet'!$E$11+1,1))</f>
        <v>270.30888762640245</v>
      </c>
      <c r="BJ149" s="59">
        <f t="shared" si="146"/>
        <v>202.23783851977691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0.21532471962121752</v>
      </c>
      <c r="BQ149" s="21">
        <f>EXP(-LN(2)/25)*BQ148+(1-EXP(-LN(2)/25))/(LN(2)/25)*Calculateur!BL149*Calculateur!BN149*VLOOKUP('Données projet'!$B$11,Paramètres!$A$1:$I$89,3,0)*0.475*44/12</f>
        <v>0.4931246432556512</v>
      </c>
      <c r="BR149" s="21">
        <f>EXP(-LN(2)/2)*BR148+(1-EXP(-LN(2)/2))/(LN(2)/2)*BL149*BO149*VLOOKUP('Données projet'!$B$11,Paramètres!$A$1:$I$89,3,0)*0.475*44/12</f>
        <v>6.4159124493973846E-17</v>
      </c>
      <c r="BS149" s="22">
        <f t="shared" si="117"/>
        <v>0.70844936287686877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497</v>
      </c>
      <c r="BZ149" s="13">
        <f>BY149*VLOOKUP('Données projet'!$B$12,Paramètres!$A$1:$I$89,3,0)*VLOOKUP('Données projet'!$B$12,Paramètres!$A$1:$I$89,5,0)</f>
        <v>297.20600000000002</v>
      </c>
      <c r="CA149" s="13">
        <f t="shared" si="147"/>
        <v>70.590415164571112</v>
      </c>
      <c r="CB149" s="20">
        <f t="shared" si="118"/>
        <v>640.57875641162809</v>
      </c>
      <c r="CC149" s="59">
        <f t="shared" si="119"/>
        <v>933.91208974496135</v>
      </c>
      <c r="CD149" s="59">
        <f ca="1">AVERAGE(OFFSET($CC$3,0,0,'Données projet'!$E$12+1,1))-AVERAGE(OFFSET($H$3,0,0,'Données projet'!$E$12+1,1))</f>
        <v>270.30888762640245</v>
      </c>
      <c r="CE149" s="59">
        <f t="shared" si="148"/>
        <v>202.23783851977691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0.21532471962121752</v>
      </c>
      <c r="CL149" s="21">
        <f>EXP(-LN(2)/25)*CL148+(1-EXP(-LN(2)/25))/(LN(2)/25)*Calculateur!CG149*Calculateur!CI149*VLOOKUP('Données projet'!$B$12,Paramètres!$A$1:$I$89,3,0)*0.475*44/12</f>
        <v>0.4931246432556512</v>
      </c>
      <c r="CM149" s="21">
        <f>EXP(-LN(2)/2)*CM148+(1-EXP(-LN(2)/2))/(LN(2)/2)*CG149*CJ149*VLOOKUP('Données projet'!$B$12,Paramètres!$A$1:$I$89,3,0)*0.475*44/12</f>
        <v>6.4159124493973846E-17</v>
      </c>
      <c r="CN149" s="22">
        <f t="shared" si="120"/>
        <v>0.70844936287686877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3.4106051316484809E-13</v>
      </c>
      <c r="CU149" s="17">
        <f>CT149*VLOOKUP('Données projet'!$B$13,Paramètres!$A$1:$I$89,3,0)*VLOOKUP('Données projet'!$B$13,Paramètres!$A$1:$I$89,5,0)</f>
        <v>1.5961632016114892E-13</v>
      </c>
      <c r="CV149" s="13">
        <f t="shared" si="149"/>
        <v>2.2708641912150958E-12</v>
      </c>
      <c r="CW149" s="20">
        <f t="shared" si="121"/>
        <v>4.2330868906469593E-12</v>
      </c>
      <c r="CX149" s="59">
        <f t="shared" si="122"/>
        <v>293.33333333333752</v>
      </c>
      <c r="CY149" s="59">
        <f ca="1">AVERAGE(OFFSET($CX$3,0,0,'Données projet'!$E$13+1,1))-AVERAGE(OFFSET($H$3,0,0,'Données projet'!$E$13+1,1))</f>
        <v>158.58786357608489</v>
      </c>
      <c r="CZ149" s="59">
        <f t="shared" si="150"/>
        <v>163.20074068819849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3.813056537183002E-14</v>
      </c>
      <c r="DQ149" s="13">
        <f t="shared" si="151"/>
        <v>6.4086286045526829E-13</v>
      </c>
      <c r="DR149" s="20">
        <f t="shared" si="124"/>
        <v>1.1825802166488628E-12</v>
      </c>
      <c r="DS149" s="59">
        <f t="shared" si="125"/>
        <v>293.33333333333451</v>
      </c>
      <c r="DT149" s="59">
        <f ca="1">AVERAGE(OFFSET($DS$3,0,0,'Données projet'!$E$14+1,1))-AVERAGE(OFFSET($H$3,0,0,'Données projet'!$E$14+1,1))</f>
        <v>156.63226020379989</v>
      </c>
      <c r="DU149" s="59">
        <f t="shared" si="152"/>
        <v>196.0481096619543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0.34772662200339682</v>
      </c>
      <c r="EC149" s="21">
        <f>EXP(-LN(2)/2)*EC148+(1-EXP(-LN(2)/2))/(LN(2)/2)*DW149*DZ149*VLOOKUP('Données projet'!$B$14,Paramètres!$A$1:$I$89,3,0)*0.475*44/12</f>
        <v>3.1479925618079092E-17</v>
      </c>
      <c r="ED149" s="22">
        <f t="shared" si="126"/>
        <v>0.34772662200339688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5.1063034188034209</v>
      </c>
      <c r="EJ149" s="12">
        <f>IF('Données projet'!$A$192&gt;35,EJ148+EI149-ER148,IF(A149&lt;'Données projet'!$A$192,$EG$205^A149,IF(A149='Données projet'!$A$192,'Données projet'!$B$192,EJ148+EI149-ER148)))</f>
        <v>287.86698717948673</v>
      </c>
      <c r="EK149" s="17">
        <f>EJ149*VLOOKUP('Données projet'!$B$15,Paramètres!$A$1:$I$89,3,0)*VLOOKUP('Données projet'!$B$15,Paramètres!$A$1:$I$89,5,0)</f>
        <v>309.8600249999995</v>
      </c>
      <c r="EL149" s="13">
        <f t="shared" si="153"/>
        <v>73.239597052291018</v>
      </c>
      <c r="EM149" s="20">
        <f t="shared" si="127"/>
        <v>667.23184174107257</v>
      </c>
      <c r="EN149" s="59">
        <f t="shared" si="128"/>
        <v>960.56517507440594</v>
      </c>
      <c r="EO149" s="59">
        <f ca="1">AVERAGE(OFFSET($EN$3,0,0,'Données projet'!$E$15+1,1))-AVERAGE(OFFSET($H$3,0,0,'Données projet'!$E$15+1,1))</f>
        <v>211.18501783767226</v>
      </c>
      <c r="EP149" s="59">
        <f t="shared" si="154"/>
        <v>147.98306963466246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498</v>
      </c>
      <c r="FF149" s="17">
        <f>FE149*VLOOKUP('Données projet'!$B$16,Paramètres!$A$1:$I$89,3,0)*VLOOKUP('Données projet'!$B$16,Paramètres!$A$1:$I$89,5,0)</f>
        <v>297.80400000000003</v>
      </c>
      <c r="FG149" s="13">
        <f t="shared" si="155"/>
        <v>70.715900863123025</v>
      </c>
      <c r="FH149" s="20">
        <f t="shared" si="130"/>
        <v>641.83882733660596</v>
      </c>
      <c r="FI149" s="59">
        <f t="shared" si="131"/>
        <v>935.17216066993933</v>
      </c>
      <c r="FJ149" s="59">
        <f ca="1">AVERAGE(OFFSET($FI$3,0,0,'Données projet'!$E$16+1,1))-AVERAGE(OFFSET($H$3,0,0,'Données projet'!$E$16+1,1))</f>
        <v>232.26937455765062</v>
      </c>
      <c r="FK149" s="59">
        <f t="shared" si="156"/>
        <v>115.80853281120301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0.22250221027525827</v>
      </c>
      <c r="FR149" s="21">
        <f>EXP(-LN(2)/25)*FR148+(1-EXP(-LN(2)/25))/(LN(2)/25)*Calculateur!FM149*Calculateur!FO149*VLOOKUP('Données projet'!$B$16,Paramètres!$A$1:$I$89,3,0)*0.475*44/12</f>
        <v>0.17683621118832291</v>
      </c>
      <c r="FS149" s="21">
        <f>EXP(-LN(2)/2)*FS148+(1-EXP(-LN(2)/2))/(LN(2)/2)*FM149*FP149*VLOOKUP('Données projet'!$B$16,Paramètres!$A$1:$I$89,3,0)*0.475*44/12</f>
        <v>2.9128536154701168E-17</v>
      </c>
      <c r="FT149" s="22">
        <f t="shared" si="132"/>
        <v>0.39933842146358123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5.6843418860808015E-14</v>
      </c>
      <c r="GA149" s="17">
        <f>FZ149*VLOOKUP('Données projet'!$B$17,Paramètres!$A$1:$I$89,3,0)*VLOOKUP('Données projet'!$B$17,Paramètres!$A$1:$I$89,5,0)</f>
        <v>4.5224624045658861E-14</v>
      </c>
      <c r="GB149" s="13">
        <f t="shared" si="157"/>
        <v>7.4514601661523691E-13</v>
      </c>
      <c r="GC149" s="20">
        <f t="shared" si="133"/>
        <v>1.3765621991510601E-12</v>
      </c>
      <c r="GD149" s="59">
        <f t="shared" si="134"/>
        <v>293.33333333333468</v>
      </c>
      <c r="GE149" s="59">
        <f ca="1">AVERAGE(OFFSET($GD$3,0,0,'Données projet'!$E$17+1,1))-AVERAGE(OFFSET($H$3,0,0,'Données projet'!$E$17+1,1))</f>
        <v>199.58763537752952</v>
      </c>
      <c r="GF149" s="59">
        <f t="shared" si="158"/>
        <v>242.62852778451929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0.41241994702728424</v>
      </c>
      <c r="GN149" s="21">
        <f>EXP(-LN(2)/2)*GN148+(1-EXP(-LN(2)/2))/(LN(2)/2)*GH149*GK149*VLOOKUP('Données projet'!$B$17,Paramètres!$A$1:$I$89,3,0)*0.475*44/12</f>
        <v>3.7336655965628726E-17</v>
      </c>
      <c r="GO149" s="21">
        <f t="shared" si="135"/>
        <v>0.41241994702728429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5.1063034188034209</v>
      </c>
      <c r="N150" s="13">
        <f>IF('Données projet'!$A$36&gt;35,N149+M150-V149,IF(A150&lt;'Données projet'!$A$36,$K$205^A150,IF(A150='Données projet'!$A$36,'Données projet'!$B$36,N149+M150-V149)))</f>
        <v>292.97329059829013</v>
      </c>
      <c r="O150" s="13">
        <f>N150*VLOOKUP('Données projet'!$B$9,Paramètres!$A$1:$I$89,3,0)*VLOOKUP('Données projet'!$B$9,Paramètres!$A$1:$I$89,5,0)</f>
        <v>265.08223333333291</v>
      </c>
      <c r="P150" s="13">
        <f t="shared" si="141"/>
        <v>63.804481164271408</v>
      </c>
      <c r="Q150" s="20">
        <f t="shared" si="108"/>
        <v>572.8110277499942</v>
      </c>
      <c r="R150" s="59">
        <f t="shared" si="109"/>
        <v>866.14436108332757</v>
      </c>
      <c r="S150" s="59">
        <f ca="1">AVERAGE(OFFSET($R$3,0,0,'Données projet'!$E$9+1,1))-AVERAGE(OFFSET($H$3,0,0,'Données projet'!$E$9+1,1))</f>
        <v>153.45079678708987</v>
      </c>
      <c r="T150" s="59">
        <f t="shared" si="142"/>
        <v>115.4217868409637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297.07491666666618</v>
      </c>
      <c r="AK150" s="13">
        <f t="shared" si="143"/>
        <v>70.562904410355046</v>
      </c>
      <c r="AL150" s="20">
        <f t="shared" si="112"/>
        <v>640.30253837581188</v>
      </c>
      <c r="AM150" s="59">
        <f t="shared" si="113"/>
        <v>933.63587170914525</v>
      </c>
      <c r="AN150" s="59">
        <f ca="1">AVERAGE(OFFSET($AM$3,0,0,'Données projet'!$E$10+1,1))-AVERAGE(OFFSET($H$3,0,0,'Données projet'!$E$10+1,1))</f>
        <v>190.21499310415584</v>
      </c>
      <c r="AO150" s="59">
        <f t="shared" si="144"/>
        <v>136.15730566500173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497</v>
      </c>
      <c r="BE150" s="13">
        <f>BD150*VLOOKUP('Données projet'!$B$11,Paramètres!$A$1:$I$89,3,0)*VLOOKUP('Données projet'!$B$11,Paramètres!$A$1:$I$89,5,0)</f>
        <v>297.20600000000002</v>
      </c>
      <c r="BF150" s="13">
        <f t="shared" si="145"/>
        <v>70.590415164571112</v>
      </c>
      <c r="BG150" s="20">
        <f t="shared" si="115"/>
        <v>640.57875641162809</v>
      </c>
      <c r="BH150" s="59">
        <f t="shared" si="116"/>
        <v>933.91208974496135</v>
      </c>
      <c r="BI150" s="59">
        <f ca="1">AVERAGE(OFFSET($BH$3,0,0,'Données projet'!$E$11+1,1))-AVERAGE(OFFSET($H$3,0,0,'Données projet'!$E$11+1,1))</f>
        <v>270.30888762640245</v>
      </c>
      <c r="BJ150" s="59">
        <f t="shared" si="146"/>
        <v>202.23783851977691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0.21110233320455615</v>
      </c>
      <c r="BQ150" s="21">
        <f>EXP(-LN(2)/25)*BQ149+(1-EXP(-LN(2)/25))/(LN(2)/25)*Calculateur!BL150*Calculateur!BN150*VLOOKUP('Données projet'!$B$11,Paramètres!$A$1:$I$89,3,0)*0.475*44/12</f>
        <v>0.47964012395352745</v>
      </c>
      <c r="BR150" s="21">
        <f>EXP(-LN(2)/2)*BR149+(1-EXP(-LN(2)/2))/(LN(2)/2)*BL150*BO150*VLOOKUP('Données projet'!$B$11,Paramètres!$A$1:$I$89,3,0)*0.475*44/12</f>
        <v>4.5367352004680826E-17</v>
      </c>
      <c r="BS150" s="22">
        <f t="shared" si="117"/>
        <v>0.69074245715808358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497</v>
      </c>
      <c r="BZ150" s="13">
        <f>BY150*VLOOKUP('Données projet'!$B$12,Paramètres!$A$1:$I$89,3,0)*VLOOKUP('Données projet'!$B$12,Paramètres!$A$1:$I$89,5,0)</f>
        <v>297.20600000000002</v>
      </c>
      <c r="CA150" s="13">
        <f t="shared" si="147"/>
        <v>70.590415164571112</v>
      </c>
      <c r="CB150" s="20">
        <f t="shared" si="118"/>
        <v>640.57875641162809</v>
      </c>
      <c r="CC150" s="59">
        <f t="shared" si="119"/>
        <v>933.91208974496135</v>
      </c>
      <c r="CD150" s="59">
        <f ca="1">AVERAGE(OFFSET($CC$3,0,0,'Données projet'!$E$12+1,1))-AVERAGE(OFFSET($H$3,0,0,'Données projet'!$E$12+1,1))</f>
        <v>270.30888762640245</v>
      </c>
      <c r="CE150" s="59">
        <f t="shared" si="148"/>
        <v>202.23783851977691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0.21110233320455615</v>
      </c>
      <c r="CL150" s="21">
        <f>EXP(-LN(2)/25)*CL149+(1-EXP(-LN(2)/25))/(LN(2)/25)*Calculateur!CG150*Calculateur!CI150*VLOOKUP('Données projet'!$B$12,Paramètres!$A$1:$I$89,3,0)*0.475*44/12</f>
        <v>0.47964012395352745</v>
      </c>
      <c r="CM150" s="21">
        <f>EXP(-LN(2)/2)*CM149+(1-EXP(-LN(2)/2))/(LN(2)/2)*CG150*CJ150*VLOOKUP('Données projet'!$B$12,Paramètres!$A$1:$I$89,3,0)*0.475*44/12</f>
        <v>4.5367352004680826E-17</v>
      </c>
      <c r="CN150" s="22">
        <f t="shared" si="120"/>
        <v>0.69074245715808358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3.4106051316484809E-13</v>
      </c>
      <c r="CU150" s="17">
        <f>CT150*VLOOKUP('Données projet'!$B$13,Paramètres!$A$1:$I$89,3,0)*VLOOKUP('Données projet'!$B$13,Paramètres!$A$1:$I$89,5,0)</f>
        <v>1.5961632016114892E-13</v>
      </c>
      <c r="CV150" s="13">
        <f t="shared" si="149"/>
        <v>2.2708641912150958E-12</v>
      </c>
      <c r="CW150" s="20">
        <f t="shared" si="121"/>
        <v>4.2330868906469593E-12</v>
      </c>
      <c r="CX150" s="59">
        <f t="shared" si="122"/>
        <v>293.33333333333752</v>
      </c>
      <c r="CY150" s="59">
        <f ca="1">AVERAGE(OFFSET($CX$3,0,0,'Données projet'!$E$13+1,1))-AVERAGE(OFFSET($H$3,0,0,'Données projet'!$E$13+1,1))</f>
        <v>158.58786357608489</v>
      </c>
      <c r="CZ150" s="59">
        <f t="shared" si="150"/>
        <v>163.20074068819849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3.813056537183002E-14</v>
      </c>
      <c r="DQ150" s="13">
        <f t="shared" si="151"/>
        <v>6.4086286045526829E-13</v>
      </c>
      <c r="DR150" s="20">
        <f t="shared" si="124"/>
        <v>1.1825802166488628E-12</v>
      </c>
      <c r="DS150" s="59">
        <f t="shared" si="125"/>
        <v>293.33333333333451</v>
      </c>
      <c r="DT150" s="59">
        <f ca="1">AVERAGE(OFFSET($DS$3,0,0,'Données projet'!$E$14+1,1))-AVERAGE(OFFSET($H$3,0,0,'Données projet'!$E$14+1,1))</f>
        <v>156.63226020379989</v>
      </c>
      <c r="DU150" s="59">
        <f t="shared" si="152"/>
        <v>196.0481096619543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0.33821801923856565</v>
      </c>
      <c r="EC150" s="21">
        <f>EXP(-LN(2)/2)*EC149+(1-EXP(-LN(2)/2))/(LN(2)/2)*DW150*DZ150*VLOOKUP('Données projet'!$B$14,Paramètres!$A$1:$I$89,3,0)*0.475*44/12</f>
        <v>2.2259668875791844E-17</v>
      </c>
      <c r="ED150" s="22">
        <f t="shared" si="126"/>
        <v>0.33821801923856565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5.1063034188034209</v>
      </c>
      <c r="EJ150" s="12">
        <f>IF('Données projet'!$A$192&gt;35,EJ149+EI150-ER149,IF(A150&lt;'Données projet'!$A$192,$EG$205^A150,IF(A150='Données projet'!$A$192,'Données projet'!$B$192,EJ149+EI150-ER149)))</f>
        <v>292.97329059829013</v>
      </c>
      <c r="EK150" s="17">
        <f>EJ150*VLOOKUP('Données projet'!$B$15,Paramètres!$A$1:$I$89,3,0)*VLOOKUP('Données projet'!$B$15,Paramètres!$A$1:$I$89,5,0)</f>
        <v>315.35644999999948</v>
      </c>
      <c r="EL150" s="13">
        <f t="shared" si="153"/>
        <v>74.386352354117903</v>
      </c>
      <c r="EM150" s="20">
        <f t="shared" si="127"/>
        <v>678.80204743342108</v>
      </c>
      <c r="EN150" s="59">
        <f t="shared" si="128"/>
        <v>972.13538076675445</v>
      </c>
      <c r="EO150" s="59">
        <f ca="1">AVERAGE(OFFSET($EN$3,0,0,'Données projet'!$E$15+1,1))-AVERAGE(OFFSET($H$3,0,0,'Données projet'!$E$15+1,1))</f>
        <v>211.18501783767226</v>
      </c>
      <c r="EP150" s="59">
        <f t="shared" si="154"/>
        <v>147.98306963466246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498</v>
      </c>
      <c r="FF150" s="17">
        <f>FE150*VLOOKUP('Données projet'!$B$16,Paramètres!$A$1:$I$89,3,0)*VLOOKUP('Données projet'!$B$16,Paramètres!$A$1:$I$89,5,0)</f>
        <v>297.80400000000003</v>
      </c>
      <c r="FG150" s="13">
        <f t="shared" si="155"/>
        <v>70.715900863123025</v>
      </c>
      <c r="FH150" s="20">
        <f t="shared" si="130"/>
        <v>641.83882733660596</v>
      </c>
      <c r="FI150" s="59">
        <f t="shared" si="131"/>
        <v>935.17216066993933</v>
      </c>
      <c r="FJ150" s="59">
        <f ca="1">AVERAGE(OFFSET($FI$3,0,0,'Données projet'!$E$16+1,1))-AVERAGE(OFFSET($H$3,0,0,'Données projet'!$E$16+1,1))</f>
        <v>232.26937455765062</v>
      </c>
      <c r="FK150" s="59">
        <f t="shared" si="156"/>
        <v>115.80853281120301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0.21813907764470819</v>
      </c>
      <c r="FR150" s="21">
        <f>EXP(-LN(2)/25)*FR149+(1-EXP(-LN(2)/25))/(LN(2)/25)*Calculateur!FM150*Calculateur!FO150*VLOOKUP('Données projet'!$B$16,Paramètres!$A$1:$I$89,3,0)*0.475*44/12</f>
        <v>0.17200061569396605</v>
      </c>
      <c r="FS150" s="21">
        <f>EXP(-LN(2)/2)*FS149+(1-EXP(-LN(2)/2))/(LN(2)/2)*FM150*FP150*VLOOKUP('Données projet'!$B$16,Paramètres!$A$1:$I$89,3,0)*0.475*44/12</f>
        <v>2.0596985441026718E-17</v>
      </c>
      <c r="FT150" s="22">
        <f t="shared" si="132"/>
        <v>0.39013969333867426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5.6843418860808015E-14</v>
      </c>
      <c r="GA150" s="17">
        <f>FZ150*VLOOKUP('Données projet'!$B$17,Paramètres!$A$1:$I$89,3,0)*VLOOKUP('Données projet'!$B$17,Paramètres!$A$1:$I$89,5,0)</f>
        <v>4.5224624045658861E-14</v>
      </c>
      <c r="GB150" s="13">
        <f t="shared" si="157"/>
        <v>7.4514601661523691E-13</v>
      </c>
      <c r="GC150" s="20">
        <f t="shared" si="133"/>
        <v>1.3765621991510601E-12</v>
      </c>
      <c r="GD150" s="59">
        <f t="shared" si="134"/>
        <v>293.33333333333468</v>
      </c>
      <c r="GE150" s="59">
        <f ca="1">AVERAGE(OFFSET($GD$3,0,0,'Données projet'!$E$17+1,1))-AVERAGE(OFFSET($H$3,0,0,'Données projet'!$E$17+1,1))</f>
        <v>199.58763537752952</v>
      </c>
      <c r="GF150" s="59">
        <f t="shared" si="158"/>
        <v>242.62852778451929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0.40114230188760075</v>
      </c>
      <c r="GN150" s="21">
        <f>EXP(-LN(2)/2)*GN149+(1-EXP(-LN(2)/2))/(LN(2)/2)*GH150*GK150*VLOOKUP('Données projet'!$B$17,Paramètres!$A$1:$I$89,3,0)*0.475*44/12</f>
        <v>2.6401002620125236E-17</v>
      </c>
      <c r="GO150" s="21">
        <f t="shared" si="135"/>
        <v>0.40114230188760075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5.1063034188034209</v>
      </c>
      <c r="N151" s="13">
        <f>IF('Données projet'!$A$36&gt;35,N150+M151-V150,IF(A151&lt;'Données projet'!$A$36,$K$205^A151,IF(A151='Données projet'!$A$36,'Données projet'!$B$36,N150+M151-V150)))</f>
        <v>298.07959401709354</v>
      </c>
      <c r="O151" s="13">
        <f>N151*VLOOKUP('Données projet'!$B$9,Paramètres!$A$1:$I$89,3,0)*VLOOKUP('Données projet'!$B$9,Paramètres!$A$1:$I$89,5,0)</f>
        <v>269.70241666666624</v>
      </c>
      <c r="P151" s="13">
        <f t="shared" si="141"/>
        <v>64.786110541238813</v>
      </c>
      <c r="Q151" s="20">
        <f t="shared" si="108"/>
        <v>582.56751822043464</v>
      </c>
      <c r="R151" s="59">
        <f t="shared" si="109"/>
        <v>875.90085155376801</v>
      </c>
      <c r="S151" s="59">
        <f ca="1">AVERAGE(OFFSET($R$3,0,0,'Données projet'!$E$9+1,1))-AVERAGE(OFFSET($H$3,0,0,'Données projet'!$E$9+1,1))</f>
        <v>153.45079678708987</v>
      </c>
      <c r="T151" s="59">
        <f t="shared" si="142"/>
        <v>115.4217868409637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302.25270833333286</v>
      </c>
      <c r="AK151" s="13">
        <f t="shared" si="143"/>
        <v>71.648511857189575</v>
      </c>
      <c r="AL151" s="20">
        <f t="shared" si="112"/>
        <v>651.21129183182666</v>
      </c>
      <c r="AM151" s="59">
        <f t="shared" si="113"/>
        <v>944.54462516515991</v>
      </c>
      <c r="AN151" s="59">
        <f ca="1">AVERAGE(OFFSET($AM$3,0,0,'Données projet'!$E$10+1,1))-AVERAGE(OFFSET($H$3,0,0,'Données projet'!$E$10+1,1))</f>
        <v>190.21499310415584</v>
      </c>
      <c r="AO151" s="59">
        <f t="shared" si="144"/>
        <v>136.15730566500173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497</v>
      </c>
      <c r="BE151" s="13">
        <f>BD151*VLOOKUP('Données projet'!$B$11,Paramètres!$A$1:$I$89,3,0)*VLOOKUP('Données projet'!$B$11,Paramètres!$A$1:$I$89,5,0)</f>
        <v>297.20600000000002</v>
      </c>
      <c r="BF151" s="13">
        <f t="shared" si="145"/>
        <v>70.590415164571112</v>
      </c>
      <c r="BG151" s="20">
        <f t="shared" si="115"/>
        <v>640.57875641162809</v>
      </c>
      <c r="BH151" s="59">
        <f t="shared" si="116"/>
        <v>933.91208974496135</v>
      </c>
      <c r="BI151" s="59">
        <f ca="1">AVERAGE(OFFSET($BH$3,0,0,'Données projet'!$E$11+1,1))-AVERAGE(OFFSET($H$3,0,0,'Données projet'!$E$11+1,1))</f>
        <v>270.30888762640245</v>
      </c>
      <c r="BJ151" s="59">
        <f t="shared" si="146"/>
        <v>202.23783851977691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0.20696274521012409</v>
      </c>
      <c r="BQ151" s="21">
        <f>EXP(-LN(2)/25)*BQ150+(1-EXP(-LN(2)/25))/(LN(2)/25)*Calculateur!BL151*Calculateur!BN151*VLOOKUP('Données projet'!$B$11,Paramètres!$A$1:$I$89,3,0)*0.475*44/12</f>
        <v>0.46652433954084038</v>
      </c>
      <c r="BR151" s="21">
        <f>EXP(-LN(2)/2)*BR150+(1-EXP(-LN(2)/2))/(LN(2)/2)*BL151*BO151*VLOOKUP('Données projet'!$B$11,Paramètres!$A$1:$I$89,3,0)*0.475*44/12</f>
        <v>3.2079562246986923E-17</v>
      </c>
      <c r="BS151" s="22">
        <f t="shared" si="117"/>
        <v>0.67348708475096442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497</v>
      </c>
      <c r="BZ151" s="13">
        <f>BY151*VLOOKUP('Données projet'!$B$12,Paramètres!$A$1:$I$89,3,0)*VLOOKUP('Données projet'!$B$12,Paramètres!$A$1:$I$89,5,0)</f>
        <v>297.20600000000002</v>
      </c>
      <c r="CA151" s="13">
        <f t="shared" si="147"/>
        <v>70.590415164571112</v>
      </c>
      <c r="CB151" s="20">
        <f t="shared" si="118"/>
        <v>640.57875641162809</v>
      </c>
      <c r="CC151" s="59">
        <f t="shared" si="119"/>
        <v>933.91208974496135</v>
      </c>
      <c r="CD151" s="59">
        <f ca="1">AVERAGE(OFFSET($CC$3,0,0,'Données projet'!$E$12+1,1))-AVERAGE(OFFSET($H$3,0,0,'Données projet'!$E$12+1,1))</f>
        <v>270.30888762640245</v>
      </c>
      <c r="CE151" s="59">
        <f t="shared" si="148"/>
        <v>202.23783851977691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0.20696274521012409</v>
      </c>
      <c r="CL151" s="21">
        <f>EXP(-LN(2)/25)*CL150+(1-EXP(-LN(2)/25))/(LN(2)/25)*Calculateur!CG151*Calculateur!CI151*VLOOKUP('Données projet'!$B$12,Paramètres!$A$1:$I$89,3,0)*0.475*44/12</f>
        <v>0.46652433954084038</v>
      </c>
      <c r="CM151" s="21">
        <f>EXP(-LN(2)/2)*CM150+(1-EXP(-LN(2)/2))/(LN(2)/2)*CG151*CJ151*VLOOKUP('Données projet'!$B$12,Paramètres!$A$1:$I$89,3,0)*0.475*44/12</f>
        <v>3.2079562246986923E-17</v>
      </c>
      <c r="CN151" s="22">
        <f t="shared" si="120"/>
        <v>0.67348708475096442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3.4106051316484809E-13</v>
      </c>
      <c r="CU151" s="17">
        <f>CT151*VLOOKUP('Données projet'!$B$13,Paramètres!$A$1:$I$89,3,0)*VLOOKUP('Données projet'!$B$13,Paramètres!$A$1:$I$89,5,0)</f>
        <v>1.5961632016114892E-13</v>
      </c>
      <c r="CV151" s="13">
        <f t="shared" si="149"/>
        <v>2.2708641912150958E-12</v>
      </c>
      <c r="CW151" s="20">
        <f t="shared" si="121"/>
        <v>4.2330868906469593E-12</v>
      </c>
      <c r="CX151" s="59">
        <f t="shared" si="122"/>
        <v>293.33333333333752</v>
      </c>
      <c r="CY151" s="59">
        <f ca="1">AVERAGE(OFFSET($CX$3,0,0,'Données projet'!$E$13+1,1))-AVERAGE(OFFSET($H$3,0,0,'Données projet'!$E$13+1,1))</f>
        <v>158.58786357608489</v>
      </c>
      <c r="CZ151" s="59">
        <f t="shared" si="150"/>
        <v>163.20074068819849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3.813056537183002E-14</v>
      </c>
      <c r="DQ151" s="13">
        <f t="shared" si="151"/>
        <v>6.4086286045526829E-13</v>
      </c>
      <c r="DR151" s="20">
        <f t="shared" si="124"/>
        <v>1.1825802166488628E-12</v>
      </c>
      <c r="DS151" s="59">
        <f t="shared" si="125"/>
        <v>293.33333333333451</v>
      </c>
      <c r="DT151" s="59">
        <f ca="1">AVERAGE(OFFSET($DS$3,0,0,'Données projet'!$E$14+1,1))-AVERAGE(OFFSET($H$3,0,0,'Données projet'!$E$14+1,1))</f>
        <v>156.63226020379989</v>
      </c>
      <c r="DU151" s="59">
        <f t="shared" si="152"/>
        <v>196.0481096619543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0.32896942971637444</v>
      </c>
      <c r="EC151" s="21">
        <f>EXP(-LN(2)/2)*EC150+(1-EXP(-LN(2)/2))/(LN(2)/2)*DW151*DZ151*VLOOKUP('Données projet'!$B$14,Paramètres!$A$1:$I$89,3,0)*0.475*44/12</f>
        <v>1.5739962809039546E-17</v>
      </c>
      <c r="ED151" s="22">
        <f t="shared" si="126"/>
        <v>0.32896942971637444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5.1063034188034209</v>
      </c>
      <c r="EJ151" s="12">
        <f>IF('Données projet'!$A$192&gt;35,EJ150+EI151-ER150,IF(A151&lt;'Données projet'!$A$192,$EG$205^A151,IF(A151='Données projet'!$A$192,'Données projet'!$B$192,EJ150+EI151-ER150)))</f>
        <v>298.07959401709354</v>
      </c>
      <c r="EK151" s="17">
        <f>EJ151*VLOOKUP('Données projet'!$B$15,Paramètres!$A$1:$I$89,3,0)*VLOOKUP('Données projet'!$B$15,Paramètres!$A$1:$I$89,5,0)</f>
        <v>320.85287499999947</v>
      </c>
      <c r="EL151" s="13">
        <f t="shared" si="153"/>
        <v>75.530783393816336</v>
      </c>
      <c r="EM151" s="20">
        <f t="shared" si="127"/>
        <v>690.36820503589581</v>
      </c>
      <c r="EN151" s="59">
        <f t="shared" si="128"/>
        <v>983.70153836922918</v>
      </c>
      <c r="EO151" s="59">
        <f ca="1">AVERAGE(OFFSET($EN$3,0,0,'Données projet'!$E$15+1,1))-AVERAGE(OFFSET($H$3,0,0,'Données projet'!$E$15+1,1))</f>
        <v>211.18501783767226</v>
      </c>
      <c r="EP151" s="59">
        <f t="shared" si="154"/>
        <v>147.98306963466246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498</v>
      </c>
      <c r="FF151" s="17">
        <f>FE151*VLOOKUP('Données projet'!$B$16,Paramètres!$A$1:$I$89,3,0)*VLOOKUP('Données projet'!$B$16,Paramètres!$A$1:$I$89,5,0)</f>
        <v>297.80400000000003</v>
      </c>
      <c r="FG151" s="13">
        <f t="shared" si="155"/>
        <v>70.715900863123025</v>
      </c>
      <c r="FH151" s="20">
        <f t="shared" si="130"/>
        <v>641.83882733660596</v>
      </c>
      <c r="FI151" s="59">
        <f t="shared" si="131"/>
        <v>935.17216066993933</v>
      </c>
      <c r="FJ151" s="59">
        <f ca="1">AVERAGE(OFFSET($FI$3,0,0,'Données projet'!$E$16+1,1))-AVERAGE(OFFSET($H$3,0,0,'Données projet'!$E$16+1,1))</f>
        <v>232.26937455765062</v>
      </c>
      <c r="FK151" s="59">
        <f t="shared" si="156"/>
        <v>115.80853281120301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0.21386150338379506</v>
      </c>
      <c r="FR151" s="21">
        <f>EXP(-LN(2)/25)*FR150+(1-EXP(-LN(2)/25))/(LN(2)/25)*Calculateur!FM151*Calculateur!FO151*VLOOKUP('Données projet'!$B$16,Paramètres!$A$1:$I$89,3,0)*0.475*44/12</f>
        <v>0.16729724981269528</v>
      </c>
      <c r="FS151" s="21">
        <f>EXP(-LN(2)/2)*FS150+(1-EXP(-LN(2)/2))/(LN(2)/2)*FM151*FP151*VLOOKUP('Données projet'!$B$16,Paramètres!$A$1:$I$89,3,0)*0.475*44/12</f>
        <v>1.4564268077350584E-17</v>
      </c>
      <c r="FT151" s="22">
        <f t="shared" si="132"/>
        <v>0.38115875319649034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5.6843418860808015E-14</v>
      </c>
      <c r="GA151" s="17">
        <f>FZ151*VLOOKUP('Données projet'!$B$17,Paramètres!$A$1:$I$89,3,0)*VLOOKUP('Données projet'!$B$17,Paramètres!$A$1:$I$89,5,0)</f>
        <v>4.5224624045658861E-14</v>
      </c>
      <c r="GB151" s="13">
        <f t="shared" si="157"/>
        <v>7.4514601661523691E-13</v>
      </c>
      <c r="GC151" s="20">
        <f t="shared" si="133"/>
        <v>1.3765621991510601E-12</v>
      </c>
      <c r="GD151" s="59">
        <f t="shared" si="134"/>
        <v>293.33333333333468</v>
      </c>
      <c r="GE151" s="59">
        <f ca="1">AVERAGE(OFFSET($GD$3,0,0,'Données projet'!$E$17+1,1))-AVERAGE(OFFSET($H$3,0,0,'Données projet'!$E$17+1,1))</f>
        <v>199.58763537752952</v>
      </c>
      <c r="GF151" s="59">
        <f t="shared" si="158"/>
        <v>242.62852778451929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0.39017304454732749</v>
      </c>
      <c r="GN151" s="21">
        <f>EXP(-LN(2)/2)*GN150+(1-EXP(-LN(2)/2))/(LN(2)/2)*GH151*GK151*VLOOKUP('Données projet'!$B$17,Paramètres!$A$1:$I$89,3,0)*0.475*44/12</f>
        <v>1.8668327982814363E-17</v>
      </c>
      <c r="GO151" s="21">
        <f t="shared" si="135"/>
        <v>0.39017304454732749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303.18589743589746</v>
      </c>
      <c r="L152" s="12">
        <f>VLOOKUP(A152,'Données projet'!$A$35:$I$55,9,0)</f>
        <v>5.1063034188034209</v>
      </c>
      <c r="M152" s="12">
        <f t="array" ref="M152">INDEX(L:L,MIN(IF(ISNUMBER(L152:L348),ROW(L152:L348),"")))</f>
        <v>5.1063034188034209</v>
      </c>
      <c r="N152" s="13">
        <f>IF('Données projet'!$A$36&gt;35,N151+M152-V151,IF(A152&lt;'Données projet'!$A$36,$K$205^A152,IF(A152='Données projet'!$A$36,'Données projet'!$B$36,N151+M152-V151)))</f>
        <v>303.18589743589695</v>
      </c>
      <c r="O152" s="13">
        <f>N152*VLOOKUP('Données projet'!$B$9,Paramètres!$A$1:$I$89,3,0)*VLOOKUP('Données projet'!$B$9,Paramètres!$A$1:$I$89,5,0)</f>
        <v>274.32259999999957</v>
      </c>
      <c r="P152" s="13">
        <f t="shared" si="141"/>
        <v>65.765784388426695</v>
      </c>
      <c r="Q152" s="20">
        <f t="shared" si="108"/>
        <v>592.3206028098424</v>
      </c>
      <c r="R152" s="59">
        <f t="shared" si="109"/>
        <v>885.65393614317577</v>
      </c>
      <c r="S152" s="59">
        <f ca="1">AVERAGE(OFFSET($R$3,0,0,'Données projet'!$E$9+1,1))-AVERAGE(OFFSET($H$3,0,0,'Données projet'!$E$9+1,1))</f>
        <v>153.45079678708987</v>
      </c>
      <c r="T152" s="59">
        <f t="shared" si="142"/>
        <v>115.4217868409637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120.50641025641026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307.43049999999948</v>
      </c>
      <c r="AK152" s="13">
        <f t="shared" si="143"/>
        <v>72.731956636788439</v>
      </c>
      <c r="AL152" s="20">
        <f t="shared" si="112"/>
        <v>662.11627864240563</v>
      </c>
      <c r="AM152" s="59">
        <f t="shared" si="113"/>
        <v>955.44961197573889</v>
      </c>
      <c r="AN152" s="59">
        <f ca="1">AVERAGE(OFFSET($AM$3,0,0,'Données projet'!$E$10+1,1))-AVERAGE(OFFSET($H$3,0,0,'Données projet'!$E$10+1,1))</f>
        <v>190.21499310415584</v>
      </c>
      <c r="AO152" s="59">
        <f t="shared" si="144"/>
        <v>136.15730566500173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497</v>
      </c>
      <c r="BE152" s="13">
        <f>BD152*VLOOKUP('Données projet'!$B$11,Paramètres!$A$1:$I$89,3,0)*VLOOKUP('Données projet'!$B$11,Paramètres!$A$1:$I$89,5,0)</f>
        <v>297.20600000000002</v>
      </c>
      <c r="BF152" s="13">
        <f t="shared" si="145"/>
        <v>70.590415164571112</v>
      </c>
      <c r="BG152" s="20">
        <f t="shared" si="115"/>
        <v>640.57875641162809</v>
      </c>
      <c r="BH152" s="59">
        <f t="shared" si="116"/>
        <v>933.91208974496135</v>
      </c>
      <c r="BI152" s="59">
        <f ca="1">AVERAGE(OFFSET($BH$3,0,0,'Données projet'!$E$11+1,1))-AVERAGE(OFFSET($H$3,0,0,'Données projet'!$E$11+1,1))</f>
        <v>270.30888762640245</v>
      </c>
      <c r="BJ152" s="59">
        <f t="shared" si="146"/>
        <v>202.23783851977691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0.20290433201136349</v>
      </c>
      <c r="BQ152" s="21">
        <f>EXP(-LN(2)/25)*BQ151+(1-EXP(-LN(2)/25))/(LN(2)/25)*Calculateur!BL152*Calculateur!BN152*VLOOKUP('Données projet'!$B$11,Paramètres!$A$1:$I$89,3,0)*0.475*44/12</f>
        <v>0.45376720694264733</v>
      </c>
      <c r="BR152" s="21">
        <f>EXP(-LN(2)/2)*BR151+(1-EXP(-LN(2)/2))/(LN(2)/2)*BL152*BO152*VLOOKUP('Données projet'!$B$11,Paramètres!$A$1:$I$89,3,0)*0.475*44/12</f>
        <v>2.2683676002340413E-17</v>
      </c>
      <c r="BS152" s="22">
        <f t="shared" si="117"/>
        <v>0.65667153895401076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497</v>
      </c>
      <c r="BZ152" s="13">
        <f>BY152*VLOOKUP('Données projet'!$B$12,Paramètres!$A$1:$I$89,3,0)*VLOOKUP('Données projet'!$B$12,Paramètres!$A$1:$I$89,5,0)</f>
        <v>297.20600000000002</v>
      </c>
      <c r="CA152" s="13">
        <f t="shared" si="147"/>
        <v>70.590415164571112</v>
      </c>
      <c r="CB152" s="20">
        <f t="shared" si="118"/>
        <v>640.57875641162809</v>
      </c>
      <c r="CC152" s="59">
        <f t="shared" si="119"/>
        <v>933.91208974496135</v>
      </c>
      <c r="CD152" s="59">
        <f ca="1">AVERAGE(OFFSET($CC$3,0,0,'Données projet'!$E$12+1,1))-AVERAGE(OFFSET($H$3,0,0,'Données projet'!$E$12+1,1))</f>
        <v>270.30888762640245</v>
      </c>
      <c r="CE152" s="59">
        <f t="shared" si="148"/>
        <v>202.23783851977691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0.20290433201136349</v>
      </c>
      <c r="CL152" s="21">
        <f>EXP(-LN(2)/25)*CL151+(1-EXP(-LN(2)/25))/(LN(2)/25)*Calculateur!CG152*Calculateur!CI152*VLOOKUP('Données projet'!$B$12,Paramètres!$A$1:$I$89,3,0)*0.475*44/12</f>
        <v>0.45376720694264733</v>
      </c>
      <c r="CM152" s="21">
        <f>EXP(-LN(2)/2)*CM151+(1-EXP(-LN(2)/2))/(LN(2)/2)*CG152*CJ152*VLOOKUP('Données projet'!$B$12,Paramètres!$A$1:$I$89,3,0)*0.475*44/12</f>
        <v>2.2683676002340413E-17</v>
      </c>
      <c r="CN152" s="22">
        <f t="shared" si="120"/>
        <v>0.65667153895401076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3.4106051316484809E-13</v>
      </c>
      <c r="CU152" s="17">
        <f>CT152*VLOOKUP('Données projet'!$B$13,Paramètres!$A$1:$I$89,3,0)*VLOOKUP('Données projet'!$B$13,Paramètres!$A$1:$I$89,5,0)</f>
        <v>1.5961632016114892E-13</v>
      </c>
      <c r="CV152" s="13">
        <f t="shared" si="149"/>
        <v>2.2708641912150958E-12</v>
      </c>
      <c r="CW152" s="20">
        <f t="shared" si="121"/>
        <v>4.2330868906469593E-12</v>
      </c>
      <c r="CX152" s="59">
        <f t="shared" si="122"/>
        <v>293.33333333333752</v>
      </c>
      <c r="CY152" s="59">
        <f ca="1">AVERAGE(OFFSET($CX$3,0,0,'Données projet'!$E$13+1,1))-AVERAGE(OFFSET($H$3,0,0,'Données projet'!$E$13+1,1))</f>
        <v>158.58786357608489</v>
      </c>
      <c r="CZ152" s="59">
        <f t="shared" si="150"/>
        <v>163.20074068819849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3.813056537183002E-14</v>
      </c>
      <c r="DQ152" s="13">
        <f t="shared" si="151"/>
        <v>6.4086286045526829E-13</v>
      </c>
      <c r="DR152" s="20">
        <f t="shared" si="124"/>
        <v>1.1825802166488628E-12</v>
      </c>
      <c r="DS152" s="59">
        <f t="shared" si="125"/>
        <v>293.33333333333451</v>
      </c>
      <c r="DT152" s="59">
        <f ca="1">AVERAGE(OFFSET($DS$3,0,0,'Données projet'!$E$14+1,1))-AVERAGE(OFFSET($H$3,0,0,'Données projet'!$E$14+1,1))</f>
        <v>156.63226020379989</v>
      </c>
      <c r="DU152" s="59">
        <f t="shared" si="152"/>
        <v>196.0481096619543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0.31997374336102974</v>
      </c>
      <c r="EC152" s="21">
        <f>EXP(-LN(2)/2)*EC151+(1-EXP(-LN(2)/2))/(LN(2)/2)*DW152*DZ152*VLOOKUP('Données projet'!$B$14,Paramètres!$A$1:$I$89,3,0)*0.475*44/12</f>
        <v>1.1129834437895922E-17</v>
      </c>
      <c r="ED152" s="22">
        <f t="shared" si="126"/>
        <v>0.31997374336102974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projet'!$A$191:$I$211,2,0)</f>
        <v>303.18589743589746</v>
      </c>
      <c r="EH152" s="12">
        <f>VLOOKUP(A152,'Données projet'!$A$191:$I$211,9,0)</f>
        <v>5.1063034188034209</v>
      </c>
      <c r="EI152" s="12">
        <f t="array" ref="EI152">INDEX(EH:EH,MIN(IF(ISNUMBER(EH152:EH348),ROW(EH152:EH348),"")))</f>
        <v>5.1063034188034209</v>
      </c>
      <c r="EJ152" s="12">
        <f>IF('Données projet'!$A$192&gt;35,EJ151+EI152-ER151,IF(A152&lt;'Données projet'!$A$192,$EG$205^A152,IF(A152='Données projet'!$A$192,'Données projet'!$B$192,EJ151+EI152-ER151)))</f>
        <v>303.18589743589695</v>
      </c>
      <c r="EK152" s="17">
        <f>EJ152*VLOOKUP('Données projet'!$B$15,Paramètres!$A$1:$I$89,3,0)*VLOOKUP('Données projet'!$B$15,Paramètres!$A$1:$I$89,5,0)</f>
        <v>326.34929999999946</v>
      </c>
      <c r="EL152" s="13">
        <f t="shared" si="153"/>
        <v>76.672934582247976</v>
      </c>
      <c r="EM152" s="20">
        <f t="shared" si="127"/>
        <v>701.93039189741421</v>
      </c>
      <c r="EN152" s="59">
        <f t="shared" si="128"/>
        <v>995.26372523074747</v>
      </c>
      <c r="EO152" s="59">
        <f ca="1">AVERAGE(OFFSET($EN$3,0,0,'Données projet'!$E$15+1,1))-AVERAGE(OFFSET($H$3,0,0,'Données projet'!$E$15+1,1))</f>
        <v>211.18501783767226</v>
      </c>
      <c r="EP152" s="59">
        <f t="shared" si="154"/>
        <v>147.98306963466246</v>
      </c>
      <c r="EQ152" s="15">
        <f>IF(ISNA(VLOOKUP(A152,'Données projet'!$A$191:$I$211,3,0)),0,VLOOKUP(A152,'Données projet'!$A$191:$I$211,3,0))</f>
        <v>12</v>
      </c>
      <c r="ER152" s="15">
        <f>IF(ISNA(VLOOKUP(A152,'Données projet'!$A$191:$I$211,4,0)),0,VLOOKUP(A152,'Données projet'!$A$191:$I$211,4,0))</f>
        <v>120.50641025641026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498</v>
      </c>
      <c r="FF152" s="17">
        <f>FE152*VLOOKUP('Données projet'!$B$16,Paramètres!$A$1:$I$89,3,0)*VLOOKUP('Données projet'!$B$16,Paramètres!$A$1:$I$89,5,0)</f>
        <v>297.80400000000003</v>
      </c>
      <c r="FG152" s="13">
        <f t="shared" si="155"/>
        <v>70.715900863123025</v>
      </c>
      <c r="FH152" s="20">
        <f t="shared" si="130"/>
        <v>641.83882733660596</v>
      </c>
      <c r="FI152" s="59">
        <f t="shared" si="131"/>
        <v>935.17216066993933</v>
      </c>
      <c r="FJ152" s="59">
        <f ca="1">AVERAGE(OFFSET($FI$3,0,0,'Données projet'!$E$16+1,1))-AVERAGE(OFFSET($H$3,0,0,'Données projet'!$E$16+1,1))</f>
        <v>232.26937455765062</v>
      </c>
      <c r="FK152" s="59">
        <f t="shared" si="156"/>
        <v>115.80853281120301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0.20966780974507576</v>
      </c>
      <c r="FR152" s="21">
        <f>EXP(-LN(2)/25)*FR151+(1-EXP(-LN(2)/25))/(LN(2)/25)*Calculateur!FM152*Calculateur!FO152*VLOOKUP('Données projet'!$B$16,Paramètres!$A$1:$I$89,3,0)*0.475*44/12</f>
        <v>0.16272249771878713</v>
      </c>
      <c r="FS152" s="21">
        <f>EXP(-LN(2)/2)*FS151+(1-EXP(-LN(2)/2))/(LN(2)/2)*FM152*FP152*VLOOKUP('Données projet'!$B$16,Paramètres!$A$1:$I$89,3,0)*0.475*44/12</f>
        <v>1.0298492720513359E-17</v>
      </c>
      <c r="FT152" s="22">
        <f t="shared" si="132"/>
        <v>0.37239030746386292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5.6843418860808015E-14</v>
      </c>
      <c r="GA152" s="17">
        <f>FZ152*VLOOKUP('Données projet'!$B$17,Paramètres!$A$1:$I$89,3,0)*VLOOKUP('Données projet'!$B$17,Paramètres!$A$1:$I$89,5,0)</f>
        <v>4.5224624045658861E-14</v>
      </c>
      <c r="GB152" s="13">
        <f t="shared" si="157"/>
        <v>7.4514601661523691E-13</v>
      </c>
      <c r="GC152" s="20">
        <f t="shared" si="133"/>
        <v>1.3765621991510601E-12</v>
      </c>
      <c r="GD152" s="59">
        <f t="shared" si="134"/>
        <v>293.33333333333468</v>
      </c>
      <c r="GE152" s="59">
        <f ca="1">AVERAGE(OFFSET($GD$3,0,0,'Données projet'!$E$17+1,1))-AVERAGE(OFFSET($H$3,0,0,'Données projet'!$E$17+1,1))</f>
        <v>199.58763537752952</v>
      </c>
      <c r="GF152" s="59">
        <f t="shared" si="158"/>
        <v>242.62852778451929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0.37950374212587218</v>
      </c>
      <c r="GN152" s="21">
        <f>EXP(-LN(2)/2)*GN151+(1-EXP(-LN(2)/2))/(LN(2)/2)*GH152*GK152*VLOOKUP('Données projet'!$B$17,Paramètres!$A$1:$I$89,3,0)*0.475*44/12</f>
        <v>1.3200501310062618E-17</v>
      </c>
      <c r="GO152" s="21">
        <f t="shared" si="135"/>
        <v>0.37950374212587218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3.0945512820512846</v>
      </c>
      <c r="N153" s="13">
        <f>IF('Données projet'!$A$36&gt;35,N152+M153-V152,IF(A153&lt;'Données projet'!$A$36,$K$205^A153,IF(A153='Données projet'!$A$36,'Données projet'!$B$36,N152+M153-V152)))</f>
        <v>185.77403846153794</v>
      </c>
      <c r="O153" s="13">
        <f>N153*VLOOKUP('Données projet'!$B$9,Paramètres!$A$1:$I$89,3,0)*VLOOKUP('Données projet'!$B$9,Paramètres!$A$1:$I$89,5,0)</f>
        <v>168.08834999999954</v>
      </c>
      <c r="P153" s="13">
        <f t="shared" si="141"/>
        <v>42.661596193999998</v>
      </c>
      <c r="Q153" s="20">
        <f t="shared" si="108"/>
        <v>367.05615628788252</v>
      </c>
      <c r="R153" s="59">
        <f t="shared" si="109"/>
        <v>660.38948962121583</v>
      </c>
      <c r="S153" s="59">
        <f ca="1">AVERAGE(OFFSET($R$3,0,0,'Données projet'!$E$9+1,1))-AVERAGE(OFFSET($H$3,0,0,'Données projet'!$E$9+1,1))</f>
        <v>153.45079678708987</v>
      </c>
      <c r="T153" s="59">
        <f t="shared" si="142"/>
        <v>115.4217868409637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3.0945512820512846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188.37487499999949</v>
      </c>
      <c r="AK153" s="13">
        <f t="shared" si="143"/>
        <v>47.180481359608336</v>
      </c>
      <c r="AL153" s="20">
        <f t="shared" si="112"/>
        <v>410.25891232631693</v>
      </c>
      <c r="AM153" s="59">
        <f t="shared" si="113"/>
        <v>703.59224565965019</v>
      </c>
      <c r="AN153" s="59">
        <f ca="1">AVERAGE(OFFSET($AM$3,0,0,'Données projet'!$E$10+1,1))-AVERAGE(OFFSET($H$3,0,0,'Données projet'!$E$10+1,1))</f>
        <v>190.21499310415584</v>
      </c>
      <c r="AO153" s="59">
        <f t="shared" si="144"/>
        <v>136.15730566500173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497</v>
      </c>
      <c r="BE153" s="13">
        <f>BD153*VLOOKUP('Données projet'!$B$11,Paramètres!$A$1:$I$89,3,0)*VLOOKUP('Données projet'!$B$11,Paramètres!$A$1:$I$89,5,0)</f>
        <v>297.20600000000002</v>
      </c>
      <c r="BF153" s="13">
        <f t="shared" si="145"/>
        <v>70.590415164571112</v>
      </c>
      <c r="BG153" s="20">
        <f t="shared" si="115"/>
        <v>640.57875641162809</v>
      </c>
      <c r="BH153" s="59">
        <f t="shared" si="116"/>
        <v>933.91208974496135</v>
      </c>
      <c r="BI153" s="59">
        <f ca="1">AVERAGE(OFFSET($BH$3,0,0,'Données projet'!$E$11+1,1))-AVERAGE(OFFSET($H$3,0,0,'Données projet'!$E$11+1,1))</f>
        <v>270.30888762640245</v>
      </c>
      <c r="BJ153" s="59">
        <f t="shared" si="146"/>
        <v>202.23783851977691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0.19892550182004295</v>
      </c>
      <c r="BQ153" s="21">
        <f>EXP(-LN(2)/25)*BQ152+(1-EXP(-LN(2)/25))/(LN(2)/25)*Calculateur!BL153*Calculateur!BN153*VLOOKUP('Données projet'!$B$11,Paramètres!$A$1:$I$89,3,0)*0.475*44/12</f>
        <v>0.4413589188062203</v>
      </c>
      <c r="BR153" s="21">
        <f>EXP(-LN(2)/2)*BR152+(1-EXP(-LN(2)/2))/(LN(2)/2)*BL153*BO153*VLOOKUP('Données projet'!$B$11,Paramètres!$A$1:$I$89,3,0)*0.475*44/12</f>
        <v>1.6039781123493461E-17</v>
      </c>
      <c r="BS153" s="22">
        <f t="shared" si="117"/>
        <v>0.64028442062626323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497</v>
      </c>
      <c r="BZ153" s="13">
        <f>BY153*VLOOKUP('Données projet'!$B$12,Paramètres!$A$1:$I$89,3,0)*VLOOKUP('Données projet'!$B$12,Paramètres!$A$1:$I$89,5,0)</f>
        <v>297.20600000000002</v>
      </c>
      <c r="CA153" s="13">
        <f t="shared" si="147"/>
        <v>70.590415164571112</v>
      </c>
      <c r="CB153" s="20">
        <f t="shared" si="118"/>
        <v>640.57875641162809</v>
      </c>
      <c r="CC153" s="59">
        <f t="shared" si="119"/>
        <v>933.91208974496135</v>
      </c>
      <c r="CD153" s="59">
        <f ca="1">AVERAGE(OFFSET($CC$3,0,0,'Données projet'!$E$12+1,1))-AVERAGE(OFFSET($H$3,0,0,'Données projet'!$E$12+1,1))</f>
        <v>270.30888762640245</v>
      </c>
      <c r="CE153" s="59">
        <f t="shared" si="148"/>
        <v>202.23783851977691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0.19892550182004295</v>
      </c>
      <c r="CL153" s="21">
        <f>EXP(-LN(2)/25)*CL152+(1-EXP(-LN(2)/25))/(LN(2)/25)*Calculateur!CG153*Calculateur!CI153*VLOOKUP('Données projet'!$B$12,Paramètres!$A$1:$I$89,3,0)*0.475*44/12</f>
        <v>0.4413589188062203</v>
      </c>
      <c r="CM153" s="21">
        <f>EXP(-LN(2)/2)*CM152+(1-EXP(-LN(2)/2))/(LN(2)/2)*CG153*CJ153*VLOOKUP('Données projet'!$B$12,Paramètres!$A$1:$I$89,3,0)*0.475*44/12</f>
        <v>1.6039781123493461E-17</v>
      </c>
      <c r="CN153" s="22">
        <f t="shared" si="120"/>
        <v>0.64028442062626323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3.4106051316484809E-13</v>
      </c>
      <c r="CU153" s="17">
        <f>CT153*VLOOKUP('Données projet'!$B$13,Paramètres!$A$1:$I$89,3,0)*VLOOKUP('Données projet'!$B$13,Paramètres!$A$1:$I$89,5,0)</f>
        <v>1.5961632016114892E-13</v>
      </c>
      <c r="CV153" s="13">
        <f t="shared" si="149"/>
        <v>2.2708641912150958E-12</v>
      </c>
      <c r="CW153" s="20">
        <f t="shared" si="121"/>
        <v>4.2330868906469593E-12</v>
      </c>
      <c r="CX153" s="59">
        <f t="shared" si="122"/>
        <v>293.33333333333752</v>
      </c>
      <c r="CY153" s="59">
        <f ca="1">AVERAGE(OFFSET($CX$3,0,0,'Données projet'!$E$13+1,1))-AVERAGE(OFFSET($H$3,0,0,'Données projet'!$E$13+1,1))</f>
        <v>158.58786357608489</v>
      </c>
      <c r="CZ153" s="59">
        <f t="shared" si="150"/>
        <v>163.20074068819849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3.813056537183002E-14</v>
      </c>
      <c r="DQ153" s="13">
        <f t="shared" si="151"/>
        <v>6.4086286045526829E-13</v>
      </c>
      <c r="DR153" s="20">
        <f t="shared" si="124"/>
        <v>1.1825802166488628E-12</v>
      </c>
      <c r="DS153" s="59">
        <f t="shared" si="125"/>
        <v>293.33333333333451</v>
      </c>
      <c r="DT153" s="59">
        <f ca="1">AVERAGE(OFFSET($DS$3,0,0,'Données projet'!$E$14+1,1))-AVERAGE(OFFSET($H$3,0,0,'Données projet'!$E$14+1,1))</f>
        <v>156.63226020379989</v>
      </c>
      <c r="DU153" s="59">
        <f t="shared" si="152"/>
        <v>196.0481096619543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0.31122404452213454</v>
      </c>
      <c r="EC153" s="21">
        <f>EXP(-LN(2)/2)*EC152+(1-EXP(-LN(2)/2))/(LN(2)/2)*DW153*DZ153*VLOOKUP('Données projet'!$B$14,Paramètres!$A$1:$I$89,3,0)*0.475*44/12</f>
        <v>7.869981404519773E-18</v>
      </c>
      <c r="ED153" s="22">
        <f t="shared" si="126"/>
        <v>0.31122404452213454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3.0945512820512846</v>
      </c>
      <c r="EJ153" s="12">
        <f>IF('Données projet'!$A$192&gt;35,EJ152+EI153-ER152,IF(A153&lt;'Données projet'!$A$192,$EG$205^A153,IF(A153='Données projet'!$A$192,'Données projet'!$B$192,EJ152+EI153-ER152)))</f>
        <v>185.77403846153794</v>
      </c>
      <c r="EK153" s="17">
        <f>EJ153*VLOOKUP('Données projet'!$B$15,Paramètres!$A$1:$I$89,3,0)*VLOOKUP('Données projet'!$B$15,Paramètres!$A$1:$I$89,5,0)</f>
        <v>199.96717499999943</v>
      </c>
      <c r="EL153" s="13">
        <f t="shared" si="153"/>
        <v>49.736953714984679</v>
      </c>
      <c r="EM153" s="20">
        <f t="shared" si="127"/>
        <v>434.90135751193066</v>
      </c>
      <c r="EN153" s="59">
        <f t="shared" si="128"/>
        <v>728.23469084526391</v>
      </c>
      <c r="EO153" s="59">
        <f ca="1">AVERAGE(OFFSET($EN$3,0,0,'Données projet'!$E$15+1,1))-AVERAGE(OFFSET($H$3,0,0,'Données projet'!$E$15+1,1))</f>
        <v>211.18501783767226</v>
      </c>
      <c r="EP153" s="59">
        <f t="shared" si="154"/>
        <v>147.98306963466246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498</v>
      </c>
      <c r="FF153" s="17">
        <f>FE153*VLOOKUP('Données projet'!$B$16,Paramètres!$A$1:$I$89,3,0)*VLOOKUP('Données projet'!$B$16,Paramètres!$A$1:$I$89,5,0)</f>
        <v>297.80400000000003</v>
      </c>
      <c r="FG153" s="13">
        <f t="shared" si="155"/>
        <v>70.715900863123025</v>
      </c>
      <c r="FH153" s="20">
        <f t="shared" si="130"/>
        <v>641.83882733660596</v>
      </c>
      <c r="FI153" s="59">
        <f t="shared" si="131"/>
        <v>935.17216066993933</v>
      </c>
      <c r="FJ153" s="59">
        <f ca="1">AVERAGE(OFFSET($FI$3,0,0,'Données projet'!$E$16+1,1))-AVERAGE(OFFSET($H$3,0,0,'Données projet'!$E$16+1,1))</f>
        <v>232.26937455765062</v>
      </c>
      <c r="FK153" s="59">
        <f t="shared" si="156"/>
        <v>115.80853281120301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0.2055563518807112</v>
      </c>
      <c r="FR153" s="21">
        <f>EXP(-LN(2)/25)*FR152+(1-EXP(-LN(2)/25))/(LN(2)/25)*Calculateur!FM153*Calculateur!FO153*VLOOKUP('Données projet'!$B$16,Paramètres!$A$1:$I$89,3,0)*0.475*44/12</f>
        <v>0.15827284246146264</v>
      </c>
      <c r="FS153" s="21">
        <f>EXP(-LN(2)/2)*FS152+(1-EXP(-LN(2)/2))/(LN(2)/2)*FM153*FP153*VLOOKUP('Données projet'!$B$16,Paramètres!$A$1:$I$89,3,0)*0.475*44/12</f>
        <v>7.2821340386752921E-18</v>
      </c>
      <c r="FT153" s="22">
        <f t="shared" si="132"/>
        <v>0.36382919434217387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5.6843418860808015E-14</v>
      </c>
      <c r="GA153" s="17">
        <f>FZ153*VLOOKUP('Données projet'!$B$17,Paramètres!$A$1:$I$89,3,0)*VLOOKUP('Données projet'!$B$17,Paramètres!$A$1:$I$89,5,0)</f>
        <v>4.5224624045658861E-14</v>
      </c>
      <c r="GB153" s="13">
        <f t="shared" si="157"/>
        <v>7.4514601661523691E-13</v>
      </c>
      <c r="GC153" s="20">
        <f t="shared" si="133"/>
        <v>1.3765621991510601E-12</v>
      </c>
      <c r="GD153" s="59">
        <f t="shared" si="134"/>
        <v>293.33333333333468</v>
      </c>
      <c r="GE153" s="59">
        <f ca="1">AVERAGE(OFFSET($GD$3,0,0,'Données projet'!$E$17+1,1))-AVERAGE(OFFSET($H$3,0,0,'Données projet'!$E$17+1,1))</f>
        <v>199.58763537752952</v>
      </c>
      <c r="GF153" s="59">
        <f t="shared" si="158"/>
        <v>242.62852778451929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0.36912619234020577</v>
      </c>
      <c r="GN153" s="21">
        <f>EXP(-LN(2)/2)*GN152+(1-EXP(-LN(2)/2))/(LN(2)/2)*GH153*GK153*VLOOKUP('Données projet'!$B$17,Paramètres!$A$1:$I$89,3,0)*0.475*44/12</f>
        <v>9.3341639914071814E-18</v>
      </c>
      <c r="GO153" s="21">
        <f t="shared" si="135"/>
        <v>0.36912619234020577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3.0945512820512846</v>
      </c>
      <c r="N154" s="13">
        <f>IF('Données projet'!$A$36&gt;35,N153+M154-V153,IF(A154&lt;'Données projet'!$A$36,$K$205^A154,IF(A154='Données projet'!$A$36,'Données projet'!$B$36,N153+M154-V153)))</f>
        <v>188.86858974358921</v>
      </c>
      <c r="O154" s="13">
        <f>N154*VLOOKUP('Données projet'!$B$9,Paramètres!$A$1:$I$89,3,0)*VLOOKUP('Données projet'!$B$9,Paramètres!$A$1:$I$89,5,0)</f>
        <v>170.8882999999995</v>
      </c>
      <c r="P154" s="13">
        <f t="shared" si="141"/>
        <v>43.288912849762468</v>
      </c>
      <c r="Q154" s="20">
        <f t="shared" ref="Q154:Q203" si="162">(O154+P154)*0.475*44/12</f>
        <v>373.02531238000211</v>
      </c>
      <c r="R154" s="59">
        <f t="shared" si="109"/>
        <v>666.35864571333536</v>
      </c>
      <c r="S154" s="59">
        <f ca="1">AVERAGE(OFFSET($R$3,0,0,'Données projet'!$E$9+1,1))-AVERAGE(OFFSET($H$3,0,0,'Données projet'!$E$9+1,1))</f>
        <v>153.45079678708987</v>
      </c>
      <c r="T154" s="59">
        <f t="shared" si="142"/>
        <v>115.4217868409637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3.0945512820512846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191.51274999999947</v>
      </c>
      <c r="AK154" s="13">
        <f t="shared" ref="AK154:AK203" si="164">EXP(-1.0587+0.8836*LN(AJ154)+0.284)</f>
        <v>47.874245879088207</v>
      </c>
      <c r="AL154" s="20">
        <f t="shared" ref="AL154:AL203" si="165">(AJ154+AK154)*0.475*44/12</f>
        <v>416.93235115607769</v>
      </c>
      <c r="AM154" s="59">
        <f t="shared" si="113"/>
        <v>710.265684489411</v>
      </c>
      <c r="AN154" s="59">
        <f ca="1">AVERAGE(OFFSET($AM$3,0,0,'Données projet'!$E$10+1,1))-AVERAGE(OFFSET($H$3,0,0,'Données projet'!$E$10+1,1))</f>
        <v>190.21499310415584</v>
      </c>
      <c r="AO154" s="59">
        <f t="shared" si="144"/>
        <v>136.15730566500173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497</v>
      </c>
      <c r="BE154" s="13">
        <f>BD154*VLOOKUP('Données projet'!$B$11,Paramètres!$A$1:$I$89,3,0)*VLOOKUP('Données projet'!$B$11,Paramètres!$A$1:$I$89,5,0)</f>
        <v>297.20600000000002</v>
      </c>
      <c r="BF154" s="13">
        <f t="shared" ref="BF154:BF203" si="167">EXP(-1.0587+0.8836*LN(BE154)+0.284)</f>
        <v>70.590415164571112</v>
      </c>
      <c r="BG154" s="20">
        <f t="shared" ref="BG154:BG203" si="168">(BE154+BF154)*0.475*44/12</f>
        <v>640.57875641162809</v>
      </c>
      <c r="BH154" s="59">
        <f t="shared" si="116"/>
        <v>933.91208974496135</v>
      </c>
      <c r="BI154" s="59">
        <f ca="1">AVERAGE(OFFSET($BH$3,0,0,'Données projet'!$E$11+1,1))-AVERAGE(OFFSET($H$3,0,0,'Données projet'!$E$11+1,1))</f>
        <v>270.30888762640245</v>
      </c>
      <c r="BJ154" s="59">
        <f t="shared" si="146"/>
        <v>202.23783851977691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0.19502469406192743</v>
      </c>
      <c r="BQ154" s="21">
        <f>EXP(-LN(2)/25)*BQ153+(1-EXP(-LN(2)/25))/(LN(2)/25)*Calculateur!BL154*Calculateur!BN154*VLOOKUP('Données projet'!$B$11,Paramètres!$A$1:$I$89,3,0)*0.475*44/12</f>
        <v>0.42928993596140741</v>
      </c>
      <c r="BR154" s="21">
        <f>EXP(-LN(2)/2)*BR153+(1-EXP(-LN(2)/2))/(LN(2)/2)*BL154*BO154*VLOOKUP('Données projet'!$B$11,Paramètres!$A$1:$I$89,3,0)*0.475*44/12</f>
        <v>1.1341838001170207E-17</v>
      </c>
      <c r="BS154" s="22">
        <f t="shared" ref="BS154:BS203" si="169">SUM(BP154:BR154)</f>
        <v>0.62431463002333487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497</v>
      </c>
      <c r="BZ154" s="13">
        <f>BY154*VLOOKUP('Données projet'!$B$12,Paramètres!$A$1:$I$89,3,0)*VLOOKUP('Données projet'!$B$12,Paramètres!$A$1:$I$89,5,0)</f>
        <v>297.20600000000002</v>
      </c>
      <c r="CA154" s="13">
        <f t="shared" ref="CA154:CA203" si="170">EXP(-1.0587+0.8836*LN(BZ154)+0.284)</f>
        <v>70.590415164571112</v>
      </c>
      <c r="CB154" s="20">
        <f t="shared" ref="CB154:CB203" si="171">(BZ154+CA154)*0.475*44/12</f>
        <v>640.57875641162809</v>
      </c>
      <c r="CC154" s="59">
        <f t="shared" si="119"/>
        <v>933.91208974496135</v>
      </c>
      <c r="CD154" s="59">
        <f ca="1">AVERAGE(OFFSET($CC$3,0,0,'Données projet'!$E$12+1,1))-AVERAGE(OFFSET($H$3,0,0,'Données projet'!$E$12+1,1))</f>
        <v>270.30888762640245</v>
      </c>
      <c r="CE154" s="59">
        <f t="shared" si="148"/>
        <v>202.23783851977691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0.19502469406192743</v>
      </c>
      <c r="CL154" s="21">
        <f>EXP(-LN(2)/25)*CL153+(1-EXP(-LN(2)/25))/(LN(2)/25)*Calculateur!CG154*Calculateur!CI154*VLOOKUP('Données projet'!$B$12,Paramètres!$A$1:$I$89,3,0)*0.475*44/12</f>
        <v>0.42928993596140741</v>
      </c>
      <c r="CM154" s="21">
        <f>EXP(-LN(2)/2)*CM153+(1-EXP(-LN(2)/2))/(LN(2)/2)*CG154*CJ154*VLOOKUP('Données projet'!$B$12,Paramètres!$A$1:$I$89,3,0)*0.475*44/12</f>
        <v>1.1341838001170207E-17</v>
      </c>
      <c r="CN154" s="22">
        <f t="shared" ref="CN154:CN203" si="172">SUM(CK154:CM154)</f>
        <v>0.62431463002333487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3.4106051316484809E-13</v>
      </c>
      <c r="CU154" s="17">
        <f>CT154*VLOOKUP('Données projet'!$B$13,Paramètres!$A$1:$I$89,3,0)*VLOOKUP('Données projet'!$B$13,Paramètres!$A$1:$I$89,5,0)</f>
        <v>1.5961632016114892E-13</v>
      </c>
      <c r="CV154" s="13">
        <f t="shared" ref="CV154:CV203" si="173">EXP(-1.0587+0.8836*LN(CU154)+0.284)</f>
        <v>2.2708641912150958E-12</v>
      </c>
      <c r="CW154" s="20">
        <f t="shared" ref="CW154:CW203" si="174">(CU154+CV154)*0.475*44/12</f>
        <v>4.2330868906469593E-12</v>
      </c>
      <c r="CX154" s="59">
        <f t="shared" si="122"/>
        <v>293.33333333333752</v>
      </c>
      <c r="CY154" s="59">
        <f ca="1">AVERAGE(OFFSET($CX$3,0,0,'Données projet'!$E$13+1,1))-AVERAGE(OFFSET($H$3,0,0,'Données projet'!$E$13+1,1))</f>
        <v>158.58786357608489</v>
      </c>
      <c r="CZ154" s="59">
        <f t="shared" si="150"/>
        <v>163.20074068819849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3.813056537183002E-14</v>
      </c>
      <c r="DQ154" s="13">
        <f t="shared" ref="DQ154:DQ203" si="176">EXP(-1.0587+0.8836*LN(DP154)+0.284)</f>
        <v>6.4086286045526829E-13</v>
      </c>
      <c r="DR154" s="20">
        <f t="shared" ref="DR154:DR203" si="177">(DP154+DQ154)*0.475*44/12</f>
        <v>1.1825802166488628E-12</v>
      </c>
      <c r="DS154" s="59">
        <f t="shared" si="125"/>
        <v>293.33333333333451</v>
      </c>
      <c r="DT154" s="59">
        <f ca="1">AVERAGE(OFFSET($DS$3,0,0,'Données projet'!$E$14+1,1))-AVERAGE(OFFSET($H$3,0,0,'Données projet'!$E$14+1,1))</f>
        <v>156.63226020379989</v>
      </c>
      <c r="DU154" s="59">
        <f t="shared" si="152"/>
        <v>196.0481096619543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0.30271360665811559</v>
      </c>
      <c r="EC154" s="21">
        <f>EXP(-LN(2)/2)*EC153+(1-EXP(-LN(2)/2))/(LN(2)/2)*DW154*DZ154*VLOOKUP('Données projet'!$B$14,Paramètres!$A$1:$I$89,3,0)*0.475*44/12</f>
        <v>5.5649172189479611E-18</v>
      </c>
      <c r="ED154" s="22">
        <f t="shared" ref="ED154:ED203" si="178">SUM(EA154:EC154)</f>
        <v>0.30271360665811559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3.0945512820512846</v>
      </c>
      <c r="EJ154" s="12">
        <f>IF('Données projet'!$A$192&gt;35,EJ153+EI154-ER153,IF(A154&lt;'Données projet'!$A$192,$EG$205^A154,IF(A154='Données projet'!$A$192,'Données projet'!$B$192,EJ153+EI154-ER153)))</f>
        <v>188.86858974358921</v>
      </c>
      <c r="EK154" s="17">
        <f>EJ154*VLOOKUP('Données projet'!$B$15,Paramètres!$A$1:$I$89,3,0)*VLOOKUP('Données projet'!$B$15,Paramètres!$A$1:$I$89,5,0)</f>
        <v>203.29814999999942</v>
      </c>
      <c r="EL154" s="13">
        <f t="shared" ref="EL154:EL203" si="179">EXP(-1.0587+0.8836*LN(EK154)+0.284)</f>
        <v>50.468309835145163</v>
      </c>
      <c r="EM154" s="20">
        <f t="shared" ref="EM154:EM203" si="180">(EK154+EL154)*0.475*44/12</f>
        <v>441.97658421287679</v>
      </c>
      <c r="EN154" s="59">
        <f t="shared" si="128"/>
        <v>735.30991754621004</v>
      </c>
      <c r="EO154" s="59">
        <f ca="1">AVERAGE(OFFSET($EN$3,0,0,'Données projet'!$E$15+1,1))-AVERAGE(OFFSET($H$3,0,0,'Données projet'!$E$15+1,1))</f>
        <v>211.18501783767226</v>
      </c>
      <c r="EP154" s="59">
        <f t="shared" si="154"/>
        <v>147.98306963466246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498</v>
      </c>
      <c r="FF154" s="17">
        <f>FE154*VLOOKUP('Données projet'!$B$16,Paramètres!$A$1:$I$89,3,0)*VLOOKUP('Données projet'!$B$16,Paramètres!$A$1:$I$89,5,0)</f>
        <v>297.80400000000003</v>
      </c>
      <c r="FG154" s="13">
        <f t="shared" ref="FG154:FG203" si="182">EXP(-1.0587+0.8836*LN(FF154)+0.284)</f>
        <v>70.715900863123025</v>
      </c>
      <c r="FH154" s="20">
        <f t="shared" ref="FH154:FH203" si="183">(FF154+FG154)*0.475*44/12</f>
        <v>641.83882733660596</v>
      </c>
      <c r="FI154" s="59">
        <f t="shared" si="131"/>
        <v>935.17216066993933</v>
      </c>
      <c r="FJ154" s="59">
        <f ca="1">AVERAGE(OFFSET($FI$3,0,0,'Données projet'!$E$16+1,1))-AVERAGE(OFFSET($H$3,0,0,'Données projet'!$E$16+1,1))</f>
        <v>232.26937455765062</v>
      </c>
      <c r="FK154" s="59">
        <f t="shared" si="156"/>
        <v>115.80853281120301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0.20152551719732514</v>
      </c>
      <c r="FR154" s="21">
        <f>EXP(-LN(2)/25)*FR153+(1-EXP(-LN(2)/25))/(LN(2)/25)*Calculateur!FM154*Calculateur!FO154*VLOOKUP('Données projet'!$B$16,Paramètres!$A$1:$I$89,3,0)*0.475*44/12</f>
        <v>0.1539448632611469</v>
      </c>
      <c r="FS154" s="21">
        <f>EXP(-LN(2)/2)*FS153+(1-EXP(-LN(2)/2))/(LN(2)/2)*FM154*FP154*VLOOKUP('Données projet'!$B$16,Paramètres!$A$1:$I$89,3,0)*0.475*44/12</f>
        <v>5.1492463602566794E-18</v>
      </c>
      <c r="FT154" s="22">
        <f t="shared" ref="FT154:FT203" si="184">SUM(FQ154:FS154)</f>
        <v>0.35547038045847201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5.6843418860808015E-14</v>
      </c>
      <c r="GA154" s="17">
        <f>FZ154*VLOOKUP('Données projet'!$B$17,Paramètres!$A$1:$I$89,3,0)*VLOOKUP('Données projet'!$B$17,Paramètres!$A$1:$I$89,5,0)</f>
        <v>4.5224624045658861E-14</v>
      </c>
      <c r="GB154" s="13">
        <f t="shared" ref="GB154:GB203" si="185">EXP(-1.0587+0.8836*LN(GA154)+0.284)</f>
        <v>7.4514601661523691E-13</v>
      </c>
      <c r="GC154" s="20">
        <f t="shared" ref="GC154:GC203" si="186">(GA154+GB154)*0.475*44/12</f>
        <v>1.3765621991510601E-12</v>
      </c>
      <c r="GD154" s="59">
        <f t="shared" si="134"/>
        <v>293.33333333333468</v>
      </c>
      <c r="GE154" s="59">
        <f ca="1">AVERAGE(OFFSET($GD$3,0,0,'Données projet'!$E$17+1,1))-AVERAGE(OFFSET($H$3,0,0,'Données projet'!$E$17+1,1))</f>
        <v>199.58763537752952</v>
      </c>
      <c r="GF154" s="59">
        <f t="shared" si="158"/>
        <v>242.62852778451929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0.35903241719916001</v>
      </c>
      <c r="GN154" s="21">
        <f>EXP(-LN(2)/2)*GN153+(1-EXP(-LN(2)/2))/(LN(2)/2)*GH154*GK154*VLOOKUP('Données projet'!$B$17,Paramètres!$A$1:$I$89,3,0)*0.475*44/12</f>
        <v>6.600250655031309E-18</v>
      </c>
      <c r="GO154" s="21">
        <f t="shared" ref="GO154:GO203" si="187">SUM(GL154:GN154)</f>
        <v>0.35903241719916001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3.0945512820512846</v>
      </c>
      <c r="N155" s="13">
        <f>IF('Données projet'!$A$36&gt;35,N154+M155-V154,IF(A155&lt;'Données projet'!$A$36,$K$205^A155,IF(A155='Données projet'!$A$36,'Données projet'!$B$36,N154+M155-V154)))</f>
        <v>191.96314102564048</v>
      </c>
      <c r="O155" s="13">
        <f>N155*VLOOKUP('Données projet'!$B$9,Paramètres!$A$1:$I$89,3,0)*VLOOKUP('Données projet'!$B$9,Paramètres!$A$1:$I$89,5,0)</f>
        <v>173.6882499999995</v>
      </c>
      <c r="P155" s="13">
        <f t="shared" si="141"/>
        <v>43.915034185437626</v>
      </c>
      <c r="Q155" s="20">
        <f t="shared" si="162"/>
        <v>378.99238662296966</v>
      </c>
      <c r="R155" s="59">
        <f t="shared" si="109"/>
        <v>672.32571995630292</v>
      </c>
      <c r="S155" s="59">
        <f ca="1">AVERAGE(OFFSET($R$3,0,0,'Données projet'!$E$9+1,1))-AVERAGE(OFFSET($H$3,0,0,'Données projet'!$E$9+1,1))</f>
        <v>153.45079678708987</v>
      </c>
      <c r="T155" s="59">
        <f t="shared" si="142"/>
        <v>115.4217868409637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3.0945512820512846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194.65062499999945</v>
      </c>
      <c r="AK155" s="13">
        <f t="shared" si="164"/>
        <v>48.566688465444784</v>
      </c>
      <c r="AL155" s="20">
        <f t="shared" si="165"/>
        <v>423.60348761898211</v>
      </c>
      <c r="AM155" s="59">
        <f t="shared" si="113"/>
        <v>716.93682095231543</v>
      </c>
      <c r="AN155" s="59">
        <f ca="1">AVERAGE(OFFSET($AM$3,0,0,'Données projet'!$E$10+1,1))-AVERAGE(OFFSET($H$3,0,0,'Données projet'!$E$10+1,1))</f>
        <v>190.21499310415584</v>
      </c>
      <c r="AO155" s="59">
        <f t="shared" si="144"/>
        <v>136.15730566500173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497</v>
      </c>
      <c r="BE155" s="13">
        <f>BD155*VLOOKUP('Données projet'!$B$11,Paramètres!$A$1:$I$89,3,0)*VLOOKUP('Données projet'!$B$11,Paramètres!$A$1:$I$89,5,0)</f>
        <v>297.20600000000002</v>
      </c>
      <c r="BF155" s="13">
        <f t="shared" si="167"/>
        <v>70.590415164571112</v>
      </c>
      <c r="BG155" s="20">
        <f t="shared" si="168"/>
        <v>640.57875641162809</v>
      </c>
      <c r="BH155" s="59">
        <f t="shared" si="116"/>
        <v>933.91208974496135</v>
      </c>
      <c r="BI155" s="59">
        <f ca="1">AVERAGE(OFFSET($BH$3,0,0,'Données projet'!$E$11+1,1))-AVERAGE(OFFSET($H$3,0,0,'Données projet'!$E$11+1,1))</f>
        <v>270.30888762640245</v>
      </c>
      <c r="BJ155" s="59">
        <f t="shared" si="146"/>
        <v>202.23783851977691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0.19120037876469076</v>
      </c>
      <c r="BQ155" s="21">
        <f>EXP(-LN(2)/25)*BQ154+(1-EXP(-LN(2)/25))/(LN(2)/25)*Calculateur!BL155*Calculateur!BN155*VLOOKUP('Données projet'!$B$11,Paramètres!$A$1:$I$89,3,0)*0.475*44/12</f>
        <v>0.41755098008716612</v>
      </c>
      <c r="BR155" s="21">
        <f>EXP(-LN(2)/2)*BR154+(1-EXP(-LN(2)/2))/(LN(2)/2)*BL155*BO155*VLOOKUP('Données projet'!$B$11,Paramètres!$A$1:$I$89,3,0)*0.475*44/12</f>
        <v>8.0198905617467307E-18</v>
      </c>
      <c r="BS155" s="22">
        <f t="shared" si="169"/>
        <v>0.60875135885185694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497</v>
      </c>
      <c r="BZ155" s="13">
        <f>BY155*VLOOKUP('Données projet'!$B$12,Paramètres!$A$1:$I$89,3,0)*VLOOKUP('Données projet'!$B$12,Paramètres!$A$1:$I$89,5,0)</f>
        <v>297.20600000000002</v>
      </c>
      <c r="CA155" s="13">
        <f t="shared" si="170"/>
        <v>70.590415164571112</v>
      </c>
      <c r="CB155" s="20">
        <f t="shared" si="171"/>
        <v>640.57875641162809</v>
      </c>
      <c r="CC155" s="59">
        <f t="shared" si="119"/>
        <v>933.91208974496135</v>
      </c>
      <c r="CD155" s="59">
        <f ca="1">AVERAGE(OFFSET($CC$3,0,0,'Données projet'!$E$12+1,1))-AVERAGE(OFFSET($H$3,0,0,'Données projet'!$E$12+1,1))</f>
        <v>270.30888762640245</v>
      </c>
      <c r="CE155" s="59">
        <f t="shared" si="148"/>
        <v>202.23783851977691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0.19120037876469076</v>
      </c>
      <c r="CL155" s="21">
        <f>EXP(-LN(2)/25)*CL154+(1-EXP(-LN(2)/25))/(LN(2)/25)*Calculateur!CG155*Calculateur!CI155*VLOOKUP('Données projet'!$B$12,Paramètres!$A$1:$I$89,3,0)*0.475*44/12</f>
        <v>0.41755098008716612</v>
      </c>
      <c r="CM155" s="21">
        <f>EXP(-LN(2)/2)*CM154+(1-EXP(-LN(2)/2))/(LN(2)/2)*CG155*CJ155*VLOOKUP('Données projet'!$B$12,Paramètres!$A$1:$I$89,3,0)*0.475*44/12</f>
        <v>8.0198905617467307E-18</v>
      </c>
      <c r="CN155" s="22">
        <f t="shared" si="172"/>
        <v>0.60875135885185694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3.4106051316484809E-13</v>
      </c>
      <c r="CU155" s="17">
        <f>CT155*VLOOKUP('Données projet'!$B$13,Paramètres!$A$1:$I$89,3,0)*VLOOKUP('Données projet'!$B$13,Paramètres!$A$1:$I$89,5,0)</f>
        <v>1.5961632016114892E-13</v>
      </c>
      <c r="CV155" s="13">
        <f t="shared" si="173"/>
        <v>2.2708641912150958E-12</v>
      </c>
      <c r="CW155" s="20">
        <f t="shared" si="174"/>
        <v>4.2330868906469593E-12</v>
      </c>
      <c r="CX155" s="59">
        <f t="shared" si="122"/>
        <v>293.33333333333752</v>
      </c>
      <c r="CY155" s="59">
        <f ca="1">AVERAGE(OFFSET($CX$3,0,0,'Données projet'!$E$13+1,1))-AVERAGE(OFFSET($H$3,0,0,'Données projet'!$E$13+1,1))</f>
        <v>158.58786357608489</v>
      </c>
      <c r="CZ155" s="59">
        <f t="shared" si="150"/>
        <v>163.20074068819849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3.813056537183002E-14</v>
      </c>
      <c r="DQ155" s="13">
        <f t="shared" si="176"/>
        <v>6.4086286045526829E-13</v>
      </c>
      <c r="DR155" s="20">
        <f t="shared" si="177"/>
        <v>1.1825802166488628E-12</v>
      </c>
      <c r="DS155" s="59">
        <f t="shared" si="125"/>
        <v>293.33333333333451</v>
      </c>
      <c r="DT155" s="59">
        <f ca="1">AVERAGE(OFFSET($DS$3,0,0,'Données projet'!$E$14+1,1))-AVERAGE(OFFSET($H$3,0,0,'Données projet'!$E$14+1,1))</f>
        <v>156.63226020379989</v>
      </c>
      <c r="DU155" s="59">
        <f t="shared" si="152"/>
        <v>196.0481096619543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0.29443588716503272</v>
      </c>
      <c r="EC155" s="21">
        <f>EXP(-LN(2)/2)*EC154+(1-EXP(-LN(2)/2))/(LN(2)/2)*DW155*DZ155*VLOOKUP('Données projet'!$B$14,Paramètres!$A$1:$I$89,3,0)*0.475*44/12</f>
        <v>3.9349907022598865E-18</v>
      </c>
      <c r="ED155" s="22">
        <f t="shared" si="178"/>
        <v>0.29443588716503272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3.0945512820512846</v>
      </c>
      <c r="EJ155" s="12">
        <f>IF('Données projet'!$A$192&gt;35,EJ154+EI155-ER154,IF(A155&lt;'Données projet'!$A$192,$EG$205^A155,IF(A155='Données projet'!$A$192,'Données projet'!$B$192,EJ154+EI155-ER154)))</f>
        <v>191.96314102564048</v>
      </c>
      <c r="EK155" s="17">
        <f>EJ155*VLOOKUP('Données projet'!$B$15,Paramètres!$A$1:$I$89,3,0)*VLOOKUP('Données projet'!$B$15,Paramètres!$A$1:$I$89,5,0)</f>
        <v>206.62912499999939</v>
      </c>
      <c r="EL155" s="13">
        <f t="shared" si="179"/>
        <v>51.198272393292896</v>
      </c>
      <c r="EM155" s="20">
        <f t="shared" si="180"/>
        <v>449.04938379331742</v>
      </c>
      <c r="EN155" s="59">
        <f t="shared" si="128"/>
        <v>742.38271712665073</v>
      </c>
      <c r="EO155" s="59">
        <f ca="1">AVERAGE(OFFSET($EN$3,0,0,'Données projet'!$E$15+1,1))-AVERAGE(OFFSET($H$3,0,0,'Données projet'!$E$15+1,1))</f>
        <v>211.18501783767226</v>
      </c>
      <c r="EP155" s="59">
        <f t="shared" si="154"/>
        <v>147.98306963466246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498</v>
      </c>
      <c r="FF155" s="17">
        <f>FE155*VLOOKUP('Données projet'!$B$16,Paramètres!$A$1:$I$89,3,0)*VLOOKUP('Données projet'!$B$16,Paramètres!$A$1:$I$89,5,0)</f>
        <v>297.80400000000003</v>
      </c>
      <c r="FG155" s="13">
        <f t="shared" si="182"/>
        <v>70.715900863123025</v>
      </c>
      <c r="FH155" s="20">
        <f t="shared" si="183"/>
        <v>641.83882733660596</v>
      </c>
      <c r="FI155" s="59">
        <f t="shared" si="131"/>
        <v>935.17216066993933</v>
      </c>
      <c r="FJ155" s="59">
        <f ca="1">AVERAGE(OFFSET($FI$3,0,0,'Données projet'!$E$16+1,1))-AVERAGE(OFFSET($H$3,0,0,'Données projet'!$E$16+1,1))</f>
        <v>232.26937455765062</v>
      </c>
      <c r="FK155" s="59">
        <f t="shared" si="156"/>
        <v>115.80853281120301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0.19757372472351389</v>
      </c>
      <c r="FR155" s="21">
        <f>EXP(-LN(2)/25)*FR154+(1-EXP(-LN(2)/25))/(LN(2)/25)*Calculateur!FM155*Calculateur!FO155*VLOOKUP('Données projet'!$B$16,Paramètres!$A$1:$I$89,3,0)*0.475*44/12</f>
        <v>0.14973523287966231</v>
      </c>
      <c r="FS155" s="21">
        <f>EXP(-LN(2)/2)*FS154+(1-EXP(-LN(2)/2))/(LN(2)/2)*FM155*FP155*VLOOKUP('Données projet'!$B$16,Paramètres!$A$1:$I$89,3,0)*0.475*44/12</f>
        <v>3.641067019337646E-18</v>
      </c>
      <c r="FT155" s="22">
        <f t="shared" si="184"/>
        <v>0.3473089576031762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5.6843418860808015E-14</v>
      </c>
      <c r="GA155" s="17">
        <f>FZ155*VLOOKUP('Données projet'!$B$17,Paramètres!$A$1:$I$89,3,0)*VLOOKUP('Données projet'!$B$17,Paramètres!$A$1:$I$89,5,0)</f>
        <v>4.5224624045658861E-14</v>
      </c>
      <c r="GB155" s="13">
        <f t="shared" si="185"/>
        <v>7.4514601661523691E-13</v>
      </c>
      <c r="GC155" s="20">
        <f t="shared" si="186"/>
        <v>1.3765621991510601E-12</v>
      </c>
      <c r="GD155" s="59">
        <f t="shared" si="134"/>
        <v>293.33333333333468</v>
      </c>
      <c r="GE155" s="59">
        <f ca="1">AVERAGE(OFFSET($GD$3,0,0,'Données projet'!$E$17+1,1))-AVERAGE(OFFSET($H$3,0,0,'Données projet'!$E$17+1,1))</f>
        <v>199.58763537752952</v>
      </c>
      <c r="GF155" s="59">
        <f t="shared" si="158"/>
        <v>242.62852778451929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0.34921465687015474</v>
      </c>
      <c r="GN155" s="21">
        <f>EXP(-LN(2)/2)*GN154+(1-EXP(-LN(2)/2))/(LN(2)/2)*GH155*GK155*VLOOKUP('Données projet'!$B$17,Paramètres!$A$1:$I$89,3,0)*0.475*44/12</f>
        <v>4.6670819957035907E-18</v>
      </c>
      <c r="GO155" s="21">
        <f t="shared" si="187"/>
        <v>0.34921465687015474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195.05769230769232</v>
      </c>
      <c r="L156" s="12">
        <f>VLOOKUP(A156,'Données projet'!$A$35:$I$55,9,0)</f>
        <v>3.0945512820512846</v>
      </c>
      <c r="M156" s="12">
        <f t="array" ref="M156">INDEX(L:L,MIN(IF(ISNUMBER(L156:L352),ROW(L156:L352),"")))</f>
        <v>3.0945512820512846</v>
      </c>
      <c r="N156" s="13">
        <f>IF('Données projet'!$A$36&gt;35,N155+M156-V155,IF(A156&lt;'Données projet'!$A$36,$K$205^A156,IF(A156='Données projet'!$A$36,'Données projet'!$B$36,N155+M156-V155)))</f>
        <v>195.05769230769175</v>
      </c>
      <c r="O156" s="13">
        <f>N156*VLOOKUP('Données projet'!$B$9,Paramètres!$A$1:$I$89,3,0)*VLOOKUP('Données projet'!$B$9,Paramètres!$A$1:$I$89,5,0)</f>
        <v>176.48819999999949</v>
      </c>
      <c r="P156" s="13">
        <f t="shared" si="141"/>
        <v>44.539981694883714</v>
      </c>
      <c r="Q156" s="20">
        <f t="shared" si="162"/>
        <v>384.95741645192157</v>
      </c>
      <c r="R156" s="59">
        <f t="shared" si="109"/>
        <v>678.29074978525489</v>
      </c>
      <c r="S156" s="59">
        <f ca="1">AVERAGE(OFFSET($R$3,0,0,'Données projet'!$E$9+1,1))-AVERAGE(OFFSET($H$3,0,0,'Données projet'!$E$9+1,1))</f>
        <v>153.45079678708987</v>
      </c>
      <c r="T156" s="59">
        <f t="shared" si="142"/>
        <v>115.4217868409637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70.115384615384613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195.05769230769232</v>
      </c>
      <c r="AG156" s="12">
        <f>VLOOKUP(A156,'Données projet'!$A$61:$I$81,9,0)</f>
        <v>3.0945512820512846</v>
      </c>
      <c r="AH156" s="12">
        <f t="array" ref="AH156">INDEX(AG:AG,MIN(IF(ISNUMBER(AG156:AG352),ROW(AG156:AG352),"")))</f>
        <v>3.0945512820512846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197.78849999999943</v>
      </c>
      <c r="AK156" s="13">
        <f t="shared" si="164"/>
        <v>49.257832889250977</v>
      </c>
      <c r="AL156" s="20">
        <f t="shared" si="165"/>
        <v>430.27236311544448</v>
      </c>
      <c r="AM156" s="59">
        <f t="shared" si="113"/>
        <v>723.60569644877773</v>
      </c>
      <c r="AN156" s="59">
        <f ca="1">AVERAGE(OFFSET($AM$3,0,0,'Données projet'!$E$10+1,1))-AVERAGE(OFFSET($H$3,0,0,'Données projet'!$E$10+1,1))</f>
        <v>190.21499310415584</v>
      </c>
      <c r="AO156" s="59">
        <f t="shared" si="144"/>
        <v>136.15730566500173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497</v>
      </c>
      <c r="BE156" s="13">
        <f>BD156*VLOOKUP('Données projet'!$B$11,Paramètres!$A$1:$I$89,3,0)*VLOOKUP('Données projet'!$B$11,Paramètres!$A$1:$I$89,5,0)</f>
        <v>297.20600000000002</v>
      </c>
      <c r="BF156" s="13">
        <f t="shared" si="167"/>
        <v>70.590415164571112</v>
      </c>
      <c r="BG156" s="20">
        <f t="shared" si="168"/>
        <v>640.57875641162809</v>
      </c>
      <c r="BH156" s="59">
        <f t="shared" si="116"/>
        <v>933.91208974496135</v>
      </c>
      <c r="BI156" s="59">
        <f ca="1">AVERAGE(OFFSET($BH$3,0,0,'Données projet'!$E$11+1,1))-AVERAGE(OFFSET($H$3,0,0,'Données projet'!$E$11+1,1))</f>
        <v>270.30888762640245</v>
      </c>
      <c r="BJ156" s="59">
        <f t="shared" si="146"/>
        <v>202.23783851977691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0.18745105595783088</v>
      </c>
      <c r="BQ156" s="21">
        <f>EXP(-LN(2)/25)*BQ155+(1-EXP(-LN(2)/25))/(LN(2)/25)*Calculateur!BL156*Calculateur!BN156*VLOOKUP('Données projet'!$B$11,Paramètres!$A$1:$I$89,3,0)*0.475*44/12</f>
        <v>0.40613302657863087</v>
      </c>
      <c r="BR156" s="21">
        <f>EXP(-LN(2)/2)*BR155+(1-EXP(-LN(2)/2))/(LN(2)/2)*BL156*BO156*VLOOKUP('Données projet'!$B$11,Paramètres!$A$1:$I$89,3,0)*0.475*44/12</f>
        <v>5.6709190005851033E-18</v>
      </c>
      <c r="BS156" s="22">
        <f t="shared" si="169"/>
        <v>0.59358408253646178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497</v>
      </c>
      <c r="BZ156" s="13">
        <f>BY156*VLOOKUP('Données projet'!$B$12,Paramètres!$A$1:$I$89,3,0)*VLOOKUP('Données projet'!$B$12,Paramètres!$A$1:$I$89,5,0)</f>
        <v>297.20600000000002</v>
      </c>
      <c r="CA156" s="13">
        <f t="shared" si="170"/>
        <v>70.590415164571112</v>
      </c>
      <c r="CB156" s="20">
        <f t="shared" si="171"/>
        <v>640.57875641162809</v>
      </c>
      <c r="CC156" s="59">
        <f t="shared" si="119"/>
        <v>933.91208974496135</v>
      </c>
      <c r="CD156" s="59">
        <f ca="1">AVERAGE(OFFSET($CC$3,0,0,'Données projet'!$E$12+1,1))-AVERAGE(OFFSET($H$3,0,0,'Données projet'!$E$12+1,1))</f>
        <v>270.30888762640245</v>
      </c>
      <c r="CE156" s="59">
        <f t="shared" si="148"/>
        <v>202.23783851977691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0.18745105595783088</v>
      </c>
      <c r="CL156" s="21">
        <f>EXP(-LN(2)/25)*CL155+(1-EXP(-LN(2)/25))/(LN(2)/25)*Calculateur!CG156*Calculateur!CI156*VLOOKUP('Données projet'!$B$12,Paramètres!$A$1:$I$89,3,0)*0.475*44/12</f>
        <v>0.40613302657863087</v>
      </c>
      <c r="CM156" s="21">
        <f>EXP(-LN(2)/2)*CM155+(1-EXP(-LN(2)/2))/(LN(2)/2)*CG156*CJ156*VLOOKUP('Données projet'!$B$12,Paramètres!$A$1:$I$89,3,0)*0.475*44/12</f>
        <v>5.6709190005851033E-18</v>
      </c>
      <c r="CN156" s="22">
        <f t="shared" si="172"/>
        <v>0.59358408253646178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3.4106051316484809E-13</v>
      </c>
      <c r="CU156" s="17">
        <f>CT156*VLOOKUP('Données projet'!$B$13,Paramètres!$A$1:$I$89,3,0)*VLOOKUP('Données projet'!$B$13,Paramètres!$A$1:$I$89,5,0)</f>
        <v>1.5961632016114892E-13</v>
      </c>
      <c r="CV156" s="13">
        <f t="shared" si="173"/>
        <v>2.2708641912150958E-12</v>
      </c>
      <c r="CW156" s="20">
        <f t="shared" si="174"/>
        <v>4.2330868906469593E-12</v>
      </c>
      <c r="CX156" s="59">
        <f t="shared" si="122"/>
        <v>293.33333333333752</v>
      </c>
      <c r="CY156" s="59">
        <f ca="1">AVERAGE(OFFSET($CX$3,0,0,'Données projet'!$E$13+1,1))-AVERAGE(OFFSET($H$3,0,0,'Données projet'!$E$13+1,1))</f>
        <v>158.58786357608489</v>
      </c>
      <c r="CZ156" s="59">
        <f t="shared" si="150"/>
        <v>163.20074068819849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3.813056537183002E-14</v>
      </c>
      <c r="DQ156" s="13">
        <f t="shared" si="176"/>
        <v>6.4086286045526829E-13</v>
      </c>
      <c r="DR156" s="20">
        <f t="shared" si="177"/>
        <v>1.1825802166488628E-12</v>
      </c>
      <c r="DS156" s="59">
        <f t="shared" si="125"/>
        <v>293.33333333333451</v>
      </c>
      <c r="DT156" s="59">
        <f ca="1">AVERAGE(OFFSET($DS$3,0,0,'Données projet'!$E$14+1,1))-AVERAGE(OFFSET($H$3,0,0,'Données projet'!$E$14+1,1))</f>
        <v>156.63226020379989</v>
      </c>
      <c r="DU156" s="59">
        <f t="shared" si="152"/>
        <v>196.0481096619543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0.28638452234679451</v>
      </c>
      <c r="EC156" s="21">
        <f>EXP(-LN(2)/2)*EC155+(1-EXP(-LN(2)/2))/(LN(2)/2)*DW156*DZ156*VLOOKUP('Données projet'!$B$14,Paramètres!$A$1:$I$89,3,0)*0.475*44/12</f>
        <v>2.7824586094739806E-18</v>
      </c>
      <c r="ED156" s="22">
        <f t="shared" si="178"/>
        <v>0.28638452234679451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195.05769230769232</v>
      </c>
      <c r="EH156" s="12">
        <f>VLOOKUP(A156,'Données projet'!$A$191:$I$211,9,0)</f>
        <v>3.0945512820512846</v>
      </c>
      <c r="EI156" s="12">
        <f t="array" ref="EI156">INDEX(EH:EH,MIN(IF(ISNUMBER(EH156:EH352),ROW(EH156:EH352),"")))</f>
        <v>3.0945512820512846</v>
      </c>
      <c r="EJ156" s="12">
        <f>IF('Données projet'!$A$192&gt;35,EJ155+EI156-ER155,IF(A156&lt;'Données projet'!$A$192,$EG$205^A156,IF(A156='Données projet'!$A$192,'Données projet'!$B$192,EJ155+EI156-ER155)))</f>
        <v>195.05769230769175</v>
      </c>
      <c r="EK156" s="17">
        <f>EJ156*VLOOKUP('Données projet'!$B$15,Paramètres!$A$1:$I$89,3,0)*VLOOKUP('Données projet'!$B$15,Paramètres!$A$1:$I$89,5,0)</f>
        <v>209.96009999999939</v>
      </c>
      <c r="EL156" s="13">
        <f t="shared" si="179"/>
        <v>51.926866448008234</v>
      </c>
      <c r="EM156" s="20">
        <f t="shared" si="180"/>
        <v>456.11979989694652</v>
      </c>
      <c r="EN156" s="59">
        <f t="shared" si="128"/>
        <v>749.45313323027983</v>
      </c>
      <c r="EO156" s="59">
        <f ca="1">AVERAGE(OFFSET($EN$3,0,0,'Données projet'!$E$15+1,1))-AVERAGE(OFFSET($H$3,0,0,'Données projet'!$E$15+1,1))</f>
        <v>211.18501783767226</v>
      </c>
      <c r="EP156" s="59">
        <f t="shared" si="154"/>
        <v>147.98306963466246</v>
      </c>
      <c r="EQ156" s="15">
        <f>IF(ISNA(VLOOKUP(A156,'Données projet'!$A$191:$I$211,3,0)),0,VLOOKUP(A156,'Données projet'!$A$191:$I$211,3,0))</f>
        <v>13</v>
      </c>
      <c r="ER156" s="15">
        <f>IF(ISNA(VLOOKUP(A156,'Données projet'!$A$191:$I$211,4,0)),0,VLOOKUP(A156,'Données projet'!$A$191:$I$211,4,0))</f>
        <v>70.115384615384613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498</v>
      </c>
      <c r="FF156" s="17">
        <f>FE156*VLOOKUP('Données projet'!$B$16,Paramètres!$A$1:$I$89,3,0)*VLOOKUP('Données projet'!$B$16,Paramètres!$A$1:$I$89,5,0)</f>
        <v>297.80400000000003</v>
      </c>
      <c r="FG156" s="13">
        <f t="shared" si="182"/>
        <v>70.715900863123025</v>
      </c>
      <c r="FH156" s="20">
        <f t="shared" si="183"/>
        <v>641.83882733660596</v>
      </c>
      <c r="FI156" s="59">
        <f t="shared" si="131"/>
        <v>935.17216066993933</v>
      </c>
      <c r="FJ156" s="59">
        <f ca="1">AVERAGE(OFFSET($FI$3,0,0,'Données projet'!$E$16+1,1))-AVERAGE(OFFSET($H$3,0,0,'Données projet'!$E$16+1,1))</f>
        <v>232.26937455765062</v>
      </c>
      <c r="FK156" s="59">
        <f t="shared" si="156"/>
        <v>115.80853281120301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0.19369942448975869</v>
      </c>
      <c r="FR156" s="21">
        <f>EXP(-LN(2)/25)*FR155+(1-EXP(-LN(2)/25))/(LN(2)/25)*Calculateur!FM156*Calculateur!FO156*VLOOKUP('Données projet'!$B$16,Paramètres!$A$1:$I$89,3,0)*0.475*44/12</f>
        <v>0.14564071506233428</v>
      </c>
      <c r="FS156" s="21">
        <f>EXP(-LN(2)/2)*FS155+(1-EXP(-LN(2)/2))/(LN(2)/2)*FM156*FP156*VLOOKUP('Données projet'!$B$16,Paramètres!$A$1:$I$89,3,0)*0.475*44/12</f>
        <v>2.5746231801283397E-18</v>
      </c>
      <c r="FT156" s="22">
        <f t="shared" si="184"/>
        <v>0.33934013955209297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5.6843418860808015E-14</v>
      </c>
      <c r="GA156" s="17">
        <f>FZ156*VLOOKUP('Données projet'!$B$17,Paramètres!$A$1:$I$89,3,0)*VLOOKUP('Données projet'!$B$17,Paramètres!$A$1:$I$89,5,0)</f>
        <v>4.5224624045658861E-14</v>
      </c>
      <c r="GB156" s="13">
        <f t="shared" si="185"/>
        <v>7.4514601661523691E-13</v>
      </c>
      <c r="GC156" s="20">
        <f t="shared" si="186"/>
        <v>1.3765621991510601E-12</v>
      </c>
      <c r="GD156" s="59">
        <f t="shared" si="134"/>
        <v>293.33333333333468</v>
      </c>
      <c r="GE156" s="59">
        <f ca="1">AVERAGE(OFFSET($GD$3,0,0,'Données projet'!$E$17+1,1))-AVERAGE(OFFSET($H$3,0,0,'Données projet'!$E$17+1,1))</f>
        <v>199.58763537752952</v>
      </c>
      <c r="GF156" s="59">
        <f t="shared" si="158"/>
        <v>242.62852778451929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0.3396653637136397</v>
      </c>
      <c r="GN156" s="21">
        <f>EXP(-LN(2)/2)*GN155+(1-EXP(-LN(2)/2))/(LN(2)/2)*GH156*GK156*VLOOKUP('Données projet'!$B$17,Paramètres!$A$1:$I$89,3,0)*0.475*44/12</f>
        <v>3.3001253275156545E-18</v>
      </c>
      <c r="GO156" s="21">
        <f t="shared" si="187"/>
        <v>0.3396653637136397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1.8717948717948687</v>
      </c>
      <c r="N157" s="13">
        <f>IF('Données projet'!$A$36&gt;35,N156+M157-V156,IF(A157&lt;'Données projet'!$A$36,$K$205^A157,IF(A157='Données projet'!$A$36,'Données projet'!$B$36,N156+M157-V156)))</f>
        <v>126.814102564102</v>
      </c>
      <c r="O157" s="13">
        <f>N157*VLOOKUP('Données projet'!$B$9,Paramètres!$A$1:$I$89,3,0)*VLOOKUP('Données projet'!$B$9,Paramètres!$A$1:$I$89,5,0)</f>
        <v>114.74139999999949</v>
      </c>
      <c r="P157" s="13">
        <f t="shared" si="141"/>
        <v>30.445336927793697</v>
      </c>
      <c r="Q157" s="20">
        <f t="shared" si="162"/>
        <v>252.8669001492398</v>
      </c>
      <c r="R157" s="59">
        <f t="shared" si="109"/>
        <v>546.20023348257314</v>
      </c>
      <c r="S157" s="59">
        <f ca="1">AVERAGE(OFFSET($R$3,0,0,'Données projet'!$E$9+1,1))-AVERAGE(OFFSET($H$3,0,0,'Données projet'!$E$9+1,1))</f>
        <v>153.45079678708987</v>
      </c>
      <c r="T157" s="59">
        <f t="shared" si="142"/>
        <v>115.4217868409637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1.8717948717948687</v>
      </c>
      <c r="AI157" s="13">
        <f>IF('Données projet'!$A$62&gt;35,AI156+AH157-AQ156,IF(A157&lt;'Données projet'!$A$62,$AF$205^A157,IF(A157='Données projet'!$A$62,'Données projet'!$B$62,AI156+AH157-AQ156)))</f>
        <v>126.814102564102</v>
      </c>
      <c r="AJ157" s="13">
        <f>AI157*VLOOKUP('Données projet'!$B$10,Paramètres!$A$1:$I$89,3,0)*VLOOKUP('Données projet'!$B$10,Paramètres!$A$1:$I$89,5,0)</f>
        <v>128.58949999999945</v>
      </c>
      <c r="AK157" s="13">
        <f t="shared" si="164"/>
        <v>33.670227547903842</v>
      </c>
      <c r="AL157" s="20">
        <f t="shared" si="165"/>
        <v>282.6023588125982</v>
      </c>
      <c r="AM157" s="59">
        <f t="shared" si="113"/>
        <v>575.93569214593151</v>
      </c>
      <c r="AN157" s="59">
        <f ca="1">AVERAGE(OFFSET($AM$3,0,0,'Données projet'!$E$10+1,1))-AVERAGE(OFFSET($H$3,0,0,'Données projet'!$E$10+1,1))</f>
        <v>190.21499310415584</v>
      </c>
      <c r="AO157" s="59">
        <f t="shared" si="144"/>
        <v>136.15730566500173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497</v>
      </c>
      <c r="BE157" s="13">
        <f>BD157*VLOOKUP('Données projet'!$B$11,Paramètres!$A$1:$I$89,3,0)*VLOOKUP('Données projet'!$B$11,Paramètres!$A$1:$I$89,5,0)</f>
        <v>297.20600000000002</v>
      </c>
      <c r="BF157" s="13">
        <f t="shared" si="167"/>
        <v>70.590415164571112</v>
      </c>
      <c r="BG157" s="20">
        <f t="shared" si="168"/>
        <v>640.57875641162809</v>
      </c>
      <c r="BH157" s="59">
        <f t="shared" si="116"/>
        <v>933.91208974496135</v>
      </c>
      <c r="BI157" s="59">
        <f ca="1">AVERAGE(OFFSET($BH$3,0,0,'Données projet'!$E$11+1,1))-AVERAGE(OFFSET($H$3,0,0,'Données projet'!$E$11+1,1))</f>
        <v>270.30888762640245</v>
      </c>
      <c r="BJ157" s="59">
        <f t="shared" si="146"/>
        <v>202.23783851977691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0.18377525508435241</v>
      </c>
      <c r="BQ157" s="21">
        <f>EXP(-LN(2)/25)*BQ156+(1-EXP(-LN(2)/25))/(LN(2)/25)*Calculateur!BL157*Calculateur!BN157*VLOOKUP('Données projet'!$B$11,Paramètres!$A$1:$I$89,3,0)*0.475*44/12</f>
        <v>0.39502729760923055</v>
      </c>
      <c r="BR157" s="21">
        <f>EXP(-LN(2)/2)*BR156+(1-EXP(-LN(2)/2))/(LN(2)/2)*BL157*BO157*VLOOKUP('Données projet'!$B$11,Paramètres!$A$1:$I$89,3,0)*0.475*44/12</f>
        <v>4.0099452808733654E-18</v>
      </c>
      <c r="BS157" s="22">
        <f t="shared" si="169"/>
        <v>0.57880255269358294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497</v>
      </c>
      <c r="BZ157" s="13">
        <f>BY157*VLOOKUP('Données projet'!$B$12,Paramètres!$A$1:$I$89,3,0)*VLOOKUP('Données projet'!$B$12,Paramètres!$A$1:$I$89,5,0)</f>
        <v>297.20600000000002</v>
      </c>
      <c r="CA157" s="13">
        <f t="shared" si="170"/>
        <v>70.590415164571112</v>
      </c>
      <c r="CB157" s="20">
        <f t="shared" si="171"/>
        <v>640.57875641162809</v>
      </c>
      <c r="CC157" s="59">
        <f t="shared" si="119"/>
        <v>933.91208974496135</v>
      </c>
      <c r="CD157" s="59">
        <f ca="1">AVERAGE(OFFSET($CC$3,0,0,'Données projet'!$E$12+1,1))-AVERAGE(OFFSET($H$3,0,0,'Données projet'!$E$12+1,1))</f>
        <v>270.30888762640245</v>
      </c>
      <c r="CE157" s="59">
        <f t="shared" si="148"/>
        <v>202.23783851977691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0.18377525508435241</v>
      </c>
      <c r="CL157" s="21">
        <f>EXP(-LN(2)/25)*CL156+(1-EXP(-LN(2)/25))/(LN(2)/25)*Calculateur!CG157*Calculateur!CI157*VLOOKUP('Données projet'!$B$12,Paramètres!$A$1:$I$89,3,0)*0.475*44/12</f>
        <v>0.39502729760923055</v>
      </c>
      <c r="CM157" s="21">
        <f>EXP(-LN(2)/2)*CM156+(1-EXP(-LN(2)/2))/(LN(2)/2)*CG157*CJ157*VLOOKUP('Données projet'!$B$12,Paramètres!$A$1:$I$89,3,0)*0.475*44/12</f>
        <v>4.0099452808733654E-18</v>
      </c>
      <c r="CN157" s="22">
        <f t="shared" si="172"/>
        <v>0.57880255269358294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3.4106051316484809E-13</v>
      </c>
      <c r="CU157" s="17">
        <f>CT157*VLOOKUP('Données projet'!$B$13,Paramètres!$A$1:$I$89,3,0)*VLOOKUP('Données projet'!$B$13,Paramètres!$A$1:$I$89,5,0)</f>
        <v>1.5961632016114892E-13</v>
      </c>
      <c r="CV157" s="13">
        <f t="shared" si="173"/>
        <v>2.2708641912150958E-12</v>
      </c>
      <c r="CW157" s="20">
        <f t="shared" si="174"/>
        <v>4.2330868906469593E-12</v>
      </c>
      <c r="CX157" s="59">
        <f t="shared" si="122"/>
        <v>293.33333333333752</v>
      </c>
      <c r="CY157" s="59">
        <f ca="1">AVERAGE(OFFSET($CX$3,0,0,'Données projet'!$E$13+1,1))-AVERAGE(OFFSET($H$3,0,0,'Données projet'!$E$13+1,1))</f>
        <v>158.58786357608489</v>
      </c>
      <c r="CZ157" s="59">
        <f t="shared" si="150"/>
        <v>163.20074068819849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3.813056537183002E-14</v>
      </c>
      <c r="DQ157" s="13">
        <f t="shared" si="176"/>
        <v>6.4086286045526829E-13</v>
      </c>
      <c r="DR157" s="20">
        <f t="shared" si="177"/>
        <v>1.1825802166488628E-12</v>
      </c>
      <c r="DS157" s="59">
        <f t="shared" si="125"/>
        <v>293.33333333333451</v>
      </c>
      <c r="DT157" s="59">
        <f ca="1">AVERAGE(OFFSET($DS$3,0,0,'Données projet'!$E$14+1,1))-AVERAGE(OFFSET($H$3,0,0,'Données projet'!$E$14+1,1))</f>
        <v>156.63226020379989</v>
      </c>
      <c r="DU157" s="59">
        <f t="shared" si="152"/>
        <v>196.0481096619543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0.27855332252291393</v>
      </c>
      <c r="EC157" s="21">
        <f>EXP(-LN(2)/2)*EC156+(1-EXP(-LN(2)/2))/(LN(2)/2)*DW157*DZ157*VLOOKUP('Données projet'!$B$14,Paramètres!$A$1:$I$89,3,0)*0.475*44/12</f>
        <v>1.9674953511299433E-18</v>
      </c>
      <c r="ED157" s="22">
        <f t="shared" si="178"/>
        <v>0.27855332252291393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1.8717948717948687</v>
      </c>
      <c r="EJ157" s="12">
        <f>IF('Données projet'!$A$192&gt;35,EJ156+EI157-ER156,IF(A157&lt;'Données projet'!$A$192,$EG$205^A157,IF(A157='Données projet'!$A$192,'Données projet'!$B$192,EJ156+EI157-ER156)))</f>
        <v>126.814102564102</v>
      </c>
      <c r="EK157" s="17">
        <f>EJ157*VLOOKUP('Données projet'!$B$15,Paramètres!$A$1:$I$89,3,0)*VLOOKUP('Données projet'!$B$15,Paramètres!$A$1:$I$89,5,0)</f>
        <v>136.50269999999941</v>
      </c>
      <c r="EL157" s="13">
        <f t="shared" si="179"/>
        <v>35.494647380956579</v>
      </c>
      <c r="EM157" s="20">
        <f t="shared" si="180"/>
        <v>299.56204668849836</v>
      </c>
      <c r="EN157" s="59">
        <f t="shared" si="128"/>
        <v>592.89538002183167</v>
      </c>
      <c r="EO157" s="59">
        <f ca="1">AVERAGE(OFFSET($EN$3,0,0,'Données projet'!$E$15+1,1))-AVERAGE(OFFSET($H$3,0,0,'Données projet'!$E$15+1,1))</f>
        <v>211.18501783767226</v>
      </c>
      <c r="EP157" s="59">
        <f t="shared" si="154"/>
        <v>147.98306963466246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498</v>
      </c>
      <c r="FF157" s="17">
        <f>FE157*VLOOKUP('Données projet'!$B$16,Paramètres!$A$1:$I$89,3,0)*VLOOKUP('Données projet'!$B$16,Paramètres!$A$1:$I$89,5,0)</f>
        <v>297.80400000000003</v>
      </c>
      <c r="FG157" s="13">
        <f t="shared" si="182"/>
        <v>70.715900863123025</v>
      </c>
      <c r="FH157" s="20">
        <f t="shared" si="183"/>
        <v>641.83882733660596</v>
      </c>
      <c r="FI157" s="59">
        <f t="shared" si="131"/>
        <v>935.17216066993933</v>
      </c>
      <c r="FJ157" s="59">
        <f ca="1">AVERAGE(OFFSET($FI$3,0,0,'Données projet'!$E$16+1,1))-AVERAGE(OFFSET($H$3,0,0,'Données projet'!$E$16+1,1))</f>
        <v>232.26937455765062</v>
      </c>
      <c r="FK157" s="59">
        <f t="shared" si="156"/>
        <v>115.80853281120301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0.18990109692049761</v>
      </c>
      <c r="FR157" s="21">
        <f>EXP(-LN(2)/25)*FR156+(1-EXP(-LN(2)/25))/(LN(2)/25)*Calculateur!FM157*Calculateur!FO157*VLOOKUP('Données projet'!$B$16,Paramètres!$A$1:$I$89,3,0)*0.475*44/12</f>
        <v>0.14165816205004242</v>
      </c>
      <c r="FS157" s="21">
        <f>EXP(-LN(2)/2)*FS156+(1-EXP(-LN(2)/2))/(LN(2)/2)*FM157*FP157*VLOOKUP('Données projet'!$B$16,Paramètres!$A$1:$I$89,3,0)*0.475*44/12</f>
        <v>1.820533509668823E-18</v>
      </c>
      <c r="FT157" s="22">
        <f t="shared" si="184"/>
        <v>0.33155925897054006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5.6843418860808015E-14</v>
      </c>
      <c r="GA157" s="17">
        <f>FZ157*VLOOKUP('Données projet'!$B$17,Paramètres!$A$1:$I$89,3,0)*VLOOKUP('Données projet'!$B$17,Paramètres!$A$1:$I$89,5,0)</f>
        <v>4.5224624045658861E-14</v>
      </c>
      <c r="GB157" s="13">
        <f t="shared" si="185"/>
        <v>7.4514601661523691E-13</v>
      </c>
      <c r="GC157" s="20">
        <f t="shared" si="186"/>
        <v>1.3765621991510601E-12</v>
      </c>
      <c r="GD157" s="59">
        <f t="shared" si="134"/>
        <v>293.33333333333468</v>
      </c>
      <c r="GE157" s="59">
        <f ca="1">AVERAGE(OFFSET($GD$3,0,0,'Données projet'!$E$17+1,1))-AVERAGE(OFFSET($H$3,0,0,'Données projet'!$E$17+1,1))</f>
        <v>199.58763537752952</v>
      </c>
      <c r="GF157" s="59">
        <f t="shared" si="158"/>
        <v>242.62852778451929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0.33037719648066505</v>
      </c>
      <c r="GN157" s="21">
        <f>EXP(-LN(2)/2)*GN156+(1-EXP(-LN(2)/2))/(LN(2)/2)*GH157*GK157*VLOOKUP('Données projet'!$B$17,Paramètres!$A$1:$I$89,3,0)*0.475*44/12</f>
        <v>2.3335409978517954E-18</v>
      </c>
      <c r="GO157" s="21">
        <f t="shared" si="187"/>
        <v>0.33037719648066505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1.8717948717948687</v>
      </c>
      <c r="N158" s="13">
        <f>IF('Données projet'!$A$36&gt;35,N157+M158-V157,IF(A158&lt;'Données projet'!$A$36,$K$205^A158,IF(A158='Données projet'!$A$36,'Données projet'!$B$36,N157+M158-V157)))</f>
        <v>128.68589743589686</v>
      </c>
      <c r="O158" s="13">
        <f>N158*VLOOKUP('Données projet'!$B$9,Paramètres!$A$1:$I$89,3,0)*VLOOKUP('Données projet'!$B$9,Paramètres!$A$1:$I$89,5,0)</f>
        <v>116.43499999999946</v>
      </c>
      <c r="P158" s="13">
        <f t="shared" si="141"/>
        <v>30.842067793939275</v>
      </c>
      <c r="Q158" s="20">
        <f t="shared" si="162"/>
        <v>256.5075597411099</v>
      </c>
      <c r="R158" s="59">
        <f t="shared" si="109"/>
        <v>549.84089307444322</v>
      </c>
      <c r="S158" s="59">
        <f ca="1">AVERAGE(OFFSET($R$3,0,0,'Données projet'!$E$9+1,1))-AVERAGE(OFFSET($H$3,0,0,'Données projet'!$E$9+1,1))</f>
        <v>153.45079678708987</v>
      </c>
      <c r="T158" s="59">
        <f t="shared" si="142"/>
        <v>115.4217868409637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1.8717948717948687</v>
      </c>
      <c r="AI158" s="13">
        <f>IF('Données projet'!$A$62&gt;35,AI157+AH158-AQ157,IF(A158&lt;'Données projet'!$A$62,$AF$205^A158,IF(A158='Données projet'!$A$62,'Données projet'!$B$62,AI157+AH158-AQ157)))</f>
        <v>128.68589743589686</v>
      </c>
      <c r="AJ158" s="13">
        <f>AI158*VLOOKUP('Données projet'!$B$10,Paramètres!$A$1:$I$89,3,0)*VLOOKUP('Données projet'!$B$10,Paramètres!$A$1:$I$89,5,0)</f>
        <v>130.48749999999941</v>
      </c>
      <c r="AK158" s="13">
        <f t="shared" si="164"/>
        <v>34.10898171804417</v>
      </c>
      <c r="AL158" s="20">
        <f t="shared" si="165"/>
        <v>286.67220565892586</v>
      </c>
      <c r="AM158" s="59">
        <f t="shared" si="113"/>
        <v>580.00553899225918</v>
      </c>
      <c r="AN158" s="59">
        <f ca="1">AVERAGE(OFFSET($AM$3,0,0,'Données projet'!$E$10+1,1))-AVERAGE(OFFSET($H$3,0,0,'Données projet'!$E$10+1,1))</f>
        <v>190.21499310415584</v>
      </c>
      <c r="AO158" s="59">
        <f t="shared" si="144"/>
        <v>136.15730566500173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497</v>
      </c>
      <c r="BE158" s="13">
        <f>BD158*VLOOKUP('Données projet'!$B$11,Paramètres!$A$1:$I$89,3,0)*VLOOKUP('Données projet'!$B$11,Paramètres!$A$1:$I$89,5,0)</f>
        <v>297.20600000000002</v>
      </c>
      <c r="BF158" s="13">
        <f t="shared" si="167"/>
        <v>70.590415164571112</v>
      </c>
      <c r="BG158" s="20">
        <f t="shared" si="168"/>
        <v>640.57875641162809</v>
      </c>
      <c r="BH158" s="59">
        <f t="shared" si="116"/>
        <v>933.91208974496135</v>
      </c>
      <c r="BI158" s="59">
        <f ca="1">AVERAGE(OFFSET($BH$3,0,0,'Données projet'!$E$11+1,1))-AVERAGE(OFFSET($H$3,0,0,'Données projet'!$E$11+1,1))</f>
        <v>270.30888762640245</v>
      </c>
      <c r="BJ158" s="59">
        <f t="shared" si="146"/>
        <v>202.23783851977691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0.1801715344239857</v>
      </c>
      <c r="BQ158" s="21">
        <f>EXP(-LN(2)/25)*BQ157+(1-EXP(-LN(2)/25))/(LN(2)/25)*Calculateur!BL158*Calculateur!BN158*VLOOKUP('Données projet'!$B$11,Paramètres!$A$1:$I$89,3,0)*0.475*44/12</f>
        <v>0.38422525538252339</v>
      </c>
      <c r="BR158" s="21">
        <f>EXP(-LN(2)/2)*BR157+(1-EXP(-LN(2)/2))/(LN(2)/2)*BL158*BO158*VLOOKUP('Données projet'!$B$11,Paramètres!$A$1:$I$89,3,0)*0.475*44/12</f>
        <v>2.8354595002925516E-18</v>
      </c>
      <c r="BS158" s="22">
        <f t="shared" si="169"/>
        <v>0.56439678980650909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497</v>
      </c>
      <c r="BZ158" s="13">
        <f>BY158*VLOOKUP('Données projet'!$B$12,Paramètres!$A$1:$I$89,3,0)*VLOOKUP('Données projet'!$B$12,Paramètres!$A$1:$I$89,5,0)</f>
        <v>297.20600000000002</v>
      </c>
      <c r="CA158" s="13">
        <f t="shared" si="170"/>
        <v>70.590415164571112</v>
      </c>
      <c r="CB158" s="20">
        <f t="shared" si="171"/>
        <v>640.57875641162809</v>
      </c>
      <c r="CC158" s="59">
        <f t="shared" si="119"/>
        <v>933.91208974496135</v>
      </c>
      <c r="CD158" s="59">
        <f ca="1">AVERAGE(OFFSET($CC$3,0,0,'Données projet'!$E$12+1,1))-AVERAGE(OFFSET($H$3,0,0,'Données projet'!$E$12+1,1))</f>
        <v>270.30888762640245</v>
      </c>
      <c r="CE158" s="59">
        <f t="shared" si="148"/>
        <v>202.23783851977691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0.1801715344239857</v>
      </c>
      <c r="CL158" s="21">
        <f>EXP(-LN(2)/25)*CL157+(1-EXP(-LN(2)/25))/(LN(2)/25)*Calculateur!CG158*Calculateur!CI158*VLOOKUP('Données projet'!$B$12,Paramètres!$A$1:$I$89,3,0)*0.475*44/12</f>
        <v>0.38422525538252339</v>
      </c>
      <c r="CM158" s="21">
        <f>EXP(-LN(2)/2)*CM157+(1-EXP(-LN(2)/2))/(LN(2)/2)*CG158*CJ158*VLOOKUP('Données projet'!$B$12,Paramètres!$A$1:$I$89,3,0)*0.475*44/12</f>
        <v>2.8354595002925516E-18</v>
      </c>
      <c r="CN158" s="22">
        <f t="shared" si="172"/>
        <v>0.56439678980650909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3.4106051316484809E-13</v>
      </c>
      <c r="CU158" s="17">
        <f>CT158*VLOOKUP('Données projet'!$B$13,Paramètres!$A$1:$I$89,3,0)*VLOOKUP('Données projet'!$B$13,Paramètres!$A$1:$I$89,5,0)</f>
        <v>1.5961632016114892E-13</v>
      </c>
      <c r="CV158" s="13">
        <f t="shared" si="173"/>
        <v>2.2708641912150958E-12</v>
      </c>
      <c r="CW158" s="20">
        <f t="shared" si="174"/>
        <v>4.2330868906469593E-12</v>
      </c>
      <c r="CX158" s="59">
        <f t="shared" si="122"/>
        <v>293.33333333333752</v>
      </c>
      <c r="CY158" s="59">
        <f ca="1">AVERAGE(OFFSET($CX$3,0,0,'Données projet'!$E$13+1,1))-AVERAGE(OFFSET($H$3,0,0,'Données projet'!$E$13+1,1))</f>
        <v>158.58786357608489</v>
      </c>
      <c r="CZ158" s="59">
        <f t="shared" si="150"/>
        <v>163.20074068819849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3.813056537183002E-14</v>
      </c>
      <c r="DQ158" s="13">
        <f t="shared" si="176"/>
        <v>6.4086286045526829E-13</v>
      </c>
      <c r="DR158" s="20">
        <f t="shared" si="177"/>
        <v>1.1825802166488628E-12</v>
      </c>
      <c r="DS158" s="59">
        <f t="shared" si="125"/>
        <v>293.33333333333451</v>
      </c>
      <c r="DT158" s="59">
        <f ca="1">AVERAGE(OFFSET($DS$3,0,0,'Données projet'!$E$14+1,1))-AVERAGE(OFFSET($H$3,0,0,'Données projet'!$E$14+1,1))</f>
        <v>156.63226020379989</v>
      </c>
      <c r="DU158" s="59">
        <f t="shared" si="152"/>
        <v>196.0481096619543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0.27093626727004227</v>
      </c>
      <c r="EC158" s="21">
        <f>EXP(-LN(2)/2)*EC157+(1-EXP(-LN(2)/2))/(LN(2)/2)*DW158*DZ158*VLOOKUP('Données projet'!$B$14,Paramètres!$A$1:$I$89,3,0)*0.475*44/12</f>
        <v>1.3912293047369903E-18</v>
      </c>
      <c r="ED158" s="22">
        <f t="shared" si="178"/>
        <v>0.27093626727004227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1.8717948717948687</v>
      </c>
      <c r="EJ158" s="12">
        <f>IF('Données projet'!$A$192&gt;35,EJ157+EI158-ER157,IF(A158&lt;'Données projet'!$A$192,$EG$205^A158,IF(A158='Données projet'!$A$192,'Données projet'!$B$192,EJ157+EI158-ER157)))</f>
        <v>128.68589743589686</v>
      </c>
      <c r="EK158" s="17">
        <f>EJ158*VLOOKUP('Données projet'!$B$15,Paramètres!$A$1:$I$89,3,0)*VLOOKUP('Données projet'!$B$15,Paramètres!$A$1:$I$89,5,0)</f>
        <v>138.51749999999939</v>
      </c>
      <c r="EL158" s="13">
        <f t="shared" si="179"/>
        <v>35.957175426955061</v>
      </c>
      <c r="EM158" s="20">
        <f t="shared" si="180"/>
        <v>303.87672636861231</v>
      </c>
      <c r="EN158" s="59">
        <f t="shared" si="128"/>
        <v>597.21005970194562</v>
      </c>
      <c r="EO158" s="59">
        <f ca="1">AVERAGE(OFFSET($EN$3,0,0,'Données projet'!$E$15+1,1))-AVERAGE(OFFSET($H$3,0,0,'Données projet'!$E$15+1,1))</f>
        <v>211.18501783767226</v>
      </c>
      <c r="EP158" s="59">
        <f t="shared" si="154"/>
        <v>147.98306963466246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498</v>
      </c>
      <c r="FF158" s="17">
        <f>FE158*VLOOKUP('Données projet'!$B$16,Paramètres!$A$1:$I$89,3,0)*VLOOKUP('Données projet'!$B$16,Paramètres!$A$1:$I$89,5,0)</f>
        <v>297.80400000000003</v>
      </c>
      <c r="FG158" s="13">
        <f t="shared" si="182"/>
        <v>70.715900863123025</v>
      </c>
      <c r="FH158" s="20">
        <f t="shared" si="183"/>
        <v>641.83882733660596</v>
      </c>
      <c r="FI158" s="59">
        <f t="shared" si="131"/>
        <v>935.17216066993933</v>
      </c>
      <c r="FJ158" s="59">
        <f ca="1">AVERAGE(OFFSET($FI$3,0,0,'Données projet'!$E$16+1,1))-AVERAGE(OFFSET($H$3,0,0,'Données projet'!$E$16+1,1))</f>
        <v>232.26937455765062</v>
      </c>
      <c r="FK158" s="59">
        <f t="shared" si="156"/>
        <v>115.80853281120301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0.18617725223811868</v>
      </c>
      <c r="FR158" s="21">
        <f>EXP(-LN(2)/25)*FR157+(1-EXP(-LN(2)/25))/(LN(2)/25)*Calculateur!FM158*Calculateur!FO158*VLOOKUP('Données projet'!$B$16,Paramètres!$A$1:$I$89,3,0)*0.475*44/12</f>
        <v>0.13778451215930504</v>
      </c>
      <c r="FS158" s="21">
        <f>EXP(-LN(2)/2)*FS157+(1-EXP(-LN(2)/2))/(LN(2)/2)*FM158*FP158*VLOOKUP('Données projet'!$B$16,Paramètres!$A$1:$I$89,3,0)*0.475*44/12</f>
        <v>1.2873115900641699E-18</v>
      </c>
      <c r="FT158" s="22">
        <f t="shared" si="184"/>
        <v>0.32396176439742375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5.6843418860808015E-14</v>
      </c>
      <c r="GA158" s="17">
        <f>FZ158*VLOOKUP('Données projet'!$B$17,Paramètres!$A$1:$I$89,3,0)*VLOOKUP('Données projet'!$B$17,Paramètres!$A$1:$I$89,5,0)</f>
        <v>4.5224624045658861E-14</v>
      </c>
      <c r="GB158" s="13">
        <f t="shared" si="185"/>
        <v>7.4514601661523691E-13</v>
      </c>
      <c r="GC158" s="20">
        <f t="shared" si="186"/>
        <v>1.3765621991510601E-12</v>
      </c>
      <c r="GD158" s="59">
        <f t="shared" si="134"/>
        <v>293.33333333333468</v>
      </c>
      <c r="GE158" s="59">
        <f ca="1">AVERAGE(OFFSET($GD$3,0,0,'Données projet'!$E$17+1,1))-AVERAGE(OFFSET($H$3,0,0,'Données projet'!$E$17+1,1))</f>
        <v>199.58763537752952</v>
      </c>
      <c r="GF158" s="59">
        <f t="shared" si="158"/>
        <v>242.62852778451929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0.32134301466911958</v>
      </c>
      <c r="GN158" s="21">
        <f>EXP(-LN(2)/2)*GN157+(1-EXP(-LN(2)/2))/(LN(2)/2)*GH158*GK158*VLOOKUP('Données projet'!$B$17,Paramètres!$A$1:$I$89,3,0)*0.475*44/12</f>
        <v>1.6500626637578272E-18</v>
      </c>
      <c r="GO158" s="21">
        <f t="shared" si="187"/>
        <v>0.32134301466911958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1.8717948717948687</v>
      </c>
      <c r="N159" s="13">
        <f>IF('Données projet'!$A$36&gt;35,N158+M159-V158,IF(A159&lt;'Données projet'!$A$36,$K$205^A159,IF(A159='Données projet'!$A$36,'Données projet'!$B$36,N158+M159-V158)))</f>
        <v>130.55769230769172</v>
      </c>
      <c r="O159" s="13">
        <f>N159*VLOOKUP('Données projet'!$B$9,Paramètres!$A$1:$I$89,3,0)*VLOOKUP('Données projet'!$B$9,Paramètres!$A$1:$I$89,5,0)</f>
        <v>118.12859999999947</v>
      </c>
      <c r="P159" s="13">
        <f t="shared" si="141"/>
        <v>31.238127501943364</v>
      </c>
      <c r="Q159" s="20">
        <f t="shared" si="162"/>
        <v>260.14705039921705</v>
      </c>
      <c r="R159" s="59">
        <f t="shared" si="109"/>
        <v>553.48038373255031</v>
      </c>
      <c r="S159" s="59">
        <f ca="1">AVERAGE(OFFSET($R$3,0,0,'Données projet'!$E$9+1,1))-AVERAGE(OFFSET($H$3,0,0,'Données projet'!$E$9+1,1))</f>
        <v>153.45079678708987</v>
      </c>
      <c r="T159" s="59">
        <f t="shared" si="142"/>
        <v>115.4217868409637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1.8717948717948687</v>
      </c>
      <c r="AI159" s="13">
        <f>IF('Données projet'!$A$62&gt;35,AI158+AH159-AQ158,IF(A159&lt;'Données projet'!$A$62,$AF$205^A159,IF(A159='Données projet'!$A$62,'Données projet'!$B$62,AI158+AH159-AQ158)))</f>
        <v>130.55769230769172</v>
      </c>
      <c r="AJ159" s="13">
        <f>AI159*VLOOKUP('Données projet'!$B$10,Paramètres!$A$1:$I$89,3,0)*VLOOKUP('Données projet'!$B$10,Paramètres!$A$1:$I$89,5,0)</f>
        <v>132.38549999999941</v>
      </c>
      <c r="AK159" s="13">
        <f t="shared" si="164"/>
        <v>34.546993638315612</v>
      </c>
      <c r="AL159" s="20">
        <f t="shared" si="165"/>
        <v>290.74075975339866</v>
      </c>
      <c r="AM159" s="59">
        <f t="shared" si="113"/>
        <v>584.07409308673198</v>
      </c>
      <c r="AN159" s="59">
        <f ca="1">AVERAGE(OFFSET($AM$3,0,0,'Données projet'!$E$10+1,1))-AVERAGE(OFFSET($H$3,0,0,'Données projet'!$E$10+1,1))</f>
        <v>190.21499310415584</v>
      </c>
      <c r="AO159" s="59">
        <f t="shared" si="144"/>
        <v>136.15730566500173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497</v>
      </c>
      <c r="BE159" s="13">
        <f>BD159*VLOOKUP('Données projet'!$B$11,Paramètres!$A$1:$I$89,3,0)*VLOOKUP('Données projet'!$B$11,Paramètres!$A$1:$I$89,5,0)</f>
        <v>297.20600000000002</v>
      </c>
      <c r="BF159" s="13">
        <f t="shared" si="167"/>
        <v>70.590415164571112</v>
      </c>
      <c r="BG159" s="20">
        <f t="shared" si="168"/>
        <v>640.57875641162809</v>
      </c>
      <c r="BH159" s="59">
        <f t="shared" si="116"/>
        <v>933.91208974496135</v>
      </c>
      <c r="BI159" s="59">
        <f ca="1">AVERAGE(OFFSET($BH$3,0,0,'Données projet'!$E$11+1,1))-AVERAGE(OFFSET($H$3,0,0,'Données projet'!$E$11+1,1))</f>
        <v>270.30888762640245</v>
      </c>
      <c r="BJ159" s="59">
        <f t="shared" si="146"/>
        <v>202.23783851977691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0.17663848052771622</v>
      </c>
      <c r="BQ159" s="21">
        <f>EXP(-LN(2)/25)*BQ158+(1-EXP(-LN(2)/25))/(LN(2)/25)*Calculateur!BL159*Calculateur!BN159*VLOOKUP('Données projet'!$B$11,Paramètres!$A$1:$I$89,3,0)*0.475*44/12</f>
        <v>0.37371859556856024</v>
      </c>
      <c r="BR159" s="21">
        <f>EXP(-LN(2)/2)*BR158+(1-EXP(-LN(2)/2))/(LN(2)/2)*BL159*BO159*VLOOKUP('Données projet'!$B$11,Paramètres!$A$1:$I$89,3,0)*0.475*44/12</f>
        <v>2.0049726404366827E-18</v>
      </c>
      <c r="BS159" s="22">
        <f t="shared" si="169"/>
        <v>0.55035707609627649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497</v>
      </c>
      <c r="BZ159" s="13">
        <f>BY159*VLOOKUP('Données projet'!$B$12,Paramètres!$A$1:$I$89,3,0)*VLOOKUP('Données projet'!$B$12,Paramètres!$A$1:$I$89,5,0)</f>
        <v>297.20600000000002</v>
      </c>
      <c r="CA159" s="13">
        <f t="shared" si="170"/>
        <v>70.590415164571112</v>
      </c>
      <c r="CB159" s="20">
        <f t="shared" si="171"/>
        <v>640.57875641162809</v>
      </c>
      <c r="CC159" s="59">
        <f t="shared" si="119"/>
        <v>933.91208974496135</v>
      </c>
      <c r="CD159" s="59">
        <f ca="1">AVERAGE(OFFSET($CC$3,0,0,'Données projet'!$E$12+1,1))-AVERAGE(OFFSET($H$3,0,0,'Données projet'!$E$12+1,1))</f>
        <v>270.30888762640245</v>
      </c>
      <c r="CE159" s="59">
        <f t="shared" si="148"/>
        <v>202.23783851977691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0.17663848052771622</v>
      </c>
      <c r="CL159" s="21">
        <f>EXP(-LN(2)/25)*CL158+(1-EXP(-LN(2)/25))/(LN(2)/25)*Calculateur!CG159*Calculateur!CI159*VLOOKUP('Données projet'!$B$12,Paramètres!$A$1:$I$89,3,0)*0.475*44/12</f>
        <v>0.37371859556856024</v>
      </c>
      <c r="CM159" s="21">
        <f>EXP(-LN(2)/2)*CM158+(1-EXP(-LN(2)/2))/(LN(2)/2)*CG159*CJ159*VLOOKUP('Données projet'!$B$12,Paramètres!$A$1:$I$89,3,0)*0.475*44/12</f>
        <v>2.0049726404366827E-18</v>
      </c>
      <c r="CN159" s="22">
        <f t="shared" si="172"/>
        <v>0.55035707609627649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3.4106051316484809E-13</v>
      </c>
      <c r="CU159" s="17">
        <f>CT159*VLOOKUP('Données projet'!$B$13,Paramètres!$A$1:$I$89,3,0)*VLOOKUP('Données projet'!$B$13,Paramètres!$A$1:$I$89,5,0)</f>
        <v>1.5961632016114892E-13</v>
      </c>
      <c r="CV159" s="13">
        <f t="shared" si="173"/>
        <v>2.2708641912150958E-12</v>
      </c>
      <c r="CW159" s="20">
        <f t="shared" si="174"/>
        <v>4.2330868906469593E-12</v>
      </c>
      <c r="CX159" s="59">
        <f t="shared" si="122"/>
        <v>293.33333333333752</v>
      </c>
      <c r="CY159" s="59">
        <f ca="1">AVERAGE(OFFSET($CX$3,0,0,'Données projet'!$E$13+1,1))-AVERAGE(OFFSET($H$3,0,0,'Données projet'!$E$13+1,1))</f>
        <v>158.58786357608489</v>
      </c>
      <c r="CZ159" s="59">
        <f t="shared" si="150"/>
        <v>163.20074068819849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3.813056537183002E-14</v>
      </c>
      <c r="DQ159" s="13">
        <f t="shared" si="176"/>
        <v>6.4086286045526829E-13</v>
      </c>
      <c r="DR159" s="20">
        <f t="shared" si="177"/>
        <v>1.1825802166488628E-12</v>
      </c>
      <c r="DS159" s="59">
        <f t="shared" si="125"/>
        <v>293.33333333333451</v>
      </c>
      <c r="DT159" s="59">
        <f ca="1">AVERAGE(OFFSET($DS$3,0,0,'Données projet'!$E$14+1,1))-AVERAGE(OFFSET($H$3,0,0,'Données projet'!$E$14+1,1))</f>
        <v>156.63226020379989</v>
      </c>
      <c r="DU159" s="59">
        <f t="shared" si="152"/>
        <v>196.0481096619543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0.26352750079362391</v>
      </c>
      <c r="EC159" s="21">
        <f>EXP(-LN(2)/2)*EC158+(1-EXP(-LN(2)/2))/(LN(2)/2)*DW159*DZ159*VLOOKUP('Données projet'!$B$14,Paramètres!$A$1:$I$89,3,0)*0.475*44/12</f>
        <v>9.8374767556497163E-19</v>
      </c>
      <c r="ED159" s="22">
        <f t="shared" si="178"/>
        <v>0.26352750079362391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1.8717948717948687</v>
      </c>
      <c r="EJ159" s="12">
        <f>IF('Données projet'!$A$192&gt;35,EJ158+EI159-ER158,IF(A159&lt;'Données projet'!$A$192,$EG$205^A159,IF(A159='Données projet'!$A$192,'Données projet'!$B$192,EJ158+EI159-ER158)))</f>
        <v>130.55769230769172</v>
      </c>
      <c r="EK159" s="17">
        <f>EJ159*VLOOKUP('Données projet'!$B$15,Paramètres!$A$1:$I$89,3,0)*VLOOKUP('Données projet'!$B$15,Paramètres!$A$1:$I$89,5,0)</f>
        <v>140.53229999999937</v>
      </c>
      <c r="EL159" s="13">
        <f t="shared" si="179"/>
        <v>36.418921004307371</v>
      </c>
      <c r="EM159" s="20">
        <f t="shared" si="180"/>
        <v>308.19004324916756</v>
      </c>
      <c r="EN159" s="59">
        <f t="shared" si="128"/>
        <v>601.52337658250087</v>
      </c>
      <c r="EO159" s="59">
        <f ca="1">AVERAGE(OFFSET($EN$3,0,0,'Données projet'!$E$15+1,1))-AVERAGE(OFFSET($H$3,0,0,'Données projet'!$E$15+1,1))</f>
        <v>211.18501783767226</v>
      </c>
      <c r="EP159" s="59">
        <f t="shared" si="154"/>
        <v>147.98306963466246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498</v>
      </c>
      <c r="FF159" s="17">
        <f>FE159*VLOOKUP('Données projet'!$B$16,Paramètres!$A$1:$I$89,3,0)*VLOOKUP('Données projet'!$B$16,Paramètres!$A$1:$I$89,5,0)</f>
        <v>297.80400000000003</v>
      </c>
      <c r="FG159" s="13">
        <f t="shared" si="182"/>
        <v>70.715900863123025</v>
      </c>
      <c r="FH159" s="20">
        <f t="shared" si="183"/>
        <v>641.83882733660596</v>
      </c>
      <c r="FI159" s="59">
        <f t="shared" si="131"/>
        <v>935.17216066993933</v>
      </c>
      <c r="FJ159" s="59">
        <f ca="1">AVERAGE(OFFSET($FI$3,0,0,'Données projet'!$E$16+1,1))-AVERAGE(OFFSET($H$3,0,0,'Données projet'!$E$16+1,1))</f>
        <v>232.26937455765062</v>
      </c>
      <c r="FK159" s="59">
        <f t="shared" si="156"/>
        <v>115.80853281120301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0.18252642987864023</v>
      </c>
      <c r="FR159" s="21">
        <f>EXP(-LN(2)/25)*FR158+(1-EXP(-LN(2)/25))/(LN(2)/25)*Calculateur!FM159*Calculateur!FO159*VLOOKUP('Données projet'!$B$16,Paramètres!$A$1:$I$89,3,0)*0.475*44/12</f>
        <v>0.13401678742853626</v>
      </c>
      <c r="FS159" s="21">
        <f>EXP(-LN(2)/2)*FS158+(1-EXP(-LN(2)/2))/(LN(2)/2)*FM159*FP159*VLOOKUP('Données projet'!$B$16,Paramètres!$A$1:$I$89,3,0)*0.475*44/12</f>
        <v>9.1026675483441151E-19</v>
      </c>
      <c r="FT159" s="22">
        <f t="shared" si="184"/>
        <v>0.31654321730717649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5.6843418860808015E-14</v>
      </c>
      <c r="GA159" s="17">
        <f>FZ159*VLOOKUP('Données projet'!$B$17,Paramètres!$A$1:$I$89,3,0)*VLOOKUP('Données projet'!$B$17,Paramètres!$A$1:$I$89,5,0)</f>
        <v>4.5224624045658861E-14</v>
      </c>
      <c r="GB159" s="13">
        <f t="shared" si="185"/>
        <v>7.4514601661523691E-13</v>
      </c>
      <c r="GC159" s="20">
        <f t="shared" si="186"/>
        <v>1.3765621991510601E-12</v>
      </c>
      <c r="GD159" s="59">
        <f t="shared" si="134"/>
        <v>293.33333333333468</v>
      </c>
      <c r="GE159" s="59">
        <f ca="1">AVERAGE(OFFSET($GD$3,0,0,'Données projet'!$E$17+1,1))-AVERAGE(OFFSET($H$3,0,0,'Données projet'!$E$17+1,1))</f>
        <v>199.58763537752952</v>
      </c>
      <c r="GF159" s="59">
        <f t="shared" si="158"/>
        <v>242.62852778451929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0.31255587303429777</v>
      </c>
      <c r="GN159" s="21">
        <f>EXP(-LN(2)/2)*GN158+(1-EXP(-LN(2)/2))/(LN(2)/2)*GH159*GK159*VLOOKUP('Données projet'!$B$17,Paramètres!$A$1:$I$89,3,0)*0.475*44/12</f>
        <v>1.1667704989258977E-18</v>
      </c>
      <c r="GO159" s="21">
        <f t="shared" si="187"/>
        <v>0.31255587303429777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132.42948717948718</v>
      </c>
      <c r="L160" s="12">
        <f>VLOOKUP(A160,'Données projet'!$A$35:$I$55,9,0)</f>
        <v>1.8717948717948687</v>
      </c>
      <c r="M160" s="12">
        <f t="array" ref="M160">INDEX(L:L,MIN(IF(ISNUMBER(L160:L356),ROW(L160:L356),"")))</f>
        <v>1.8717948717948687</v>
      </c>
      <c r="N160" s="13">
        <f>IF('Données projet'!$A$36&gt;35,N159+M160-V159,IF(A160&lt;'Données projet'!$A$36,$K$205^A160,IF(A160='Données projet'!$A$36,'Données projet'!$B$36,N159+M160-V159)))</f>
        <v>132.42948717948659</v>
      </c>
      <c r="O160" s="13">
        <f>N160*VLOOKUP('Données projet'!$B$9,Paramètres!$A$1:$I$89,3,0)*VLOOKUP('Données projet'!$B$9,Paramètres!$A$1:$I$89,5,0)</f>
        <v>119.82219999999947</v>
      </c>
      <c r="P160" s="13">
        <f t="shared" si="141"/>
        <v>31.633526785966847</v>
      </c>
      <c r="Q160" s="20">
        <f t="shared" si="162"/>
        <v>263.7853908188913</v>
      </c>
      <c r="R160" s="59">
        <f t="shared" si="109"/>
        <v>557.11872415222456</v>
      </c>
      <c r="S160" s="59">
        <f ca="1">AVERAGE(OFFSET($R$3,0,0,'Données projet'!$E$9+1,1))-AVERAGE(OFFSET($H$3,0,0,'Données projet'!$E$9+1,1))</f>
        <v>153.45079678708987</v>
      </c>
      <c r="T160" s="59">
        <f t="shared" si="142"/>
        <v>115.4217868409637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45.71153846153846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1.8717948717948687</v>
      </c>
      <c r="AH160" s="12">
        <f t="array" ref="AH160">INDEX(AG:AG,MIN(IF(ISNUMBER(AG160:AG356),ROW(AG160:AG356),"")))</f>
        <v>1.8717948717948687</v>
      </c>
      <c r="AI160" s="13">
        <f>IF('Données projet'!$A$62&gt;35,AI159+AH160-AQ159,IF(A160&lt;'Données projet'!$A$62,$AF$205^A160,IF(A160='Données projet'!$A$62,'Données projet'!$B$62,AI159+AH160-AQ159)))</f>
        <v>132.42948717948659</v>
      </c>
      <c r="AJ160" s="13">
        <f>AI160*VLOOKUP('Données projet'!$B$10,Paramètres!$A$1:$I$89,3,0)*VLOOKUP('Données projet'!$B$10,Paramètres!$A$1:$I$89,5,0)</f>
        <v>134.28349999999941</v>
      </c>
      <c r="AK160" s="13">
        <f t="shared" si="164"/>
        <v>34.984275179883845</v>
      </c>
      <c r="AL160" s="20">
        <f t="shared" si="165"/>
        <v>294.80804177162997</v>
      </c>
      <c r="AM160" s="59">
        <f t="shared" si="113"/>
        <v>588.14137510496334</v>
      </c>
      <c r="AN160" s="59">
        <f ca="1">AVERAGE(OFFSET($AM$3,0,0,'Données projet'!$E$10+1,1))-AVERAGE(OFFSET($H$3,0,0,'Données projet'!$E$10+1,1))</f>
        <v>190.21499310415584</v>
      </c>
      <c r="AO160" s="59">
        <f t="shared" si="144"/>
        <v>136.15730566500173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497</v>
      </c>
      <c r="BE160" s="13">
        <f>BD160*VLOOKUP('Données projet'!$B$11,Paramètres!$A$1:$I$89,3,0)*VLOOKUP('Données projet'!$B$11,Paramètres!$A$1:$I$89,5,0)</f>
        <v>297.20600000000002</v>
      </c>
      <c r="BF160" s="13">
        <f t="shared" si="167"/>
        <v>70.590415164571112</v>
      </c>
      <c r="BG160" s="20">
        <f t="shared" si="168"/>
        <v>640.57875641162809</v>
      </c>
      <c r="BH160" s="59">
        <f t="shared" si="116"/>
        <v>933.91208974496135</v>
      </c>
      <c r="BI160" s="59">
        <f ca="1">AVERAGE(OFFSET($BH$3,0,0,'Données projet'!$E$11+1,1))-AVERAGE(OFFSET($H$3,0,0,'Données projet'!$E$11+1,1))</f>
        <v>270.30888762640245</v>
      </c>
      <c r="BJ160" s="59">
        <f t="shared" si="146"/>
        <v>202.23783851977691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0.17317470766340251</v>
      </c>
      <c r="BQ160" s="21">
        <f>EXP(-LN(2)/25)*BQ159+(1-EXP(-LN(2)/25))/(LN(2)/25)*Calculateur!BL160*Calculateur!BN160*VLOOKUP('Données projet'!$B$11,Paramètres!$A$1:$I$89,3,0)*0.475*44/12</f>
        <v>0.36349924091973118</v>
      </c>
      <c r="BR160" s="21">
        <f>EXP(-LN(2)/2)*BR159+(1-EXP(-LN(2)/2))/(LN(2)/2)*BL160*BO160*VLOOKUP('Données projet'!$B$11,Paramètres!$A$1:$I$89,3,0)*0.475*44/12</f>
        <v>1.4177297501462758E-18</v>
      </c>
      <c r="BS160" s="22">
        <f t="shared" si="169"/>
        <v>0.53667394858313366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497</v>
      </c>
      <c r="BZ160" s="13">
        <f>BY160*VLOOKUP('Données projet'!$B$12,Paramètres!$A$1:$I$89,3,0)*VLOOKUP('Données projet'!$B$12,Paramètres!$A$1:$I$89,5,0)</f>
        <v>297.20600000000002</v>
      </c>
      <c r="CA160" s="13">
        <f t="shared" si="170"/>
        <v>70.590415164571112</v>
      </c>
      <c r="CB160" s="20">
        <f t="shared" si="171"/>
        <v>640.57875641162809</v>
      </c>
      <c r="CC160" s="59">
        <f t="shared" si="119"/>
        <v>933.91208974496135</v>
      </c>
      <c r="CD160" s="59">
        <f ca="1">AVERAGE(OFFSET($CC$3,0,0,'Données projet'!$E$12+1,1))-AVERAGE(OFFSET($H$3,0,0,'Données projet'!$E$12+1,1))</f>
        <v>270.30888762640245</v>
      </c>
      <c r="CE160" s="59">
        <f t="shared" si="148"/>
        <v>202.23783851977691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0.17317470766340251</v>
      </c>
      <c r="CL160" s="21">
        <f>EXP(-LN(2)/25)*CL159+(1-EXP(-LN(2)/25))/(LN(2)/25)*Calculateur!CG160*Calculateur!CI160*VLOOKUP('Données projet'!$B$12,Paramètres!$A$1:$I$89,3,0)*0.475*44/12</f>
        <v>0.36349924091973118</v>
      </c>
      <c r="CM160" s="21">
        <f>EXP(-LN(2)/2)*CM159+(1-EXP(-LN(2)/2))/(LN(2)/2)*CG160*CJ160*VLOOKUP('Données projet'!$B$12,Paramètres!$A$1:$I$89,3,0)*0.475*44/12</f>
        <v>1.4177297501462758E-18</v>
      </c>
      <c r="CN160" s="22">
        <f t="shared" si="172"/>
        <v>0.53667394858313366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3.4106051316484809E-13</v>
      </c>
      <c r="CU160" s="17">
        <f>CT160*VLOOKUP('Données projet'!$B$13,Paramètres!$A$1:$I$89,3,0)*VLOOKUP('Données projet'!$B$13,Paramètres!$A$1:$I$89,5,0)</f>
        <v>1.5961632016114892E-13</v>
      </c>
      <c r="CV160" s="13">
        <f t="shared" si="173"/>
        <v>2.2708641912150958E-12</v>
      </c>
      <c r="CW160" s="20">
        <f t="shared" si="174"/>
        <v>4.2330868906469593E-12</v>
      </c>
      <c r="CX160" s="59">
        <f t="shared" si="122"/>
        <v>293.33333333333752</v>
      </c>
      <c r="CY160" s="59">
        <f ca="1">AVERAGE(OFFSET($CX$3,0,0,'Données projet'!$E$13+1,1))-AVERAGE(OFFSET($H$3,0,0,'Données projet'!$E$13+1,1))</f>
        <v>158.58786357608489</v>
      </c>
      <c r="CZ160" s="59">
        <f t="shared" si="150"/>
        <v>163.20074068819849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3.813056537183002E-14</v>
      </c>
      <c r="DQ160" s="13">
        <f t="shared" si="176"/>
        <v>6.4086286045526829E-13</v>
      </c>
      <c r="DR160" s="20">
        <f t="shared" si="177"/>
        <v>1.1825802166488628E-12</v>
      </c>
      <c r="DS160" s="59">
        <f t="shared" si="125"/>
        <v>293.33333333333451</v>
      </c>
      <c r="DT160" s="59">
        <f ca="1">AVERAGE(OFFSET($DS$3,0,0,'Données projet'!$E$14+1,1))-AVERAGE(OFFSET($H$3,0,0,'Données projet'!$E$14+1,1))</f>
        <v>156.63226020379989</v>
      </c>
      <c r="DU160" s="59">
        <f t="shared" si="152"/>
        <v>196.0481096619543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0.2563213274261133</v>
      </c>
      <c r="EC160" s="21">
        <f>EXP(-LN(2)/2)*EC159+(1-EXP(-LN(2)/2))/(LN(2)/2)*DW160*DZ160*VLOOKUP('Données projet'!$B$14,Paramètres!$A$1:$I$89,3,0)*0.475*44/12</f>
        <v>6.9561465236849514E-19</v>
      </c>
      <c r="ED160" s="22">
        <f t="shared" si="178"/>
        <v>0.2563213274261133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projet'!$A$191:$I$211,2,0)</f>
        <v>132.42948717948718</v>
      </c>
      <c r="EH160" s="12">
        <f>VLOOKUP(A160,'Données projet'!$A$191:$I$211,9,0)</f>
        <v>1.8717948717948687</v>
      </c>
      <c r="EI160" s="12">
        <f t="array" ref="EI160">INDEX(EH:EH,MIN(IF(ISNUMBER(EH160:EH356),ROW(EH160:EH356),"")))</f>
        <v>1.8717948717948687</v>
      </c>
      <c r="EJ160" s="12">
        <f>IF('Données projet'!$A$192&gt;35,EJ159+EI160-ER159,IF(A160&lt;'Données projet'!$A$192,$EG$205^A160,IF(A160='Données projet'!$A$192,'Données projet'!$B$192,EJ159+EI160-ER159)))</f>
        <v>132.42948717948659</v>
      </c>
      <c r="EK160" s="17">
        <f>EJ160*VLOOKUP('Données projet'!$B$15,Paramètres!$A$1:$I$89,3,0)*VLOOKUP('Données projet'!$B$15,Paramètres!$A$1:$I$89,5,0)</f>
        <v>142.54709999999935</v>
      </c>
      <c r="EL160" s="13">
        <f t="shared" si="179"/>
        <v>36.879896627417821</v>
      </c>
      <c r="EM160" s="20">
        <f t="shared" si="180"/>
        <v>312.50201912608486</v>
      </c>
      <c r="EN160" s="59">
        <f t="shared" si="128"/>
        <v>605.83535245941812</v>
      </c>
      <c r="EO160" s="59">
        <f ca="1">AVERAGE(OFFSET($EN$3,0,0,'Données projet'!$E$15+1,1))-AVERAGE(OFFSET($H$3,0,0,'Données projet'!$E$15+1,1))</f>
        <v>211.18501783767226</v>
      </c>
      <c r="EP160" s="59">
        <f t="shared" si="154"/>
        <v>147.98306963466246</v>
      </c>
      <c r="EQ160" s="15">
        <f>IF(ISNA(VLOOKUP(A160,'Données projet'!$A$191:$I$211,3,0)),0,VLOOKUP(A160,'Données projet'!$A$191:$I$211,3,0))</f>
        <v>14</v>
      </c>
      <c r="ER160" s="15">
        <f>IF(ISNA(VLOOKUP(A160,'Données projet'!$A$191:$I$211,4,0)),0,VLOOKUP(A160,'Données projet'!$A$191:$I$211,4,0))</f>
        <v>45.71153846153846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498</v>
      </c>
      <c r="FF160" s="17">
        <f>FE160*VLOOKUP('Données projet'!$B$16,Paramètres!$A$1:$I$89,3,0)*VLOOKUP('Données projet'!$B$16,Paramètres!$A$1:$I$89,5,0)</f>
        <v>297.80400000000003</v>
      </c>
      <c r="FG160" s="13">
        <f t="shared" si="182"/>
        <v>70.715900863123025</v>
      </c>
      <c r="FH160" s="20">
        <f t="shared" si="183"/>
        <v>641.83882733660596</v>
      </c>
      <c r="FI160" s="59">
        <f t="shared" si="131"/>
        <v>935.17216066993933</v>
      </c>
      <c r="FJ160" s="59">
        <f ca="1">AVERAGE(OFFSET($FI$3,0,0,'Données projet'!$E$16+1,1))-AVERAGE(OFFSET($H$3,0,0,'Données projet'!$E$16+1,1))</f>
        <v>232.26937455765062</v>
      </c>
      <c r="FK160" s="59">
        <f t="shared" si="156"/>
        <v>115.80853281120301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0.17894719791884939</v>
      </c>
      <c r="FR160" s="21">
        <f>EXP(-LN(2)/25)*FR159+(1-EXP(-LN(2)/25))/(LN(2)/25)*Calculateur!FM160*Calculateur!FO160*VLOOKUP('Données projet'!$B$16,Paramètres!$A$1:$I$89,3,0)*0.475*44/12</f>
        <v>0.13035209132866638</v>
      </c>
      <c r="FS160" s="21">
        <f>EXP(-LN(2)/2)*FS159+(1-EXP(-LN(2)/2))/(LN(2)/2)*FM160*FP160*VLOOKUP('Données projet'!$B$16,Paramètres!$A$1:$I$89,3,0)*0.475*44/12</f>
        <v>6.4365579503208493E-19</v>
      </c>
      <c r="FT160" s="22">
        <f t="shared" si="184"/>
        <v>0.30929928924751576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5.6843418860808015E-14</v>
      </c>
      <c r="GA160" s="17">
        <f>FZ160*VLOOKUP('Données projet'!$B$17,Paramètres!$A$1:$I$89,3,0)*VLOOKUP('Données projet'!$B$17,Paramètres!$A$1:$I$89,5,0)</f>
        <v>4.5224624045658861E-14</v>
      </c>
      <c r="GB160" s="13">
        <f t="shared" si="185"/>
        <v>7.4514601661523691E-13</v>
      </c>
      <c r="GC160" s="20">
        <f t="shared" si="186"/>
        <v>1.3765621991510601E-12</v>
      </c>
      <c r="GD160" s="59">
        <f t="shared" si="134"/>
        <v>293.33333333333468</v>
      </c>
      <c r="GE160" s="59">
        <f ca="1">AVERAGE(OFFSET($GD$3,0,0,'Données projet'!$E$17+1,1))-AVERAGE(OFFSET($H$3,0,0,'Données projet'!$E$17+1,1))</f>
        <v>199.58763537752952</v>
      </c>
      <c r="GF160" s="59">
        <f t="shared" si="158"/>
        <v>242.62852778451929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0.30400901624957588</v>
      </c>
      <c r="GN160" s="21">
        <f>EXP(-LN(2)/2)*GN159+(1-EXP(-LN(2)/2))/(LN(2)/2)*GH160*GK160*VLOOKUP('Données projet'!$B$17,Paramètres!$A$1:$I$89,3,0)*0.475*44/12</f>
        <v>8.2503133187891362E-19</v>
      </c>
      <c r="GO160" s="21">
        <f t="shared" si="187"/>
        <v>0.30400901624957588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1.1618589743589709</v>
      </c>
      <c r="N161" s="13">
        <f>IF('Données projet'!$A$36&gt;35,N160+M161-V160,IF(A161&lt;'Données projet'!$A$36,$K$205^A161,IF(A161='Données projet'!$A$36,'Données projet'!$B$36,N160+M161-V160)))</f>
        <v>87.879807692307111</v>
      </c>
      <c r="O161" s="13">
        <f>N161*VLOOKUP('Données projet'!$B$9,Paramètres!$A$1:$I$89,3,0)*VLOOKUP('Données projet'!$B$9,Paramètres!$A$1:$I$89,5,0)</f>
        <v>79.513649999999473</v>
      </c>
      <c r="P161" s="13">
        <f t="shared" si="141"/>
        <v>22.01822685528159</v>
      </c>
      <c r="Q161" s="20">
        <f t="shared" si="162"/>
        <v>176.83468552294786</v>
      </c>
      <c r="R161" s="59">
        <f t="shared" si="109"/>
        <v>470.16801885628115</v>
      </c>
      <c r="S161" s="59">
        <f ca="1">AVERAGE(OFFSET($R$3,0,0,'Données projet'!$E$9+1,1))-AVERAGE(OFFSET($H$3,0,0,'Données projet'!$E$9+1,1))</f>
        <v>153.45079678708987</v>
      </c>
      <c r="T161" s="59">
        <f t="shared" si="142"/>
        <v>115.4217868409637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87.879807692307111</v>
      </c>
      <c r="AJ161" s="13">
        <f>AI161*VLOOKUP('Données projet'!$B$10,Paramètres!$A$1:$I$89,3,0)*VLOOKUP('Données projet'!$B$10,Paramètres!$A$1:$I$89,5,0)</f>
        <v>89.110124999999414</v>
      </c>
      <c r="AK161" s="13">
        <f t="shared" si="164"/>
        <v>24.350484613685037</v>
      </c>
      <c r="AL161" s="20">
        <f t="shared" si="165"/>
        <v>197.61056174383373</v>
      </c>
      <c r="AM161" s="59">
        <f t="shared" si="113"/>
        <v>490.94389507716704</v>
      </c>
      <c r="AN161" s="59">
        <f ca="1">AVERAGE(OFFSET($AM$3,0,0,'Données projet'!$E$10+1,1))-AVERAGE(OFFSET($H$3,0,0,'Données projet'!$E$10+1,1))</f>
        <v>190.21499310415584</v>
      </c>
      <c r="AO161" s="59">
        <f t="shared" si="144"/>
        <v>136.15730566500173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497</v>
      </c>
      <c r="BE161" s="13">
        <f>BD161*VLOOKUP('Données projet'!$B$11,Paramètres!$A$1:$I$89,3,0)*VLOOKUP('Données projet'!$B$11,Paramètres!$A$1:$I$89,5,0)</f>
        <v>297.20600000000002</v>
      </c>
      <c r="BF161" s="13">
        <f t="shared" si="167"/>
        <v>70.590415164571112</v>
      </c>
      <c r="BG161" s="20">
        <f t="shared" si="168"/>
        <v>640.57875641162809</v>
      </c>
      <c r="BH161" s="59">
        <f t="shared" si="116"/>
        <v>933.91208974496135</v>
      </c>
      <c r="BI161" s="59">
        <f ca="1">AVERAGE(OFFSET($BH$3,0,0,'Données projet'!$E$11+1,1))-AVERAGE(OFFSET($H$3,0,0,'Données projet'!$E$11+1,1))</f>
        <v>270.30888762640245</v>
      </c>
      <c r="BJ161" s="59">
        <f t="shared" si="146"/>
        <v>202.23783851977691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0.16977885727226516</v>
      </c>
      <c r="BQ161" s="21">
        <f>EXP(-LN(2)/25)*BQ160+(1-EXP(-LN(2)/25))/(LN(2)/25)*Calculateur!BL161*Calculateur!BN161*VLOOKUP('Données projet'!$B$11,Paramètres!$A$1:$I$89,3,0)*0.475*44/12</f>
        <v>0.35355933506118686</v>
      </c>
      <c r="BR161" s="21">
        <f>EXP(-LN(2)/2)*BR160+(1-EXP(-LN(2)/2))/(LN(2)/2)*BL161*BO161*VLOOKUP('Données projet'!$B$11,Paramètres!$A$1:$I$89,3,0)*0.475*44/12</f>
        <v>1.0024863202183413E-18</v>
      </c>
      <c r="BS161" s="22">
        <f t="shared" si="169"/>
        <v>0.52333819233345202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497</v>
      </c>
      <c r="BZ161" s="13">
        <f>BY161*VLOOKUP('Données projet'!$B$12,Paramètres!$A$1:$I$89,3,0)*VLOOKUP('Données projet'!$B$12,Paramètres!$A$1:$I$89,5,0)</f>
        <v>297.20600000000002</v>
      </c>
      <c r="CA161" s="13">
        <f t="shared" si="170"/>
        <v>70.590415164571112</v>
      </c>
      <c r="CB161" s="20">
        <f t="shared" si="171"/>
        <v>640.57875641162809</v>
      </c>
      <c r="CC161" s="59">
        <f t="shared" si="119"/>
        <v>933.91208974496135</v>
      </c>
      <c r="CD161" s="59">
        <f ca="1">AVERAGE(OFFSET($CC$3,0,0,'Données projet'!$E$12+1,1))-AVERAGE(OFFSET($H$3,0,0,'Données projet'!$E$12+1,1))</f>
        <v>270.30888762640245</v>
      </c>
      <c r="CE161" s="59">
        <f t="shared" si="148"/>
        <v>202.23783851977691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0.16977885727226516</v>
      </c>
      <c r="CL161" s="21">
        <f>EXP(-LN(2)/25)*CL160+(1-EXP(-LN(2)/25))/(LN(2)/25)*Calculateur!CG161*Calculateur!CI161*VLOOKUP('Données projet'!$B$12,Paramètres!$A$1:$I$89,3,0)*0.475*44/12</f>
        <v>0.35355933506118686</v>
      </c>
      <c r="CM161" s="21">
        <f>EXP(-LN(2)/2)*CM160+(1-EXP(-LN(2)/2))/(LN(2)/2)*CG161*CJ161*VLOOKUP('Données projet'!$B$12,Paramètres!$A$1:$I$89,3,0)*0.475*44/12</f>
        <v>1.0024863202183413E-18</v>
      </c>
      <c r="CN161" s="22">
        <f t="shared" si="172"/>
        <v>0.52333819233345202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3.4106051316484809E-13</v>
      </c>
      <c r="CU161" s="17">
        <f>CT161*VLOOKUP('Données projet'!$B$13,Paramètres!$A$1:$I$89,3,0)*VLOOKUP('Données projet'!$B$13,Paramètres!$A$1:$I$89,5,0)</f>
        <v>1.5961632016114892E-13</v>
      </c>
      <c r="CV161" s="13">
        <f t="shared" si="173"/>
        <v>2.2708641912150958E-12</v>
      </c>
      <c r="CW161" s="20">
        <f t="shared" si="174"/>
        <v>4.2330868906469593E-12</v>
      </c>
      <c r="CX161" s="59">
        <f t="shared" si="122"/>
        <v>293.33333333333752</v>
      </c>
      <c r="CY161" s="59">
        <f ca="1">AVERAGE(OFFSET($CX$3,0,0,'Données projet'!$E$13+1,1))-AVERAGE(OFFSET($H$3,0,0,'Données projet'!$E$13+1,1))</f>
        <v>158.58786357608489</v>
      </c>
      <c r="CZ161" s="59">
        <f t="shared" si="150"/>
        <v>163.20074068819849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3.813056537183002E-14</v>
      </c>
      <c r="DQ161" s="13">
        <f t="shared" si="176"/>
        <v>6.4086286045526829E-13</v>
      </c>
      <c r="DR161" s="20">
        <f t="shared" si="177"/>
        <v>1.1825802166488628E-12</v>
      </c>
      <c r="DS161" s="59">
        <f t="shared" si="125"/>
        <v>293.33333333333451</v>
      </c>
      <c r="DT161" s="59">
        <f ca="1">AVERAGE(OFFSET($DS$3,0,0,'Données projet'!$E$14+1,1))-AVERAGE(OFFSET($H$3,0,0,'Données projet'!$E$14+1,1))</f>
        <v>156.63226020379989</v>
      </c>
      <c r="DU161" s="59">
        <f t="shared" si="152"/>
        <v>196.0481096619543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0.24931220724829345</v>
      </c>
      <c r="EC161" s="21">
        <f>EXP(-LN(2)/2)*EC160+(1-EXP(-LN(2)/2))/(LN(2)/2)*DW161*DZ161*VLOOKUP('Données projet'!$B$14,Paramètres!$A$1:$I$89,3,0)*0.475*44/12</f>
        <v>4.9187383778248581E-19</v>
      </c>
      <c r="ED161" s="22">
        <f t="shared" si="178"/>
        <v>0.24931220724829345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1.1618589743589709</v>
      </c>
      <c r="EJ161" s="12">
        <f>IF('Données projet'!$A$192&gt;35,EJ160+EI161-ER160,IF(A161&lt;'Données projet'!$A$192,$EG$205^A161,IF(A161='Données projet'!$A$192,'Données projet'!$B$192,EJ160+EI161-ER160)))</f>
        <v>87.879807692307111</v>
      </c>
      <c r="EK161" s="17">
        <f>EJ161*VLOOKUP('Données projet'!$B$15,Paramètres!$A$1:$I$89,3,0)*VLOOKUP('Données projet'!$B$15,Paramètres!$A$1:$I$89,5,0)</f>
        <v>94.59382499999937</v>
      </c>
      <c r="EL161" s="13">
        <f t="shared" si="179"/>
        <v>25.669914576266891</v>
      </c>
      <c r="EM161" s="20">
        <f t="shared" si="180"/>
        <v>209.45934642866371</v>
      </c>
      <c r="EN161" s="59">
        <f t="shared" si="128"/>
        <v>502.79267976199702</v>
      </c>
      <c r="EO161" s="59">
        <f ca="1">AVERAGE(OFFSET($EN$3,0,0,'Données projet'!$E$15+1,1))-AVERAGE(OFFSET($H$3,0,0,'Données projet'!$E$15+1,1))</f>
        <v>211.18501783767226</v>
      </c>
      <c r="EP161" s="59">
        <f t="shared" si="154"/>
        <v>147.98306963466246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498</v>
      </c>
      <c r="FF161" s="17">
        <f>FE161*VLOOKUP('Données projet'!$B$16,Paramètres!$A$1:$I$89,3,0)*VLOOKUP('Données projet'!$B$16,Paramètres!$A$1:$I$89,5,0)</f>
        <v>297.80400000000003</v>
      </c>
      <c r="FG161" s="13">
        <f t="shared" si="182"/>
        <v>70.715900863123025</v>
      </c>
      <c r="FH161" s="20">
        <f t="shared" si="183"/>
        <v>641.83882733660596</v>
      </c>
      <c r="FI161" s="59">
        <f t="shared" si="131"/>
        <v>935.17216066993933</v>
      </c>
      <c r="FJ161" s="59">
        <f ca="1">AVERAGE(OFFSET($FI$3,0,0,'Données projet'!$E$16+1,1))-AVERAGE(OFFSET($H$3,0,0,'Données projet'!$E$16+1,1))</f>
        <v>232.26937455765062</v>
      </c>
      <c r="FK161" s="59">
        <f t="shared" si="156"/>
        <v>115.80853281120301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0.17543815251467412</v>
      </c>
      <c r="FR161" s="21">
        <f>EXP(-LN(2)/25)*FR160+(1-EXP(-LN(2)/25))/(LN(2)/25)*Calculateur!FM161*Calculateur!FO161*VLOOKUP('Données projet'!$B$16,Paramètres!$A$1:$I$89,3,0)*0.475*44/12</f>
        <v>0.12678760653636542</v>
      </c>
      <c r="FS161" s="21">
        <f>EXP(-LN(2)/2)*FS160+(1-EXP(-LN(2)/2))/(LN(2)/2)*FM161*FP161*VLOOKUP('Données projet'!$B$16,Paramètres!$A$1:$I$89,3,0)*0.475*44/12</f>
        <v>4.5513337741720575E-19</v>
      </c>
      <c r="FT161" s="22">
        <f t="shared" si="184"/>
        <v>0.30222575905103954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5.6843418860808015E-14</v>
      </c>
      <c r="GA161" s="17">
        <f>FZ161*VLOOKUP('Données projet'!$B$17,Paramètres!$A$1:$I$89,3,0)*VLOOKUP('Données projet'!$B$17,Paramètres!$A$1:$I$89,5,0)</f>
        <v>4.5224624045658861E-14</v>
      </c>
      <c r="GB161" s="13">
        <f t="shared" si="185"/>
        <v>7.4514601661523691E-13</v>
      </c>
      <c r="GC161" s="20">
        <f t="shared" si="186"/>
        <v>1.3765621991510601E-12</v>
      </c>
      <c r="GD161" s="59">
        <f t="shared" si="134"/>
        <v>293.33333333333468</v>
      </c>
      <c r="GE161" s="59">
        <f ca="1">AVERAGE(OFFSET($GD$3,0,0,'Données projet'!$E$17+1,1))-AVERAGE(OFFSET($H$3,0,0,'Données projet'!$E$17+1,1))</f>
        <v>199.58763537752952</v>
      </c>
      <c r="GF161" s="59">
        <f t="shared" si="158"/>
        <v>242.62852778451929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0.29569587371309186</v>
      </c>
      <c r="GN161" s="21">
        <f>EXP(-LN(2)/2)*GN160+(1-EXP(-LN(2)/2))/(LN(2)/2)*GH161*GK161*VLOOKUP('Données projet'!$B$17,Paramètres!$A$1:$I$89,3,0)*0.475*44/12</f>
        <v>5.8338524946294884E-19</v>
      </c>
      <c r="GO161" s="21">
        <f t="shared" si="187"/>
        <v>0.29569587371309186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1.1618589743589709</v>
      </c>
      <c r="N162" s="13">
        <f>IF('Données projet'!$A$36&gt;35,N161+M162-V161,IF(A162&lt;'Données projet'!$A$36,$K$205^A162,IF(A162='Données projet'!$A$36,'Données projet'!$B$36,N161+M162-V161)))</f>
        <v>89.041666666666089</v>
      </c>
      <c r="O162" s="13">
        <f>N162*VLOOKUP('Données projet'!$B$9,Paramètres!$A$1:$I$89,3,0)*VLOOKUP('Données projet'!$B$9,Paramètres!$A$1:$I$89,5,0)</f>
        <v>80.564899999999483</v>
      </c>
      <c r="P162" s="13">
        <f t="shared" si="141"/>
        <v>22.275248501153087</v>
      </c>
      <c r="Q162" s="20">
        <f t="shared" si="162"/>
        <v>179.11325863950739</v>
      </c>
      <c r="R162" s="59">
        <f t="shared" si="109"/>
        <v>472.44659197284068</v>
      </c>
      <c r="S162" s="59">
        <f ca="1">AVERAGE(OFFSET($R$3,0,0,'Données projet'!$E$9+1,1))-AVERAGE(OFFSET($H$3,0,0,'Données projet'!$E$9+1,1))</f>
        <v>153.45079678708987</v>
      </c>
      <c r="T162" s="59">
        <f t="shared" si="142"/>
        <v>115.4217868409637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89.041666666666089</v>
      </c>
      <c r="AJ162" s="13">
        <f>AI162*VLOOKUP('Données projet'!$B$10,Paramètres!$A$1:$I$89,3,0)*VLOOKUP('Données projet'!$B$10,Paramètres!$A$1:$I$89,5,0)</f>
        <v>90.288249999999422</v>
      </c>
      <c r="AK162" s="13">
        <f t="shared" si="164"/>
        <v>24.63473100983283</v>
      </c>
      <c r="AL162" s="20">
        <f t="shared" si="165"/>
        <v>200.15752525879114</v>
      </c>
      <c r="AM162" s="59">
        <f t="shared" si="113"/>
        <v>493.49085859212448</v>
      </c>
      <c r="AN162" s="59">
        <f ca="1">AVERAGE(OFFSET($AM$3,0,0,'Données projet'!$E$10+1,1))-AVERAGE(OFFSET($H$3,0,0,'Données projet'!$E$10+1,1))</f>
        <v>190.21499310415584</v>
      </c>
      <c r="AO162" s="59">
        <f t="shared" si="144"/>
        <v>136.15730566500173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497</v>
      </c>
      <c r="BE162" s="13">
        <f>BD162*VLOOKUP('Données projet'!$B$11,Paramètres!$A$1:$I$89,3,0)*VLOOKUP('Données projet'!$B$11,Paramètres!$A$1:$I$89,5,0)</f>
        <v>297.20600000000002</v>
      </c>
      <c r="BF162" s="13">
        <f t="shared" si="167"/>
        <v>70.590415164571112</v>
      </c>
      <c r="BG162" s="20">
        <f t="shared" si="168"/>
        <v>640.57875641162809</v>
      </c>
      <c r="BH162" s="59">
        <f t="shared" si="116"/>
        <v>933.91208974496135</v>
      </c>
      <c r="BI162" s="59">
        <f ca="1">AVERAGE(OFFSET($BH$3,0,0,'Données projet'!$E$11+1,1))-AVERAGE(OFFSET($H$3,0,0,'Données projet'!$E$11+1,1))</f>
        <v>270.30888762640245</v>
      </c>
      <c r="BJ162" s="59">
        <f t="shared" si="146"/>
        <v>202.23783851977691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0.16644959743603377</v>
      </c>
      <c r="BQ162" s="21">
        <f>EXP(-LN(2)/25)*BQ161+(1-EXP(-LN(2)/25))/(LN(2)/25)*Calculateur!BL162*Calculateur!BN162*VLOOKUP('Données projet'!$B$11,Paramètres!$A$1:$I$89,3,0)*0.475*44/12</f>
        <v>0.34389123645106134</v>
      </c>
      <c r="BR162" s="21">
        <f>EXP(-LN(2)/2)*BR161+(1-EXP(-LN(2)/2))/(LN(2)/2)*BL162*BO162*VLOOKUP('Données projet'!$B$11,Paramètres!$A$1:$I$89,3,0)*0.475*44/12</f>
        <v>7.0886487507313791E-19</v>
      </c>
      <c r="BS162" s="22">
        <f t="shared" si="169"/>
        <v>0.51034083388709517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497</v>
      </c>
      <c r="BZ162" s="13">
        <f>BY162*VLOOKUP('Données projet'!$B$12,Paramètres!$A$1:$I$89,3,0)*VLOOKUP('Données projet'!$B$12,Paramètres!$A$1:$I$89,5,0)</f>
        <v>297.20600000000002</v>
      </c>
      <c r="CA162" s="13">
        <f t="shared" si="170"/>
        <v>70.590415164571112</v>
      </c>
      <c r="CB162" s="20">
        <f t="shared" si="171"/>
        <v>640.57875641162809</v>
      </c>
      <c r="CC162" s="59">
        <f t="shared" si="119"/>
        <v>933.91208974496135</v>
      </c>
      <c r="CD162" s="59">
        <f ca="1">AVERAGE(OFFSET($CC$3,0,0,'Données projet'!$E$12+1,1))-AVERAGE(OFFSET($H$3,0,0,'Données projet'!$E$12+1,1))</f>
        <v>270.30888762640245</v>
      </c>
      <c r="CE162" s="59">
        <f t="shared" si="148"/>
        <v>202.23783851977691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0.16644959743603377</v>
      </c>
      <c r="CL162" s="21">
        <f>EXP(-LN(2)/25)*CL161+(1-EXP(-LN(2)/25))/(LN(2)/25)*Calculateur!CG162*Calculateur!CI162*VLOOKUP('Données projet'!$B$12,Paramètres!$A$1:$I$89,3,0)*0.475*44/12</f>
        <v>0.34389123645106134</v>
      </c>
      <c r="CM162" s="21">
        <f>EXP(-LN(2)/2)*CM161+(1-EXP(-LN(2)/2))/(LN(2)/2)*CG162*CJ162*VLOOKUP('Données projet'!$B$12,Paramètres!$A$1:$I$89,3,0)*0.475*44/12</f>
        <v>7.0886487507313791E-19</v>
      </c>
      <c r="CN162" s="22">
        <f t="shared" si="172"/>
        <v>0.51034083388709517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3.4106051316484809E-13</v>
      </c>
      <c r="CU162" s="17">
        <f>CT162*VLOOKUP('Données projet'!$B$13,Paramètres!$A$1:$I$89,3,0)*VLOOKUP('Données projet'!$B$13,Paramètres!$A$1:$I$89,5,0)</f>
        <v>1.5961632016114892E-13</v>
      </c>
      <c r="CV162" s="13">
        <f t="shared" si="173"/>
        <v>2.2708641912150958E-12</v>
      </c>
      <c r="CW162" s="20">
        <f t="shared" si="174"/>
        <v>4.2330868906469593E-12</v>
      </c>
      <c r="CX162" s="59">
        <f t="shared" si="122"/>
        <v>293.33333333333752</v>
      </c>
      <c r="CY162" s="59">
        <f ca="1">AVERAGE(OFFSET($CX$3,0,0,'Données projet'!$E$13+1,1))-AVERAGE(OFFSET($H$3,0,0,'Données projet'!$E$13+1,1))</f>
        <v>158.58786357608489</v>
      </c>
      <c r="CZ162" s="59">
        <f t="shared" si="150"/>
        <v>163.20074068819849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3.813056537183002E-14</v>
      </c>
      <c r="DQ162" s="13">
        <f t="shared" si="176"/>
        <v>6.4086286045526829E-13</v>
      </c>
      <c r="DR162" s="20">
        <f t="shared" si="177"/>
        <v>1.1825802166488628E-12</v>
      </c>
      <c r="DS162" s="59">
        <f t="shared" si="125"/>
        <v>293.33333333333451</v>
      </c>
      <c r="DT162" s="59">
        <f ca="1">AVERAGE(OFFSET($DS$3,0,0,'Données projet'!$E$14+1,1))-AVERAGE(OFFSET($H$3,0,0,'Données projet'!$E$14+1,1))</f>
        <v>156.63226020379989</v>
      </c>
      <c r="DU162" s="59">
        <f t="shared" si="152"/>
        <v>196.0481096619543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0.2424947518303297</v>
      </c>
      <c r="EC162" s="21">
        <f>EXP(-LN(2)/2)*EC161+(1-EXP(-LN(2)/2))/(LN(2)/2)*DW162*DZ162*VLOOKUP('Données projet'!$B$14,Paramètres!$A$1:$I$89,3,0)*0.475*44/12</f>
        <v>3.4780732618424757E-19</v>
      </c>
      <c r="ED162" s="22">
        <f t="shared" si="178"/>
        <v>0.2424947518303297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1.1618589743589709</v>
      </c>
      <c r="EJ162" s="12">
        <f>IF('Données projet'!$A$192&gt;35,EJ161+EI162-ER161,IF(A162&lt;'Données projet'!$A$192,$EG$205^A162,IF(A162='Données projet'!$A$192,'Données projet'!$B$192,EJ161+EI162-ER161)))</f>
        <v>89.041666666666089</v>
      </c>
      <c r="EK162" s="17">
        <f>EJ162*VLOOKUP('Données projet'!$B$15,Paramètres!$A$1:$I$89,3,0)*VLOOKUP('Données projet'!$B$15,Paramètres!$A$1:$I$89,5,0)</f>
        <v>95.84444999999937</v>
      </c>
      <c r="EL162" s="13">
        <f t="shared" si="179"/>
        <v>25.969562851177397</v>
      </c>
      <c r="EM162" s="20">
        <f t="shared" si="180"/>
        <v>212.15940571579952</v>
      </c>
      <c r="EN162" s="59">
        <f t="shared" si="128"/>
        <v>505.49273904913287</v>
      </c>
      <c r="EO162" s="59">
        <f ca="1">AVERAGE(OFFSET($EN$3,0,0,'Données projet'!$E$15+1,1))-AVERAGE(OFFSET($H$3,0,0,'Données projet'!$E$15+1,1))</f>
        <v>211.18501783767226</v>
      </c>
      <c r="EP162" s="59">
        <f t="shared" si="154"/>
        <v>147.98306963466246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498</v>
      </c>
      <c r="FF162" s="17">
        <f>FE162*VLOOKUP('Données projet'!$B$16,Paramètres!$A$1:$I$89,3,0)*VLOOKUP('Données projet'!$B$16,Paramètres!$A$1:$I$89,5,0)</f>
        <v>297.80400000000003</v>
      </c>
      <c r="FG162" s="13">
        <f t="shared" si="182"/>
        <v>70.715900863123025</v>
      </c>
      <c r="FH162" s="20">
        <f t="shared" si="183"/>
        <v>641.83882733660596</v>
      </c>
      <c r="FI162" s="59">
        <f t="shared" si="131"/>
        <v>935.17216066993933</v>
      </c>
      <c r="FJ162" s="59">
        <f ca="1">AVERAGE(OFFSET($FI$3,0,0,'Données projet'!$E$16+1,1))-AVERAGE(OFFSET($H$3,0,0,'Données projet'!$E$16+1,1))</f>
        <v>232.26937455765062</v>
      </c>
      <c r="FK162" s="59">
        <f t="shared" si="156"/>
        <v>115.80853281120301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0.17199791735056835</v>
      </c>
      <c r="FR162" s="21">
        <f>EXP(-LN(2)/25)*FR161+(1-EXP(-LN(2)/25))/(LN(2)/25)*Calculateur!FM162*Calculateur!FO162*VLOOKUP('Données projet'!$B$16,Paramètres!$A$1:$I$89,3,0)*0.475*44/12</f>
        <v>0.12332059276815806</v>
      </c>
      <c r="FS162" s="21">
        <f>EXP(-LN(2)/2)*FS161+(1-EXP(-LN(2)/2))/(LN(2)/2)*FM162*FP162*VLOOKUP('Données projet'!$B$16,Paramètres!$A$1:$I$89,3,0)*0.475*44/12</f>
        <v>3.2182789751604247E-19</v>
      </c>
      <c r="FT162" s="22">
        <f t="shared" si="184"/>
        <v>0.2953185101187264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5.6843418860808015E-14</v>
      </c>
      <c r="GA162" s="17">
        <f>FZ162*VLOOKUP('Données projet'!$B$17,Paramètres!$A$1:$I$89,3,0)*VLOOKUP('Données projet'!$B$17,Paramètres!$A$1:$I$89,5,0)</f>
        <v>4.5224624045658861E-14</v>
      </c>
      <c r="GB162" s="13">
        <f t="shared" si="185"/>
        <v>7.4514601661523691E-13</v>
      </c>
      <c r="GC162" s="20">
        <f t="shared" si="186"/>
        <v>1.3765621991510601E-12</v>
      </c>
      <c r="GD162" s="59">
        <f t="shared" si="134"/>
        <v>293.33333333333468</v>
      </c>
      <c r="GE162" s="59">
        <f ca="1">AVERAGE(OFFSET($GD$3,0,0,'Données projet'!$E$17+1,1))-AVERAGE(OFFSET($H$3,0,0,'Données projet'!$E$17+1,1))</f>
        <v>199.58763537752952</v>
      </c>
      <c r="GF162" s="59">
        <f t="shared" si="158"/>
        <v>242.62852778451929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0.28761005449643717</v>
      </c>
      <c r="GN162" s="21">
        <f>EXP(-LN(2)/2)*GN161+(1-EXP(-LN(2)/2))/(LN(2)/2)*GH162*GK162*VLOOKUP('Données projet'!$B$17,Paramètres!$A$1:$I$89,3,0)*0.475*44/12</f>
        <v>4.1251566593945681E-19</v>
      </c>
      <c r="GO162" s="21">
        <f t="shared" si="187"/>
        <v>0.28761005449643717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1.1618589743589709</v>
      </c>
      <c r="N163" s="13">
        <f>IF('Données projet'!$A$36&gt;35,N162+M163-V162,IF(A163&lt;'Données projet'!$A$36,$K$205^A163,IF(A163='Données projet'!$A$36,'Données projet'!$B$36,N162+M163-V162)))</f>
        <v>90.203525641025067</v>
      </c>
      <c r="O163" s="13">
        <f>N163*VLOOKUP('Données projet'!$B$9,Paramètres!$A$1:$I$89,3,0)*VLOOKUP('Données projet'!$B$9,Paramètres!$A$1:$I$89,5,0)</f>
        <v>81.616149999999479</v>
      </c>
      <c r="P163" s="13">
        <f t="shared" si="141"/>
        <v>22.531880055891996</v>
      </c>
      <c r="Q163" s="20">
        <f t="shared" si="162"/>
        <v>181.39115234734427</v>
      </c>
      <c r="R163" s="59">
        <f t="shared" si="109"/>
        <v>474.72448568067762</v>
      </c>
      <c r="S163" s="59">
        <f ca="1">AVERAGE(OFFSET($R$3,0,0,'Données projet'!$E$9+1,1))-AVERAGE(OFFSET($H$3,0,0,'Données projet'!$E$9+1,1))</f>
        <v>153.45079678708987</v>
      </c>
      <c r="T163" s="59">
        <f t="shared" si="142"/>
        <v>115.4217868409637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90.203525641025067</v>
      </c>
      <c r="AJ163" s="13">
        <f>AI163*VLOOKUP('Données projet'!$B$10,Paramètres!$A$1:$I$89,3,0)*VLOOKUP('Données projet'!$B$10,Paramètres!$A$1:$I$89,5,0)</f>
        <v>91.466374999999431</v>
      </c>
      <c r="AK163" s="13">
        <f t="shared" si="164"/>
        <v>24.918545994850888</v>
      </c>
      <c r="AL163" s="20">
        <f t="shared" si="165"/>
        <v>202.70373739936429</v>
      </c>
      <c r="AM163" s="59">
        <f t="shared" si="113"/>
        <v>496.0370707326976</v>
      </c>
      <c r="AN163" s="59">
        <f ca="1">AVERAGE(OFFSET($AM$3,0,0,'Données projet'!$E$10+1,1))-AVERAGE(OFFSET($H$3,0,0,'Données projet'!$E$10+1,1))</f>
        <v>190.21499310415584</v>
      </c>
      <c r="AO163" s="59">
        <f t="shared" si="144"/>
        <v>136.15730566500173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497</v>
      </c>
      <c r="BE163" s="13">
        <f>BD163*VLOOKUP('Données projet'!$B$11,Paramètres!$A$1:$I$89,3,0)*VLOOKUP('Données projet'!$B$11,Paramètres!$A$1:$I$89,5,0)</f>
        <v>297.20600000000002</v>
      </c>
      <c r="BF163" s="13">
        <f t="shared" si="167"/>
        <v>70.590415164571112</v>
      </c>
      <c r="BG163" s="20">
        <f t="shared" si="168"/>
        <v>640.57875641162809</v>
      </c>
      <c r="BH163" s="59">
        <f t="shared" si="116"/>
        <v>933.91208974496135</v>
      </c>
      <c r="BI163" s="59">
        <f ca="1">AVERAGE(OFFSET($BH$3,0,0,'Données projet'!$E$11+1,1))-AVERAGE(OFFSET($H$3,0,0,'Données projet'!$E$11+1,1))</f>
        <v>270.30888762640245</v>
      </c>
      <c r="BJ163" s="59">
        <f t="shared" si="146"/>
        <v>202.23783851977691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0.1631856223545429</v>
      </c>
      <c r="BQ163" s="21">
        <f>EXP(-LN(2)/25)*BQ162+(1-EXP(-LN(2)/25))/(LN(2)/25)*Calculateur!BL163*Calculateur!BN163*VLOOKUP('Données projet'!$B$11,Paramètres!$A$1:$I$89,3,0)*0.475*44/12</f>
        <v>0.3344875125058529</v>
      </c>
      <c r="BR163" s="21">
        <f>EXP(-LN(2)/2)*BR162+(1-EXP(-LN(2)/2))/(LN(2)/2)*BL163*BO163*VLOOKUP('Données projet'!$B$11,Paramètres!$A$1:$I$89,3,0)*0.475*44/12</f>
        <v>5.0124316010917067E-19</v>
      </c>
      <c r="BS163" s="22">
        <f t="shared" si="169"/>
        <v>0.49767313486039577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497</v>
      </c>
      <c r="BZ163" s="13">
        <f>BY163*VLOOKUP('Données projet'!$B$12,Paramètres!$A$1:$I$89,3,0)*VLOOKUP('Données projet'!$B$12,Paramètres!$A$1:$I$89,5,0)</f>
        <v>297.20600000000002</v>
      </c>
      <c r="CA163" s="13">
        <f t="shared" si="170"/>
        <v>70.590415164571112</v>
      </c>
      <c r="CB163" s="20">
        <f t="shared" si="171"/>
        <v>640.57875641162809</v>
      </c>
      <c r="CC163" s="59">
        <f t="shared" si="119"/>
        <v>933.91208974496135</v>
      </c>
      <c r="CD163" s="59">
        <f ca="1">AVERAGE(OFFSET($CC$3,0,0,'Données projet'!$E$12+1,1))-AVERAGE(OFFSET($H$3,0,0,'Données projet'!$E$12+1,1))</f>
        <v>270.30888762640245</v>
      </c>
      <c r="CE163" s="59">
        <f t="shared" si="148"/>
        <v>202.23783851977691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0.1631856223545429</v>
      </c>
      <c r="CL163" s="21">
        <f>EXP(-LN(2)/25)*CL162+(1-EXP(-LN(2)/25))/(LN(2)/25)*Calculateur!CG163*Calculateur!CI163*VLOOKUP('Données projet'!$B$12,Paramètres!$A$1:$I$89,3,0)*0.475*44/12</f>
        <v>0.3344875125058529</v>
      </c>
      <c r="CM163" s="21">
        <f>EXP(-LN(2)/2)*CM162+(1-EXP(-LN(2)/2))/(LN(2)/2)*CG163*CJ163*VLOOKUP('Données projet'!$B$12,Paramètres!$A$1:$I$89,3,0)*0.475*44/12</f>
        <v>5.0124316010917067E-19</v>
      </c>
      <c r="CN163" s="22">
        <f t="shared" si="172"/>
        <v>0.49767313486039577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3.4106051316484809E-13</v>
      </c>
      <c r="CU163" s="17">
        <f>CT163*VLOOKUP('Données projet'!$B$13,Paramètres!$A$1:$I$89,3,0)*VLOOKUP('Données projet'!$B$13,Paramètres!$A$1:$I$89,5,0)</f>
        <v>1.5961632016114892E-13</v>
      </c>
      <c r="CV163" s="13">
        <f t="shared" si="173"/>
        <v>2.2708641912150958E-12</v>
      </c>
      <c r="CW163" s="20">
        <f t="shared" si="174"/>
        <v>4.2330868906469593E-12</v>
      </c>
      <c r="CX163" s="59">
        <f t="shared" si="122"/>
        <v>293.33333333333752</v>
      </c>
      <c r="CY163" s="59">
        <f ca="1">AVERAGE(OFFSET($CX$3,0,0,'Données projet'!$E$13+1,1))-AVERAGE(OFFSET($H$3,0,0,'Données projet'!$E$13+1,1))</f>
        <v>158.58786357608489</v>
      </c>
      <c r="CZ163" s="59">
        <f t="shared" si="150"/>
        <v>163.20074068819849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3.813056537183002E-14</v>
      </c>
      <c r="DQ163" s="13">
        <f t="shared" si="176"/>
        <v>6.4086286045526829E-13</v>
      </c>
      <c r="DR163" s="20">
        <f t="shared" si="177"/>
        <v>1.1825802166488628E-12</v>
      </c>
      <c r="DS163" s="59">
        <f t="shared" si="125"/>
        <v>293.33333333333451</v>
      </c>
      <c r="DT163" s="59">
        <f ca="1">AVERAGE(OFFSET($DS$3,0,0,'Données projet'!$E$14+1,1))-AVERAGE(OFFSET($H$3,0,0,'Données projet'!$E$14+1,1))</f>
        <v>156.63226020379989</v>
      </c>
      <c r="DU163" s="59">
        <f t="shared" si="152"/>
        <v>196.0481096619543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0.23586372008928458</v>
      </c>
      <c r="EC163" s="21">
        <f>EXP(-LN(2)/2)*EC162+(1-EXP(-LN(2)/2))/(LN(2)/2)*DW163*DZ163*VLOOKUP('Données projet'!$B$14,Paramètres!$A$1:$I$89,3,0)*0.475*44/12</f>
        <v>2.4593691889124291E-19</v>
      </c>
      <c r="ED163" s="22">
        <f t="shared" si="178"/>
        <v>0.23586372008928458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1.1618589743589709</v>
      </c>
      <c r="EJ163" s="12">
        <f>IF('Données projet'!$A$192&gt;35,EJ162+EI163-ER162,IF(A163&lt;'Données projet'!$A$192,$EG$205^A163,IF(A163='Données projet'!$A$192,'Données projet'!$B$192,EJ162+EI163-ER162)))</f>
        <v>90.203525641025067</v>
      </c>
      <c r="EK163" s="17">
        <f>EJ163*VLOOKUP('Données projet'!$B$15,Paramètres!$A$1:$I$89,3,0)*VLOOKUP('Données projet'!$B$15,Paramètres!$A$1:$I$89,5,0)</f>
        <v>97.095074999999383</v>
      </c>
      <c r="EL163" s="13">
        <f t="shared" si="179"/>
        <v>26.268756338964639</v>
      </c>
      <c r="EM163" s="20">
        <f t="shared" si="180"/>
        <v>214.85867291536229</v>
      </c>
      <c r="EN163" s="59">
        <f t="shared" si="128"/>
        <v>508.19200624869563</v>
      </c>
      <c r="EO163" s="59">
        <f ca="1">AVERAGE(OFFSET($EN$3,0,0,'Données projet'!$E$15+1,1))-AVERAGE(OFFSET($H$3,0,0,'Données projet'!$E$15+1,1))</f>
        <v>211.18501783767226</v>
      </c>
      <c r="EP163" s="59">
        <f t="shared" si="154"/>
        <v>147.98306963466246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498</v>
      </c>
      <c r="FF163" s="17">
        <f>FE163*VLOOKUP('Données projet'!$B$16,Paramètres!$A$1:$I$89,3,0)*VLOOKUP('Données projet'!$B$16,Paramètres!$A$1:$I$89,5,0)</f>
        <v>297.80400000000003</v>
      </c>
      <c r="FG163" s="13">
        <f t="shared" si="182"/>
        <v>70.715900863123025</v>
      </c>
      <c r="FH163" s="20">
        <f t="shared" si="183"/>
        <v>641.83882733660596</v>
      </c>
      <c r="FI163" s="59">
        <f t="shared" si="131"/>
        <v>935.17216066993933</v>
      </c>
      <c r="FJ163" s="59">
        <f ca="1">AVERAGE(OFFSET($FI$3,0,0,'Données projet'!$E$16+1,1))-AVERAGE(OFFSET($H$3,0,0,'Données projet'!$E$16+1,1))</f>
        <v>232.26937455765062</v>
      </c>
      <c r="FK163" s="59">
        <f t="shared" si="156"/>
        <v>115.80853281120301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0.16862514309969445</v>
      </c>
      <c r="FR163" s="21">
        <f>EXP(-LN(2)/25)*FR162+(1-EXP(-LN(2)/25))/(LN(2)/25)*Calculateur!FM163*Calculateur!FO163*VLOOKUP('Données projet'!$B$16,Paramètres!$A$1:$I$89,3,0)*0.475*44/12</f>
        <v>0.11994838467376466</v>
      </c>
      <c r="FS163" s="21">
        <f>EXP(-LN(2)/2)*FS162+(1-EXP(-LN(2)/2))/(LN(2)/2)*FM163*FP163*VLOOKUP('Données projet'!$B$16,Paramètres!$A$1:$I$89,3,0)*0.475*44/12</f>
        <v>2.2756668870860288E-19</v>
      </c>
      <c r="FT163" s="22">
        <f t="shared" si="184"/>
        <v>0.28857352777345913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5.6843418860808015E-14</v>
      </c>
      <c r="GA163" s="17">
        <f>FZ163*VLOOKUP('Données projet'!$B$17,Paramètres!$A$1:$I$89,3,0)*VLOOKUP('Données projet'!$B$17,Paramètres!$A$1:$I$89,5,0)</f>
        <v>4.5224624045658861E-14</v>
      </c>
      <c r="GB163" s="13">
        <f t="shared" si="185"/>
        <v>7.4514601661523691E-13</v>
      </c>
      <c r="GC163" s="20">
        <f t="shared" si="186"/>
        <v>1.3765621991510601E-12</v>
      </c>
      <c r="GD163" s="59">
        <f t="shared" si="134"/>
        <v>293.33333333333468</v>
      </c>
      <c r="GE163" s="59">
        <f ca="1">AVERAGE(OFFSET($GD$3,0,0,'Données projet'!$E$17+1,1))-AVERAGE(OFFSET($H$3,0,0,'Données projet'!$E$17+1,1))</f>
        <v>199.58763537752952</v>
      </c>
      <c r="GF163" s="59">
        <f t="shared" si="158"/>
        <v>242.62852778451929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0.2797453424314767</v>
      </c>
      <c r="GN163" s="21">
        <f>EXP(-LN(2)/2)*GN162+(1-EXP(-LN(2)/2))/(LN(2)/2)*GH163*GK163*VLOOKUP('Données projet'!$B$17,Paramètres!$A$1:$I$89,3,0)*0.475*44/12</f>
        <v>2.9169262473147442E-19</v>
      </c>
      <c r="GO163" s="21">
        <f t="shared" si="187"/>
        <v>0.2797453424314767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91.365384615384613</v>
      </c>
      <c r="L164" s="12">
        <f>VLOOKUP(A164,'Données projet'!$A$35:$I$55,9,0)</f>
        <v>1.1618589743589709</v>
      </c>
      <c r="M164" s="12">
        <f t="array" ref="M164">INDEX(L:L,MIN(IF(ISNUMBER(L164:L360),ROW(L164:L360),"")))</f>
        <v>1.1618589743589709</v>
      </c>
      <c r="N164" s="13">
        <f>IF('Données projet'!$A$36&gt;35,N163+M164-V163,IF(A164&lt;'Données projet'!$A$36,$K$205^A164,IF(A164='Données projet'!$A$36,'Données projet'!$B$36,N163+M164-V163)))</f>
        <v>91.365384615384045</v>
      </c>
      <c r="O164" s="13">
        <f>N164*VLOOKUP('Données projet'!$B$9,Paramètres!$A$1:$I$89,3,0)*VLOOKUP('Données projet'!$B$9,Paramètres!$A$1:$I$89,5,0)</f>
        <v>82.667399999999489</v>
      </c>
      <c r="P164" s="13">
        <f t="shared" si="141"/>
        <v>22.788127124999448</v>
      </c>
      <c r="Q164" s="20">
        <f t="shared" si="162"/>
        <v>183.66837640937317</v>
      </c>
      <c r="R164" s="59">
        <f t="shared" si="109"/>
        <v>477.00170974270645</v>
      </c>
      <c r="S164" s="59">
        <f ca="1">AVERAGE(OFFSET($R$3,0,0,'Données projet'!$E$9+1,1))-AVERAGE(OFFSET($H$3,0,0,'Données projet'!$E$9+1,1))</f>
        <v>153.45079678708987</v>
      </c>
      <c r="T164" s="59">
        <f t="shared" si="142"/>
        <v>115.4217868409637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91.365384615384613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91.365384615384045</v>
      </c>
      <c r="AJ164" s="13">
        <f>AI164*VLOOKUP('Données projet'!$B$10,Paramètres!$A$1:$I$89,3,0)*VLOOKUP('Données projet'!$B$10,Paramètres!$A$1:$I$89,5,0)</f>
        <v>92.644499999999425</v>
      </c>
      <c r="AK164" s="13">
        <f t="shared" si="164"/>
        <v>25.201935767997195</v>
      </c>
      <c r="AL164" s="20">
        <f t="shared" si="165"/>
        <v>205.24920896259411</v>
      </c>
      <c r="AM164" s="59">
        <f t="shared" si="113"/>
        <v>498.5825422959274</v>
      </c>
      <c r="AN164" s="59">
        <f ca="1">AVERAGE(OFFSET($AM$3,0,0,'Données projet'!$E$10+1,1))-AVERAGE(OFFSET($H$3,0,0,'Données projet'!$E$10+1,1))</f>
        <v>190.21499310415584</v>
      </c>
      <c r="AO164" s="59">
        <f t="shared" si="144"/>
        <v>136.15730566500173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497</v>
      </c>
      <c r="BE164" s="13">
        <f>BD164*VLOOKUP('Données projet'!$B$11,Paramètres!$A$1:$I$89,3,0)*VLOOKUP('Données projet'!$B$11,Paramètres!$A$1:$I$89,5,0)</f>
        <v>297.20600000000002</v>
      </c>
      <c r="BF164" s="13">
        <f t="shared" si="167"/>
        <v>70.590415164571112</v>
      </c>
      <c r="BG164" s="20">
        <f t="shared" si="168"/>
        <v>640.57875641162809</v>
      </c>
      <c r="BH164" s="59">
        <f t="shared" si="116"/>
        <v>933.91208974496135</v>
      </c>
      <c r="BI164" s="59">
        <f ca="1">AVERAGE(OFFSET($BH$3,0,0,'Données projet'!$E$11+1,1))-AVERAGE(OFFSET($H$3,0,0,'Données projet'!$E$11+1,1))</f>
        <v>270.30888762640245</v>
      </c>
      <c r="BJ164" s="59">
        <f t="shared" si="146"/>
        <v>202.23783851977691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0.15998565183357183</v>
      </c>
      <c r="BQ164" s="21">
        <f>EXP(-LN(2)/25)*BQ163+(1-EXP(-LN(2)/25))/(LN(2)/25)*Calculateur!BL164*Calculateur!BN164*VLOOKUP('Données projet'!$B$11,Paramètres!$A$1:$I$89,3,0)*0.475*44/12</f>
        <v>0.32534093388644653</v>
      </c>
      <c r="BR164" s="21">
        <f>EXP(-LN(2)/2)*BR163+(1-EXP(-LN(2)/2))/(LN(2)/2)*BL164*BO164*VLOOKUP('Données projet'!$B$11,Paramètres!$A$1:$I$89,3,0)*0.475*44/12</f>
        <v>3.5443243753656895E-19</v>
      </c>
      <c r="BS164" s="22">
        <f t="shared" si="169"/>
        <v>0.48532658572001836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497</v>
      </c>
      <c r="BZ164" s="13">
        <f>BY164*VLOOKUP('Données projet'!$B$12,Paramètres!$A$1:$I$89,3,0)*VLOOKUP('Données projet'!$B$12,Paramètres!$A$1:$I$89,5,0)</f>
        <v>297.20600000000002</v>
      </c>
      <c r="CA164" s="13">
        <f t="shared" si="170"/>
        <v>70.590415164571112</v>
      </c>
      <c r="CB164" s="20">
        <f t="shared" si="171"/>
        <v>640.57875641162809</v>
      </c>
      <c r="CC164" s="59">
        <f t="shared" si="119"/>
        <v>933.91208974496135</v>
      </c>
      <c r="CD164" s="59">
        <f ca="1">AVERAGE(OFFSET($CC$3,0,0,'Données projet'!$E$12+1,1))-AVERAGE(OFFSET($H$3,0,0,'Données projet'!$E$12+1,1))</f>
        <v>270.30888762640245</v>
      </c>
      <c r="CE164" s="59">
        <f t="shared" si="148"/>
        <v>202.23783851977691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0.15998565183357183</v>
      </c>
      <c r="CL164" s="21">
        <f>EXP(-LN(2)/25)*CL163+(1-EXP(-LN(2)/25))/(LN(2)/25)*Calculateur!CG164*Calculateur!CI164*VLOOKUP('Données projet'!$B$12,Paramètres!$A$1:$I$89,3,0)*0.475*44/12</f>
        <v>0.32534093388644653</v>
      </c>
      <c r="CM164" s="21">
        <f>EXP(-LN(2)/2)*CM163+(1-EXP(-LN(2)/2))/(LN(2)/2)*CG164*CJ164*VLOOKUP('Données projet'!$B$12,Paramètres!$A$1:$I$89,3,0)*0.475*44/12</f>
        <v>3.5443243753656895E-19</v>
      </c>
      <c r="CN164" s="22">
        <f t="shared" si="172"/>
        <v>0.48532658572001836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3.4106051316484809E-13</v>
      </c>
      <c r="CU164" s="17">
        <f>CT164*VLOOKUP('Données projet'!$B$13,Paramètres!$A$1:$I$89,3,0)*VLOOKUP('Données projet'!$B$13,Paramètres!$A$1:$I$89,5,0)</f>
        <v>1.5961632016114892E-13</v>
      </c>
      <c r="CV164" s="13">
        <f t="shared" si="173"/>
        <v>2.2708641912150958E-12</v>
      </c>
      <c r="CW164" s="20">
        <f t="shared" si="174"/>
        <v>4.2330868906469593E-12</v>
      </c>
      <c r="CX164" s="59">
        <f t="shared" si="122"/>
        <v>293.33333333333752</v>
      </c>
      <c r="CY164" s="59">
        <f ca="1">AVERAGE(OFFSET($CX$3,0,0,'Données projet'!$E$13+1,1))-AVERAGE(OFFSET($H$3,0,0,'Données projet'!$E$13+1,1))</f>
        <v>158.58786357608489</v>
      </c>
      <c r="CZ164" s="59">
        <f t="shared" si="150"/>
        <v>163.20074068819849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3.813056537183002E-14</v>
      </c>
      <c r="DQ164" s="13">
        <f t="shared" si="176"/>
        <v>6.4086286045526829E-13</v>
      </c>
      <c r="DR164" s="20">
        <f t="shared" si="177"/>
        <v>1.1825802166488628E-12</v>
      </c>
      <c r="DS164" s="59">
        <f t="shared" si="125"/>
        <v>293.33333333333451</v>
      </c>
      <c r="DT164" s="59">
        <f ca="1">AVERAGE(OFFSET($DS$3,0,0,'Données projet'!$E$14+1,1))-AVERAGE(OFFSET($H$3,0,0,'Données projet'!$E$14+1,1))</f>
        <v>156.63226020379989</v>
      </c>
      <c r="DU164" s="59">
        <f t="shared" si="152"/>
        <v>196.0481096619543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0.22941401425990912</v>
      </c>
      <c r="EC164" s="21">
        <f>EXP(-LN(2)/2)*EC163+(1-EXP(-LN(2)/2))/(LN(2)/2)*DW164*DZ164*VLOOKUP('Données projet'!$B$14,Paramètres!$A$1:$I$89,3,0)*0.475*44/12</f>
        <v>1.7390366309212378E-19</v>
      </c>
      <c r="ED164" s="22">
        <f t="shared" si="178"/>
        <v>0.22941401425990912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projet'!$A$191:$I$211,2,0)</f>
        <v>91.365384615384613</v>
      </c>
      <c r="EH164" s="12">
        <f>VLOOKUP(A164,'Données projet'!$A$191:$I$211,9,0)</f>
        <v>1.1618589743589709</v>
      </c>
      <c r="EI164" s="12">
        <f t="array" ref="EI164">INDEX(EH:EH,MIN(IF(ISNUMBER(EH164:EH360),ROW(EH164:EH360),"")))</f>
        <v>1.1618589743589709</v>
      </c>
      <c r="EJ164" s="12">
        <f>IF('Données projet'!$A$192&gt;35,EJ163+EI164-ER163,IF(A164&lt;'Données projet'!$A$192,$EG$205^A164,IF(A164='Données projet'!$A$192,'Données projet'!$B$192,EJ163+EI164-ER163)))</f>
        <v>91.365384615384045</v>
      </c>
      <c r="EK164" s="17">
        <f>EJ164*VLOOKUP('Données projet'!$B$15,Paramètres!$A$1:$I$89,3,0)*VLOOKUP('Données projet'!$B$15,Paramètres!$A$1:$I$89,5,0)</f>
        <v>98.345699999999383</v>
      </c>
      <c r="EL164" s="13">
        <f t="shared" si="179"/>
        <v>26.567501574793127</v>
      </c>
      <c r="EM164" s="20">
        <f t="shared" si="180"/>
        <v>217.55715940943028</v>
      </c>
      <c r="EN164" s="59">
        <f t="shared" si="128"/>
        <v>510.89049274276363</v>
      </c>
      <c r="EO164" s="59">
        <f ca="1">AVERAGE(OFFSET($EN$3,0,0,'Données projet'!$E$15+1,1))-AVERAGE(OFFSET($H$3,0,0,'Données projet'!$E$15+1,1))</f>
        <v>211.18501783767226</v>
      </c>
      <c r="EP164" s="59">
        <f t="shared" si="154"/>
        <v>147.98306963466246</v>
      </c>
      <c r="EQ164" s="15">
        <f>IF(ISNA(VLOOKUP(A164,'Données projet'!$A$191:$I$211,3,0)),0,VLOOKUP(A164,'Données projet'!$A$191:$I$211,3,0))</f>
        <v>15</v>
      </c>
      <c r="ER164" s="15">
        <f>IF(ISNA(VLOOKUP(A164,'Données projet'!$A$191:$I$211,4,0)),0,VLOOKUP(A164,'Données projet'!$A$191:$I$211,4,0))</f>
        <v>91.365384615384613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498</v>
      </c>
      <c r="FF164" s="17">
        <f>FE164*VLOOKUP('Données projet'!$B$16,Paramètres!$A$1:$I$89,3,0)*VLOOKUP('Données projet'!$B$16,Paramètres!$A$1:$I$89,5,0)</f>
        <v>297.80400000000003</v>
      </c>
      <c r="FG164" s="13">
        <f t="shared" si="182"/>
        <v>70.715900863123025</v>
      </c>
      <c r="FH164" s="20">
        <f t="shared" si="183"/>
        <v>641.83882733660596</v>
      </c>
      <c r="FI164" s="59">
        <f t="shared" si="131"/>
        <v>935.17216066993933</v>
      </c>
      <c r="FJ164" s="59">
        <f ca="1">AVERAGE(OFFSET($FI$3,0,0,'Données projet'!$E$16+1,1))-AVERAGE(OFFSET($H$3,0,0,'Données projet'!$E$16+1,1))</f>
        <v>232.26937455765062</v>
      </c>
      <c r="FK164" s="59">
        <f t="shared" si="156"/>
        <v>115.80853281120301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0.16531850689469102</v>
      </c>
      <c r="FR164" s="21">
        <f>EXP(-LN(2)/25)*FR163+(1-EXP(-LN(2)/25))/(LN(2)/25)*Calculateur!FM164*Calculateur!FO164*VLOOKUP('Données projet'!$B$16,Paramètres!$A$1:$I$89,3,0)*0.475*44/12</f>
        <v>0.11666838978704916</v>
      </c>
      <c r="FS164" s="21">
        <f>EXP(-LN(2)/2)*FS163+(1-EXP(-LN(2)/2))/(LN(2)/2)*FM164*FP164*VLOOKUP('Données projet'!$B$16,Paramètres!$A$1:$I$89,3,0)*0.475*44/12</f>
        <v>1.6091394875802123E-19</v>
      </c>
      <c r="FT164" s="22">
        <f t="shared" si="184"/>
        <v>0.28198689668174015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5.6843418860808015E-14</v>
      </c>
      <c r="GA164" s="17">
        <f>FZ164*VLOOKUP('Données projet'!$B$17,Paramètres!$A$1:$I$89,3,0)*VLOOKUP('Données projet'!$B$17,Paramètres!$A$1:$I$89,5,0)</f>
        <v>4.5224624045658861E-14</v>
      </c>
      <c r="GB164" s="13">
        <f t="shared" si="185"/>
        <v>7.4514601661523691E-13</v>
      </c>
      <c r="GC164" s="20">
        <f t="shared" si="186"/>
        <v>1.3765621991510601E-12</v>
      </c>
      <c r="GD164" s="59">
        <f t="shared" si="134"/>
        <v>293.33333333333468</v>
      </c>
      <c r="GE164" s="59">
        <f ca="1">AVERAGE(OFFSET($GD$3,0,0,'Données projet'!$E$17+1,1))-AVERAGE(OFFSET($H$3,0,0,'Données projet'!$E$17+1,1))</f>
        <v>199.58763537752952</v>
      </c>
      <c r="GF164" s="59">
        <f t="shared" si="158"/>
        <v>242.62852778451929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0.27209569133151978</v>
      </c>
      <c r="GN164" s="21">
        <f>EXP(-LN(2)/2)*GN163+(1-EXP(-LN(2)/2))/(LN(2)/2)*GH164*GK164*VLOOKUP('Données projet'!$B$17,Paramètres!$A$1:$I$89,3,0)*0.475*44/12</f>
        <v>2.0625783296972841E-19</v>
      </c>
      <c r="GO164" s="21">
        <f t="shared" si="187"/>
        <v>0.27209569133151978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-5.1431925385259092E-13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153.45079678708987</v>
      </c>
      <c r="T165" s="59">
        <f t="shared" si="142"/>
        <v>115.4217868409637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-5.6843418860808015E-13</v>
      </c>
      <c r="AJ165" s="13">
        <f>AI165*VLOOKUP('Données projet'!$B$10,Paramètres!$A$1:$I$89,3,0)*VLOOKUP('Données projet'!$B$10,Paramètres!$A$1:$I$89,5,0)</f>
        <v>-5.763922672485933E-13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190.21499310415584</v>
      </c>
      <c r="AO165" s="59">
        <f t="shared" si="144"/>
        <v>136.15730566500173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497</v>
      </c>
      <c r="BE165" s="13">
        <f>BD165*VLOOKUP('Données projet'!$B$11,Paramètres!$A$1:$I$89,3,0)*VLOOKUP('Données projet'!$B$11,Paramètres!$A$1:$I$89,5,0)</f>
        <v>297.20600000000002</v>
      </c>
      <c r="BF165" s="13">
        <f t="shared" si="167"/>
        <v>70.590415164571112</v>
      </c>
      <c r="BG165" s="20">
        <f t="shared" si="168"/>
        <v>640.57875641162809</v>
      </c>
      <c r="BH165" s="59">
        <f t="shared" si="116"/>
        <v>933.91208974496135</v>
      </c>
      <c r="BI165" s="59">
        <f ca="1">AVERAGE(OFFSET($BH$3,0,0,'Données projet'!$E$11+1,1))-AVERAGE(OFFSET($H$3,0,0,'Données projet'!$E$11+1,1))</f>
        <v>270.30888762640245</v>
      </c>
      <c r="BJ165" s="59">
        <f t="shared" si="146"/>
        <v>202.23783851977691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0.15684843078272773</v>
      </c>
      <c r="BQ165" s="21">
        <f>EXP(-LN(2)/25)*BQ164+(1-EXP(-LN(2)/25))/(LN(2)/25)*Calculateur!BL165*Calculateur!BN165*VLOOKUP('Données projet'!$B$11,Paramètres!$A$1:$I$89,3,0)*0.475*44/12</f>
        <v>0.31644446894038553</v>
      </c>
      <c r="BR165" s="21">
        <f>EXP(-LN(2)/2)*BR164+(1-EXP(-LN(2)/2))/(LN(2)/2)*BL165*BO165*VLOOKUP('Données projet'!$B$11,Paramètres!$A$1:$I$89,3,0)*0.475*44/12</f>
        <v>2.5062158005458534E-19</v>
      </c>
      <c r="BS165" s="22">
        <f t="shared" si="169"/>
        <v>0.47329289972311328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497</v>
      </c>
      <c r="BZ165" s="13">
        <f>BY165*VLOOKUP('Données projet'!$B$12,Paramètres!$A$1:$I$89,3,0)*VLOOKUP('Données projet'!$B$12,Paramètres!$A$1:$I$89,5,0)</f>
        <v>297.20600000000002</v>
      </c>
      <c r="CA165" s="13">
        <f t="shared" si="170"/>
        <v>70.590415164571112</v>
      </c>
      <c r="CB165" s="20">
        <f t="shared" si="171"/>
        <v>640.57875641162809</v>
      </c>
      <c r="CC165" s="59">
        <f t="shared" si="119"/>
        <v>933.91208974496135</v>
      </c>
      <c r="CD165" s="59">
        <f ca="1">AVERAGE(OFFSET($CC$3,0,0,'Données projet'!$E$12+1,1))-AVERAGE(OFFSET($H$3,0,0,'Données projet'!$E$12+1,1))</f>
        <v>270.30888762640245</v>
      </c>
      <c r="CE165" s="59">
        <f t="shared" si="148"/>
        <v>202.23783851977691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0.15684843078272773</v>
      </c>
      <c r="CL165" s="21">
        <f>EXP(-LN(2)/25)*CL164+(1-EXP(-LN(2)/25))/(LN(2)/25)*Calculateur!CG165*Calculateur!CI165*VLOOKUP('Données projet'!$B$12,Paramètres!$A$1:$I$89,3,0)*0.475*44/12</f>
        <v>0.31644446894038553</v>
      </c>
      <c r="CM165" s="21">
        <f>EXP(-LN(2)/2)*CM164+(1-EXP(-LN(2)/2))/(LN(2)/2)*CG165*CJ165*VLOOKUP('Données projet'!$B$12,Paramètres!$A$1:$I$89,3,0)*0.475*44/12</f>
        <v>2.5062158005458534E-19</v>
      </c>
      <c r="CN165" s="22">
        <f t="shared" si="172"/>
        <v>0.47329289972311328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3.4106051316484809E-13</v>
      </c>
      <c r="CU165" s="17">
        <f>CT165*VLOOKUP('Données projet'!$B$13,Paramètres!$A$1:$I$89,3,0)*VLOOKUP('Données projet'!$B$13,Paramètres!$A$1:$I$89,5,0)</f>
        <v>1.5961632016114892E-13</v>
      </c>
      <c r="CV165" s="13">
        <f t="shared" si="173"/>
        <v>2.2708641912150958E-12</v>
      </c>
      <c r="CW165" s="20">
        <f t="shared" si="174"/>
        <v>4.2330868906469593E-12</v>
      </c>
      <c r="CX165" s="59">
        <f t="shared" si="122"/>
        <v>293.33333333333752</v>
      </c>
      <c r="CY165" s="59">
        <f ca="1">AVERAGE(OFFSET($CX$3,0,0,'Données projet'!$E$13+1,1))-AVERAGE(OFFSET($H$3,0,0,'Données projet'!$E$13+1,1))</f>
        <v>158.58786357608489</v>
      </c>
      <c r="CZ165" s="59">
        <f t="shared" si="150"/>
        <v>163.20074068819849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3.813056537183002E-14</v>
      </c>
      <c r="DQ165" s="13">
        <f t="shared" si="176"/>
        <v>6.4086286045526829E-13</v>
      </c>
      <c r="DR165" s="20">
        <f t="shared" si="177"/>
        <v>1.1825802166488628E-12</v>
      </c>
      <c r="DS165" s="59">
        <f t="shared" si="125"/>
        <v>293.33333333333451</v>
      </c>
      <c r="DT165" s="59">
        <f ca="1">AVERAGE(OFFSET($DS$3,0,0,'Données projet'!$E$14+1,1))-AVERAGE(OFFSET($H$3,0,0,'Données projet'!$E$14+1,1))</f>
        <v>156.63226020379989</v>
      </c>
      <c r="DU165" s="59">
        <f t="shared" si="152"/>
        <v>196.0481096619543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0.22314067597561324</v>
      </c>
      <c r="EC165" s="21">
        <f>EXP(-LN(2)/2)*EC164+(1-EXP(-LN(2)/2))/(LN(2)/2)*DW165*DZ165*VLOOKUP('Données projet'!$B$14,Paramètres!$A$1:$I$89,3,0)*0.475*44/12</f>
        <v>1.2296845944562145E-19</v>
      </c>
      <c r="ED165" s="22">
        <f t="shared" si="178"/>
        <v>0.22314067597561324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-5.6843418860808015E-13</v>
      </c>
      <c r="EK165" s="17">
        <f>EJ165*VLOOKUP('Données projet'!$B$15,Paramètres!$A$1:$I$89,3,0)*VLOOKUP('Données projet'!$B$15,Paramètres!$A$1:$I$89,5,0)</f>
        <v>-6.1186256061773743E-13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211.18501783767226</v>
      </c>
      <c r="EP165" s="59">
        <f t="shared" si="154"/>
        <v>147.98306963466246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498</v>
      </c>
      <c r="FF165" s="17">
        <f>FE165*VLOOKUP('Données projet'!$B$16,Paramètres!$A$1:$I$89,3,0)*VLOOKUP('Données projet'!$B$16,Paramètres!$A$1:$I$89,5,0)</f>
        <v>297.80400000000003</v>
      </c>
      <c r="FG165" s="13">
        <f t="shared" si="182"/>
        <v>70.715900863123025</v>
      </c>
      <c r="FH165" s="20">
        <f t="shared" si="183"/>
        <v>641.83882733660596</v>
      </c>
      <c r="FI165" s="59">
        <f t="shared" si="131"/>
        <v>935.17216066993933</v>
      </c>
      <c r="FJ165" s="59">
        <f ca="1">AVERAGE(OFFSET($FI$3,0,0,'Données projet'!$E$16+1,1))-AVERAGE(OFFSET($H$3,0,0,'Données projet'!$E$16+1,1))</f>
        <v>232.26937455765062</v>
      </c>
      <c r="FK165" s="59">
        <f t="shared" si="156"/>
        <v>115.80853281120301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0.16207671180881877</v>
      </c>
      <c r="FR165" s="21">
        <f>EXP(-LN(2)/25)*FR164+(1-EXP(-LN(2)/25))/(LN(2)/25)*Calculateur!FM165*Calculateur!FO165*VLOOKUP('Données projet'!$B$16,Paramètres!$A$1:$I$89,3,0)*0.475*44/12</f>
        <v>0.11347808653299833</v>
      </c>
      <c r="FS165" s="21">
        <f>EXP(-LN(2)/2)*FS164+(1-EXP(-LN(2)/2))/(LN(2)/2)*FM165*FP165*VLOOKUP('Données projet'!$B$16,Paramètres!$A$1:$I$89,3,0)*0.475*44/12</f>
        <v>1.1378334435430144E-19</v>
      </c>
      <c r="FT165" s="22">
        <f t="shared" si="184"/>
        <v>0.27555479834181712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5.6843418860808015E-14</v>
      </c>
      <c r="GA165" s="17">
        <f>FZ165*VLOOKUP('Données projet'!$B$17,Paramètres!$A$1:$I$89,3,0)*VLOOKUP('Données projet'!$B$17,Paramètres!$A$1:$I$89,5,0)</f>
        <v>4.5224624045658861E-14</v>
      </c>
      <c r="GB165" s="13">
        <f t="shared" si="185"/>
        <v>7.4514601661523691E-13</v>
      </c>
      <c r="GC165" s="20">
        <f t="shared" si="186"/>
        <v>1.3765621991510601E-12</v>
      </c>
      <c r="GD165" s="59">
        <f t="shared" si="134"/>
        <v>293.33333333333468</v>
      </c>
      <c r="GE165" s="59">
        <f ca="1">AVERAGE(OFFSET($GD$3,0,0,'Données projet'!$E$17+1,1))-AVERAGE(OFFSET($H$3,0,0,'Données projet'!$E$17+1,1))</f>
        <v>199.58763537752952</v>
      </c>
      <c r="GF165" s="59">
        <f t="shared" si="158"/>
        <v>242.62852778451929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0.26465522034316885</v>
      </c>
      <c r="GN165" s="21">
        <f>EXP(-LN(2)/2)*GN164+(1-EXP(-LN(2)/2))/(LN(2)/2)*GH165*GK165*VLOOKUP('Données projet'!$B$17,Paramètres!$A$1:$I$89,3,0)*0.475*44/12</f>
        <v>1.4584631236573721E-19</v>
      </c>
      <c r="GO165" s="21">
        <f t="shared" si="187"/>
        <v>0.26465522034316885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-5.1431925385259092E-13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153.45079678708987</v>
      </c>
      <c r="T166" s="59">
        <f t="shared" si="142"/>
        <v>115.4217868409637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-5.6843418860808015E-13</v>
      </c>
      <c r="AJ166" s="13">
        <f>AI166*VLOOKUP('Données projet'!$B$10,Paramètres!$A$1:$I$89,3,0)*VLOOKUP('Données projet'!$B$10,Paramètres!$A$1:$I$89,5,0)</f>
        <v>-5.763922672485933E-13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190.21499310415584</v>
      </c>
      <c r="AO166" s="59">
        <f t="shared" si="144"/>
        <v>136.15730566500173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497</v>
      </c>
      <c r="BE166" s="13">
        <f>BD166*VLOOKUP('Données projet'!$B$11,Paramètres!$A$1:$I$89,3,0)*VLOOKUP('Données projet'!$B$11,Paramètres!$A$1:$I$89,5,0)</f>
        <v>297.20600000000002</v>
      </c>
      <c r="BF166" s="13">
        <f t="shared" si="167"/>
        <v>70.590415164571112</v>
      </c>
      <c r="BG166" s="20">
        <f t="shared" si="168"/>
        <v>640.57875641162809</v>
      </c>
      <c r="BH166" s="59">
        <f t="shared" si="116"/>
        <v>933.91208974496135</v>
      </c>
      <c r="BI166" s="59">
        <f ca="1">AVERAGE(OFFSET($BH$3,0,0,'Données projet'!$E$11+1,1))-AVERAGE(OFFSET($H$3,0,0,'Données projet'!$E$11+1,1))</f>
        <v>270.30888762640245</v>
      </c>
      <c r="BJ166" s="59">
        <f t="shared" si="146"/>
        <v>202.23783851977691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0.15377272872317477</v>
      </c>
      <c r="BQ166" s="21">
        <f>EXP(-LN(2)/25)*BQ165+(1-EXP(-LN(2)/25))/(LN(2)/25)*Calculateur!BL166*Calculateur!BN166*VLOOKUP('Données projet'!$B$11,Paramètres!$A$1:$I$89,3,0)*0.475*44/12</f>
        <v>0.3077912782961193</v>
      </c>
      <c r="BR166" s="21">
        <f>EXP(-LN(2)/2)*BR165+(1-EXP(-LN(2)/2))/(LN(2)/2)*BL166*BO166*VLOOKUP('Données projet'!$B$11,Paramètres!$A$1:$I$89,3,0)*0.475*44/12</f>
        <v>1.7721621876828448E-19</v>
      </c>
      <c r="BS166" s="22">
        <f t="shared" si="169"/>
        <v>0.46156400701929406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497</v>
      </c>
      <c r="BZ166" s="13">
        <f>BY166*VLOOKUP('Données projet'!$B$12,Paramètres!$A$1:$I$89,3,0)*VLOOKUP('Données projet'!$B$12,Paramètres!$A$1:$I$89,5,0)</f>
        <v>297.20600000000002</v>
      </c>
      <c r="CA166" s="13">
        <f t="shared" si="170"/>
        <v>70.590415164571112</v>
      </c>
      <c r="CB166" s="20">
        <f t="shared" si="171"/>
        <v>640.57875641162809</v>
      </c>
      <c r="CC166" s="59">
        <f t="shared" si="119"/>
        <v>933.91208974496135</v>
      </c>
      <c r="CD166" s="59">
        <f ca="1">AVERAGE(OFFSET($CC$3,0,0,'Données projet'!$E$12+1,1))-AVERAGE(OFFSET($H$3,0,0,'Données projet'!$E$12+1,1))</f>
        <v>270.30888762640245</v>
      </c>
      <c r="CE166" s="59">
        <f t="shared" si="148"/>
        <v>202.23783851977691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0.15377272872317477</v>
      </c>
      <c r="CL166" s="21">
        <f>EXP(-LN(2)/25)*CL165+(1-EXP(-LN(2)/25))/(LN(2)/25)*Calculateur!CG166*Calculateur!CI166*VLOOKUP('Données projet'!$B$12,Paramètres!$A$1:$I$89,3,0)*0.475*44/12</f>
        <v>0.3077912782961193</v>
      </c>
      <c r="CM166" s="21">
        <f>EXP(-LN(2)/2)*CM165+(1-EXP(-LN(2)/2))/(LN(2)/2)*CG166*CJ166*VLOOKUP('Données projet'!$B$12,Paramètres!$A$1:$I$89,3,0)*0.475*44/12</f>
        <v>1.7721621876828448E-19</v>
      </c>
      <c r="CN166" s="22">
        <f t="shared" si="172"/>
        <v>0.46156400701929406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3.4106051316484809E-13</v>
      </c>
      <c r="CU166" s="17">
        <f>CT166*VLOOKUP('Données projet'!$B$13,Paramètres!$A$1:$I$89,3,0)*VLOOKUP('Données projet'!$B$13,Paramètres!$A$1:$I$89,5,0)</f>
        <v>1.5961632016114892E-13</v>
      </c>
      <c r="CV166" s="13">
        <f t="shared" si="173"/>
        <v>2.2708641912150958E-12</v>
      </c>
      <c r="CW166" s="20">
        <f t="shared" si="174"/>
        <v>4.2330868906469593E-12</v>
      </c>
      <c r="CX166" s="59">
        <f t="shared" si="122"/>
        <v>293.33333333333752</v>
      </c>
      <c r="CY166" s="59">
        <f ca="1">AVERAGE(OFFSET($CX$3,0,0,'Données projet'!$E$13+1,1))-AVERAGE(OFFSET($H$3,0,0,'Données projet'!$E$13+1,1))</f>
        <v>158.58786357608489</v>
      </c>
      <c r="CZ166" s="59">
        <f t="shared" si="150"/>
        <v>163.20074068819849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3.813056537183002E-14</v>
      </c>
      <c r="DQ166" s="13">
        <f t="shared" si="176"/>
        <v>6.4086286045526829E-13</v>
      </c>
      <c r="DR166" s="20">
        <f t="shared" si="177"/>
        <v>1.1825802166488628E-12</v>
      </c>
      <c r="DS166" s="59">
        <f t="shared" si="125"/>
        <v>293.33333333333451</v>
      </c>
      <c r="DT166" s="59">
        <f ca="1">AVERAGE(OFFSET($DS$3,0,0,'Données projet'!$E$14+1,1))-AVERAGE(OFFSET($H$3,0,0,'Données projet'!$E$14+1,1))</f>
        <v>156.63226020379989</v>
      </c>
      <c r="DU166" s="59">
        <f t="shared" si="152"/>
        <v>196.0481096619543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0.21703888245660194</v>
      </c>
      <c r="EC166" s="21">
        <f>EXP(-LN(2)/2)*EC165+(1-EXP(-LN(2)/2))/(LN(2)/2)*DW166*DZ166*VLOOKUP('Données projet'!$B$14,Paramètres!$A$1:$I$89,3,0)*0.475*44/12</f>
        <v>8.6951831546061892E-20</v>
      </c>
      <c r="ED166" s="22">
        <f t="shared" si="178"/>
        <v>0.21703888245660194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-5.6843418860808015E-13</v>
      </c>
      <c r="EK166" s="17">
        <f>EJ166*VLOOKUP('Données projet'!$B$15,Paramètres!$A$1:$I$89,3,0)*VLOOKUP('Données projet'!$B$15,Paramètres!$A$1:$I$89,5,0)</f>
        <v>-6.1186256061773743E-13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211.18501783767226</v>
      </c>
      <c r="EP166" s="59">
        <f t="shared" si="154"/>
        <v>147.98306963466246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498</v>
      </c>
      <c r="FF166" s="17">
        <f>FE166*VLOOKUP('Données projet'!$B$16,Paramètres!$A$1:$I$89,3,0)*VLOOKUP('Données projet'!$B$16,Paramètres!$A$1:$I$89,5,0)</f>
        <v>297.80400000000003</v>
      </c>
      <c r="FG166" s="13">
        <f t="shared" si="182"/>
        <v>70.715900863123025</v>
      </c>
      <c r="FH166" s="20">
        <f t="shared" si="183"/>
        <v>641.83882733660596</v>
      </c>
      <c r="FI166" s="59">
        <f t="shared" si="131"/>
        <v>935.17216066993933</v>
      </c>
      <c r="FJ166" s="59">
        <f ca="1">AVERAGE(OFFSET($FI$3,0,0,'Données projet'!$E$16+1,1))-AVERAGE(OFFSET($H$3,0,0,'Données projet'!$E$16+1,1))</f>
        <v>232.26937455765062</v>
      </c>
      <c r="FK166" s="59">
        <f t="shared" si="156"/>
        <v>115.80853281120301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0.15889848634728071</v>
      </c>
      <c r="FR166" s="21">
        <f>EXP(-LN(2)/25)*FR165+(1-EXP(-LN(2)/25))/(LN(2)/25)*Calculateur!FM166*Calculateur!FO166*VLOOKUP('Données projet'!$B$16,Paramètres!$A$1:$I$89,3,0)*0.475*44/12</f>
        <v>0.11037502228920028</v>
      </c>
      <c r="FS166" s="21">
        <f>EXP(-LN(2)/2)*FS165+(1-EXP(-LN(2)/2))/(LN(2)/2)*FM166*FP166*VLOOKUP('Données projet'!$B$16,Paramètres!$A$1:$I$89,3,0)*0.475*44/12</f>
        <v>8.0456974379010616E-20</v>
      </c>
      <c r="FT166" s="22">
        <f t="shared" si="184"/>
        <v>0.26927350863648097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5.6843418860808015E-14</v>
      </c>
      <c r="GA166" s="17">
        <f>FZ166*VLOOKUP('Données projet'!$B$17,Paramètres!$A$1:$I$89,3,0)*VLOOKUP('Données projet'!$B$17,Paramètres!$A$1:$I$89,5,0)</f>
        <v>4.5224624045658861E-14</v>
      </c>
      <c r="GB166" s="13">
        <f t="shared" si="185"/>
        <v>7.4514601661523691E-13</v>
      </c>
      <c r="GC166" s="20">
        <f t="shared" si="186"/>
        <v>1.3765621991510601E-12</v>
      </c>
      <c r="GD166" s="59">
        <f t="shared" si="134"/>
        <v>293.33333333333468</v>
      </c>
      <c r="GE166" s="59">
        <f ca="1">AVERAGE(OFFSET($GD$3,0,0,'Données projet'!$E$17+1,1))-AVERAGE(OFFSET($H$3,0,0,'Données projet'!$E$17+1,1))</f>
        <v>199.58763537752952</v>
      </c>
      <c r="GF166" s="59">
        <f t="shared" si="158"/>
        <v>242.62852778451929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0.25741820942527172</v>
      </c>
      <c r="GN166" s="21">
        <f>EXP(-LN(2)/2)*GN165+(1-EXP(-LN(2)/2))/(LN(2)/2)*GH166*GK166*VLOOKUP('Données projet'!$B$17,Paramètres!$A$1:$I$89,3,0)*0.475*44/12</f>
        <v>1.031289164848642E-19</v>
      </c>
      <c r="GO166" s="21">
        <f t="shared" si="187"/>
        <v>0.25741820942527172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-5.1431925385259092E-13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153.45079678708987</v>
      </c>
      <c r="T167" s="59">
        <f t="shared" si="142"/>
        <v>115.4217868409637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-5.6843418860808015E-13</v>
      </c>
      <c r="AJ167" s="13">
        <f>AI167*VLOOKUP('Données projet'!$B$10,Paramètres!$A$1:$I$89,3,0)*VLOOKUP('Données projet'!$B$10,Paramètres!$A$1:$I$89,5,0)</f>
        <v>-5.763922672485933E-13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190.21499310415584</v>
      </c>
      <c r="AO167" s="59">
        <f t="shared" si="144"/>
        <v>136.15730566500173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497</v>
      </c>
      <c r="BE167" s="13">
        <f>BD167*VLOOKUP('Données projet'!$B$11,Paramètres!$A$1:$I$89,3,0)*VLOOKUP('Données projet'!$B$11,Paramètres!$A$1:$I$89,5,0)</f>
        <v>297.20600000000002</v>
      </c>
      <c r="BF167" s="13">
        <f t="shared" si="167"/>
        <v>70.590415164571112</v>
      </c>
      <c r="BG167" s="20">
        <f t="shared" si="168"/>
        <v>640.57875641162809</v>
      </c>
      <c r="BH167" s="59">
        <f t="shared" si="116"/>
        <v>933.91208974496135</v>
      </c>
      <c r="BI167" s="59">
        <f ca="1">AVERAGE(OFFSET($BH$3,0,0,'Données projet'!$E$11+1,1))-AVERAGE(OFFSET($H$3,0,0,'Données projet'!$E$11+1,1))</f>
        <v>270.30888762640245</v>
      </c>
      <c r="BJ167" s="59">
        <f t="shared" si="146"/>
        <v>202.23783851977691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0.15075733930501664</v>
      </c>
      <c r="BQ167" s="21">
        <f>EXP(-LN(2)/25)*BQ166+(1-EXP(-LN(2)/25))/(LN(2)/25)*Calculateur!BL167*Calculateur!BN167*VLOOKUP('Données projet'!$B$11,Paramètres!$A$1:$I$89,3,0)*0.475*44/12</f>
        <v>0.29937470960507206</v>
      </c>
      <c r="BR167" s="21">
        <f>EXP(-LN(2)/2)*BR166+(1-EXP(-LN(2)/2))/(LN(2)/2)*BL167*BO167*VLOOKUP('Données projet'!$B$11,Paramètres!$A$1:$I$89,3,0)*0.475*44/12</f>
        <v>1.2531079002729267E-19</v>
      </c>
      <c r="BS167" s="22">
        <f t="shared" si="169"/>
        <v>0.45013204891008873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497</v>
      </c>
      <c r="BZ167" s="13">
        <f>BY167*VLOOKUP('Données projet'!$B$12,Paramètres!$A$1:$I$89,3,0)*VLOOKUP('Données projet'!$B$12,Paramètres!$A$1:$I$89,5,0)</f>
        <v>297.20600000000002</v>
      </c>
      <c r="CA167" s="13">
        <f t="shared" si="170"/>
        <v>70.590415164571112</v>
      </c>
      <c r="CB167" s="20">
        <f t="shared" si="171"/>
        <v>640.57875641162809</v>
      </c>
      <c r="CC167" s="59">
        <f t="shared" si="119"/>
        <v>933.91208974496135</v>
      </c>
      <c r="CD167" s="59">
        <f ca="1">AVERAGE(OFFSET($CC$3,0,0,'Données projet'!$E$12+1,1))-AVERAGE(OFFSET($H$3,0,0,'Données projet'!$E$12+1,1))</f>
        <v>270.30888762640245</v>
      </c>
      <c r="CE167" s="59">
        <f t="shared" si="148"/>
        <v>202.23783851977691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0.15075733930501664</v>
      </c>
      <c r="CL167" s="21">
        <f>EXP(-LN(2)/25)*CL166+(1-EXP(-LN(2)/25))/(LN(2)/25)*Calculateur!CG167*Calculateur!CI167*VLOOKUP('Données projet'!$B$12,Paramètres!$A$1:$I$89,3,0)*0.475*44/12</f>
        <v>0.29937470960507206</v>
      </c>
      <c r="CM167" s="21">
        <f>EXP(-LN(2)/2)*CM166+(1-EXP(-LN(2)/2))/(LN(2)/2)*CG167*CJ167*VLOOKUP('Données projet'!$B$12,Paramètres!$A$1:$I$89,3,0)*0.475*44/12</f>
        <v>1.2531079002729267E-19</v>
      </c>
      <c r="CN167" s="22">
        <f t="shared" si="172"/>
        <v>0.45013204891008873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3.4106051316484809E-13</v>
      </c>
      <c r="CU167" s="17">
        <f>CT167*VLOOKUP('Données projet'!$B$13,Paramètres!$A$1:$I$89,3,0)*VLOOKUP('Données projet'!$B$13,Paramètres!$A$1:$I$89,5,0)</f>
        <v>1.5961632016114892E-13</v>
      </c>
      <c r="CV167" s="13">
        <f t="shared" si="173"/>
        <v>2.2708641912150958E-12</v>
      </c>
      <c r="CW167" s="20">
        <f t="shared" si="174"/>
        <v>4.2330868906469593E-12</v>
      </c>
      <c r="CX167" s="59">
        <f t="shared" si="122"/>
        <v>293.33333333333752</v>
      </c>
      <c r="CY167" s="59">
        <f ca="1">AVERAGE(OFFSET($CX$3,0,0,'Données projet'!$E$13+1,1))-AVERAGE(OFFSET($H$3,0,0,'Données projet'!$E$13+1,1))</f>
        <v>158.58786357608489</v>
      </c>
      <c r="CZ167" s="59">
        <f t="shared" si="150"/>
        <v>163.20074068819849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3.813056537183002E-14</v>
      </c>
      <c r="DQ167" s="13">
        <f t="shared" si="176"/>
        <v>6.4086286045526829E-13</v>
      </c>
      <c r="DR167" s="20">
        <f t="shared" si="177"/>
        <v>1.1825802166488628E-12</v>
      </c>
      <c r="DS167" s="59">
        <f t="shared" si="125"/>
        <v>293.33333333333451</v>
      </c>
      <c r="DT167" s="59">
        <f ca="1">AVERAGE(OFFSET($DS$3,0,0,'Données projet'!$E$14+1,1))-AVERAGE(OFFSET($H$3,0,0,'Données projet'!$E$14+1,1))</f>
        <v>156.63226020379989</v>
      </c>
      <c r="DU167" s="59">
        <f t="shared" si="152"/>
        <v>196.0481096619543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0.21110394280224737</v>
      </c>
      <c r="EC167" s="21">
        <f>EXP(-LN(2)/2)*EC166+(1-EXP(-LN(2)/2))/(LN(2)/2)*DW167*DZ167*VLOOKUP('Données projet'!$B$14,Paramètres!$A$1:$I$89,3,0)*0.475*44/12</f>
        <v>6.1484229722810727E-20</v>
      </c>
      <c r="ED167" s="22">
        <f t="shared" si="178"/>
        <v>0.21110394280224737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-5.6843418860808015E-13</v>
      </c>
      <c r="EK167" s="17">
        <f>EJ167*VLOOKUP('Données projet'!$B$15,Paramètres!$A$1:$I$89,3,0)*VLOOKUP('Données projet'!$B$15,Paramètres!$A$1:$I$89,5,0)</f>
        <v>-6.1186256061773743E-13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211.18501783767226</v>
      </c>
      <c r="EP167" s="59">
        <f t="shared" si="154"/>
        <v>147.98306963466246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498</v>
      </c>
      <c r="FF167" s="17">
        <f>FE167*VLOOKUP('Données projet'!$B$16,Paramètres!$A$1:$I$89,3,0)*VLOOKUP('Données projet'!$B$16,Paramètres!$A$1:$I$89,5,0)</f>
        <v>297.80400000000003</v>
      </c>
      <c r="FG167" s="13">
        <f t="shared" si="182"/>
        <v>70.715900863123025</v>
      </c>
      <c r="FH167" s="20">
        <f t="shared" si="183"/>
        <v>641.83882733660596</v>
      </c>
      <c r="FI167" s="59">
        <f t="shared" si="131"/>
        <v>935.17216066993933</v>
      </c>
      <c r="FJ167" s="59">
        <f ca="1">AVERAGE(OFFSET($FI$3,0,0,'Données projet'!$E$16+1,1))-AVERAGE(OFFSET($H$3,0,0,'Données projet'!$E$16+1,1))</f>
        <v>232.26937455765062</v>
      </c>
      <c r="FK167" s="59">
        <f t="shared" si="156"/>
        <v>115.80853281120301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0.15578258394851729</v>
      </c>
      <c r="FR167" s="21">
        <f>EXP(-LN(2)/25)*FR166+(1-EXP(-LN(2)/25))/(LN(2)/25)*Calculateur!FM167*Calculateur!FO167*VLOOKUP('Données projet'!$B$16,Paramètres!$A$1:$I$89,3,0)*0.475*44/12</f>
        <v>0.10735681150033194</v>
      </c>
      <c r="FS167" s="21">
        <f>EXP(-LN(2)/2)*FS166+(1-EXP(-LN(2)/2))/(LN(2)/2)*FM167*FP167*VLOOKUP('Données projet'!$B$16,Paramètres!$A$1:$I$89,3,0)*0.475*44/12</f>
        <v>5.6891672177150719E-20</v>
      </c>
      <c r="FT167" s="22">
        <f t="shared" si="184"/>
        <v>0.26313939544884923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5.6843418860808015E-14</v>
      </c>
      <c r="GA167" s="17">
        <f>FZ167*VLOOKUP('Données projet'!$B$17,Paramètres!$A$1:$I$89,3,0)*VLOOKUP('Données projet'!$B$17,Paramètres!$A$1:$I$89,5,0)</f>
        <v>4.5224624045658861E-14</v>
      </c>
      <c r="GB167" s="13">
        <f t="shared" si="185"/>
        <v>7.4514601661523691E-13</v>
      </c>
      <c r="GC167" s="20">
        <f t="shared" si="186"/>
        <v>1.3765621991510601E-12</v>
      </c>
      <c r="GD167" s="59">
        <f t="shared" si="134"/>
        <v>293.33333333333468</v>
      </c>
      <c r="GE167" s="59">
        <f ca="1">AVERAGE(OFFSET($GD$3,0,0,'Données projet'!$E$17+1,1))-AVERAGE(OFFSET($H$3,0,0,'Données projet'!$E$17+1,1))</f>
        <v>199.58763537752952</v>
      </c>
      <c r="GF167" s="59">
        <f t="shared" si="158"/>
        <v>242.62852778451929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0.25037909495150235</v>
      </c>
      <c r="GN167" s="21">
        <f>EXP(-LN(2)/2)*GN166+(1-EXP(-LN(2)/2))/(LN(2)/2)*GH167*GK167*VLOOKUP('Données projet'!$B$17,Paramètres!$A$1:$I$89,3,0)*0.475*44/12</f>
        <v>7.2923156182868605E-20</v>
      </c>
      <c r="GO167" s="21">
        <f t="shared" si="187"/>
        <v>0.25037909495150235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-5.1431925385259092E-13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153.45079678708987</v>
      </c>
      <c r="T168" s="59">
        <f t="shared" si="142"/>
        <v>115.4217868409637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-5.6843418860808015E-13</v>
      </c>
      <c r="AJ168" s="13">
        <f>AI168*VLOOKUP('Données projet'!$B$10,Paramètres!$A$1:$I$89,3,0)*VLOOKUP('Données projet'!$B$10,Paramètres!$A$1:$I$89,5,0)</f>
        <v>-5.763922672485933E-13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190.21499310415584</v>
      </c>
      <c r="AO168" s="59">
        <f t="shared" si="144"/>
        <v>136.15730566500173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497</v>
      </c>
      <c r="BE168" s="13">
        <f>BD168*VLOOKUP('Données projet'!$B$11,Paramètres!$A$1:$I$89,3,0)*VLOOKUP('Données projet'!$B$11,Paramètres!$A$1:$I$89,5,0)</f>
        <v>297.20600000000002</v>
      </c>
      <c r="BF168" s="13">
        <f t="shared" si="167"/>
        <v>70.590415164571112</v>
      </c>
      <c r="BG168" s="20">
        <f t="shared" si="168"/>
        <v>640.57875641162809</v>
      </c>
      <c r="BH168" s="59">
        <f t="shared" si="116"/>
        <v>933.91208974496135</v>
      </c>
      <c r="BI168" s="59">
        <f ca="1">AVERAGE(OFFSET($BH$3,0,0,'Données projet'!$E$11+1,1))-AVERAGE(OFFSET($H$3,0,0,'Données projet'!$E$11+1,1))</f>
        <v>270.30888762640245</v>
      </c>
      <c r="BJ168" s="59">
        <f t="shared" si="146"/>
        <v>202.23783851977691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0.14780107983414265</v>
      </c>
      <c r="BQ168" s="21">
        <f>EXP(-LN(2)/25)*BQ167+(1-EXP(-LN(2)/25))/(LN(2)/25)*Calculateur!BL168*Calculateur!BN168*VLOOKUP('Données projet'!$B$11,Paramètres!$A$1:$I$89,3,0)*0.475*44/12</f>
        <v>0.29118829242748961</v>
      </c>
      <c r="BR168" s="21">
        <f>EXP(-LN(2)/2)*BR167+(1-EXP(-LN(2)/2))/(LN(2)/2)*BL168*BO168*VLOOKUP('Données projet'!$B$11,Paramètres!$A$1:$I$89,3,0)*0.475*44/12</f>
        <v>8.8608109384142239E-20</v>
      </c>
      <c r="BS168" s="22">
        <f t="shared" si="169"/>
        <v>0.43898937226163226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497</v>
      </c>
      <c r="BZ168" s="13">
        <f>BY168*VLOOKUP('Données projet'!$B$12,Paramètres!$A$1:$I$89,3,0)*VLOOKUP('Données projet'!$B$12,Paramètres!$A$1:$I$89,5,0)</f>
        <v>297.20600000000002</v>
      </c>
      <c r="CA168" s="13">
        <f t="shared" si="170"/>
        <v>70.590415164571112</v>
      </c>
      <c r="CB168" s="20">
        <f t="shared" si="171"/>
        <v>640.57875641162809</v>
      </c>
      <c r="CC168" s="59">
        <f t="shared" si="119"/>
        <v>933.91208974496135</v>
      </c>
      <c r="CD168" s="59">
        <f ca="1">AVERAGE(OFFSET($CC$3,0,0,'Données projet'!$E$12+1,1))-AVERAGE(OFFSET($H$3,0,0,'Données projet'!$E$12+1,1))</f>
        <v>270.30888762640245</v>
      </c>
      <c r="CE168" s="59">
        <f t="shared" si="148"/>
        <v>202.23783851977691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0.14780107983414265</v>
      </c>
      <c r="CL168" s="21">
        <f>EXP(-LN(2)/25)*CL167+(1-EXP(-LN(2)/25))/(LN(2)/25)*Calculateur!CG168*Calculateur!CI168*VLOOKUP('Données projet'!$B$12,Paramètres!$A$1:$I$89,3,0)*0.475*44/12</f>
        <v>0.29118829242748961</v>
      </c>
      <c r="CM168" s="21">
        <f>EXP(-LN(2)/2)*CM167+(1-EXP(-LN(2)/2))/(LN(2)/2)*CG168*CJ168*VLOOKUP('Données projet'!$B$12,Paramètres!$A$1:$I$89,3,0)*0.475*44/12</f>
        <v>8.8608109384142239E-20</v>
      </c>
      <c r="CN168" s="22">
        <f t="shared" si="172"/>
        <v>0.43898937226163226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3.4106051316484809E-13</v>
      </c>
      <c r="CU168" s="17">
        <f>CT168*VLOOKUP('Données projet'!$B$13,Paramètres!$A$1:$I$89,3,0)*VLOOKUP('Données projet'!$B$13,Paramètres!$A$1:$I$89,5,0)</f>
        <v>1.5961632016114892E-13</v>
      </c>
      <c r="CV168" s="13">
        <f t="shared" si="173"/>
        <v>2.2708641912150958E-12</v>
      </c>
      <c r="CW168" s="20">
        <f t="shared" si="174"/>
        <v>4.2330868906469593E-12</v>
      </c>
      <c r="CX168" s="59">
        <f t="shared" si="122"/>
        <v>293.33333333333752</v>
      </c>
      <c r="CY168" s="59">
        <f ca="1">AVERAGE(OFFSET($CX$3,0,0,'Données projet'!$E$13+1,1))-AVERAGE(OFFSET($H$3,0,0,'Données projet'!$E$13+1,1))</f>
        <v>158.58786357608489</v>
      </c>
      <c r="CZ168" s="59">
        <f t="shared" si="150"/>
        <v>163.20074068819849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3.813056537183002E-14</v>
      </c>
      <c r="DQ168" s="13">
        <f t="shared" si="176"/>
        <v>6.4086286045526829E-13</v>
      </c>
      <c r="DR168" s="20">
        <f t="shared" si="177"/>
        <v>1.1825802166488628E-12</v>
      </c>
      <c r="DS168" s="59">
        <f t="shared" si="125"/>
        <v>293.33333333333451</v>
      </c>
      <c r="DT168" s="59">
        <f ca="1">AVERAGE(OFFSET($DS$3,0,0,'Données projet'!$E$14+1,1))-AVERAGE(OFFSET($H$3,0,0,'Données projet'!$E$14+1,1))</f>
        <v>156.63226020379989</v>
      </c>
      <c r="DU168" s="59">
        <f t="shared" si="152"/>
        <v>196.0481096619543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0.20533129438484604</v>
      </c>
      <c r="EC168" s="21">
        <f>EXP(-LN(2)/2)*EC167+(1-EXP(-LN(2)/2))/(LN(2)/2)*DW168*DZ168*VLOOKUP('Données projet'!$B$14,Paramètres!$A$1:$I$89,3,0)*0.475*44/12</f>
        <v>4.3475915773030946E-20</v>
      </c>
      <c r="ED168" s="22">
        <f t="shared" si="178"/>
        <v>0.20533129438484604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-5.6843418860808015E-13</v>
      </c>
      <c r="EK168" s="17">
        <f>EJ168*VLOOKUP('Données projet'!$B$15,Paramètres!$A$1:$I$89,3,0)*VLOOKUP('Données projet'!$B$15,Paramètres!$A$1:$I$89,5,0)</f>
        <v>-6.1186256061773743E-13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211.18501783767226</v>
      </c>
      <c r="EP168" s="59">
        <f t="shared" si="154"/>
        <v>147.98306963466246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498</v>
      </c>
      <c r="FF168" s="17">
        <f>FE168*VLOOKUP('Données projet'!$B$16,Paramètres!$A$1:$I$89,3,0)*VLOOKUP('Données projet'!$B$16,Paramètres!$A$1:$I$89,5,0)</f>
        <v>297.80400000000003</v>
      </c>
      <c r="FG168" s="13">
        <f t="shared" si="182"/>
        <v>70.715900863123025</v>
      </c>
      <c r="FH168" s="20">
        <f t="shared" si="183"/>
        <v>641.83882733660596</v>
      </c>
      <c r="FI168" s="59">
        <f t="shared" si="131"/>
        <v>935.17216066993933</v>
      </c>
      <c r="FJ168" s="59">
        <f ca="1">AVERAGE(OFFSET($FI$3,0,0,'Données projet'!$E$16+1,1))-AVERAGE(OFFSET($H$3,0,0,'Données projet'!$E$16+1,1))</f>
        <v>232.26937455765062</v>
      </c>
      <c r="FK168" s="59">
        <f t="shared" si="156"/>
        <v>115.80853281120301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0.15272778249528082</v>
      </c>
      <c r="FR168" s="21">
        <f>EXP(-LN(2)/25)*FR167+(1-EXP(-LN(2)/25))/(LN(2)/25)*Calculateur!FM168*Calculateur!FO168*VLOOKUP('Données projet'!$B$16,Paramètres!$A$1:$I$89,3,0)*0.475*44/12</f>
        <v>0.10442113384420601</v>
      </c>
      <c r="FS168" s="21">
        <f>EXP(-LN(2)/2)*FS167+(1-EXP(-LN(2)/2))/(LN(2)/2)*FM168*FP168*VLOOKUP('Données projet'!$B$16,Paramètres!$A$1:$I$89,3,0)*0.475*44/12</f>
        <v>4.0228487189505308E-20</v>
      </c>
      <c r="FT168" s="22">
        <f t="shared" si="184"/>
        <v>0.25714891633948683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5.6843418860808015E-14</v>
      </c>
      <c r="GA168" s="17">
        <f>FZ168*VLOOKUP('Données projet'!$B$17,Paramètres!$A$1:$I$89,3,0)*VLOOKUP('Données projet'!$B$17,Paramètres!$A$1:$I$89,5,0)</f>
        <v>4.5224624045658861E-14</v>
      </c>
      <c r="GB168" s="13">
        <f t="shared" si="185"/>
        <v>7.4514601661523691E-13</v>
      </c>
      <c r="GC168" s="20">
        <f t="shared" si="186"/>
        <v>1.3765621991510601E-12</v>
      </c>
      <c r="GD168" s="59">
        <f t="shared" si="134"/>
        <v>293.33333333333468</v>
      </c>
      <c r="GE168" s="59">
        <f ca="1">AVERAGE(OFFSET($GD$3,0,0,'Données projet'!$E$17+1,1))-AVERAGE(OFFSET($H$3,0,0,'Données projet'!$E$17+1,1))</f>
        <v>199.58763537752952</v>
      </c>
      <c r="GF168" s="59">
        <f t="shared" si="158"/>
        <v>242.62852778451929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0.24353246543318915</v>
      </c>
      <c r="GN168" s="21">
        <f>EXP(-LN(2)/2)*GN167+(1-EXP(-LN(2)/2))/(LN(2)/2)*GH168*GK168*VLOOKUP('Données projet'!$B$17,Paramètres!$A$1:$I$89,3,0)*0.475*44/12</f>
        <v>5.1564458242432102E-20</v>
      </c>
      <c r="GO168" s="21">
        <f t="shared" si="187"/>
        <v>0.24353246543318915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-5.1431925385259092E-13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153.45079678708987</v>
      </c>
      <c r="T169" s="59">
        <f t="shared" si="142"/>
        <v>115.4217868409637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-5.6843418860808015E-13</v>
      </c>
      <c r="AJ169" s="13">
        <f>AI169*VLOOKUP('Données projet'!$B$10,Paramètres!$A$1:$I$89,3,0)*VLOOKUP('Données projet'!$B$10,Paramètres!$A$1:$I$89,5,0)</f>
        <v>-5.763922672485933E-13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190.21499310415584</v>
      </c>
      <c r="AO169" s="59">
        <f t="shared" si="144"/>
        <v>136.15730566500173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497</v>
      </c>
      <c r="BE169" s="13">
        <f>BD169*VLOOKUP('Données projet'!$B$11,Paramètres!$A$1:$I$89,3,0)*VLOOKUP('Données projet'!$B$11,Paramètres!$A$1:$I$89,5,0)</f>
        <v>297.20600000000002</v>
      </c>
      <c r="BF169" s="13">
        <f t="shared" si="167"/>
        <v>70.590415164571112</v>
      </c>
      <c r="BG169" s="20">
        <f t="shared" si="168"/>
        <v>640.57875641162809</v>
      </c>
      <c r="BH169" s="59">
        <f t="shared" si="116"/>
        <v>933.91208974496135</v>
      </c>
      <c r="BI169" s="59">
        <f ca="1">AVERAGE(OFFSET($BH$3,0,0,'Données projet'!$E$11+1,1))-AVERAGE(OFFSET($H$3,0,0,'Données projet'!$E$11+1,1))</f>
        <v>270.30888762640245</v>
      </c>
      <c r="BJ169" s="59">
        <f t="shared" si="146"/>
        <v>202.23783851977691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0.14490279080835225</v>
      </c>
      <c r="BQ169" s="21">
        <f>EXP(-LN(2)/25)*BQ168+(1-EXP(-LN(2)/25))/(LN(2)/25)*Calculateur!BL169*Calculateur!BN169*VLOOKUP('Données projet'!$B$11,Paramètres!$A$1:$I$89,3,0)*0.475*44/12</f>
        <v>0.28322573325813311</v>
      </c>
      <c r="BR169" s="21">
        <f>EXP(-LN(2)/2)*BR168+(1-EXP(-LN(2)/2))/(LN(2)/2)*BL169*BO169*VLOOKUP('Données projet'!$B$11,Paramètres!$A$1:$I$89,3,0)*0.475*44/12</f>
        <v>6.2655395013646334E-20</v>
      </c>
      <c r="BS169" s="22">
        <f t="shared" si="169"/>
        <v>0.42812852406648538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497</v>
      </c>
      <c r="BZ169" s="13">
        <f>BY169*VLOOKUP('Données projet'!$B$12,Paramètres!$A$1:$I$89,3,0)*VLOOKUP('Données projet'!$B$12,Paramètres!$A$1:$I$89,5,0)</f>
        <v>297.20600000000002</v>
      </c>
      <c r="CA169" s="13">
        <f t="shared" si="170"/>
        <v>70.590415164571112</v>
      </c>
      <c r="CB169" s="20">
        <f t="shared" si="171"/>
        <v>640.57875641162809</v>
      </c>
      <c r="CC169" s="59">
        <f t="shared" si="119"/>
        <v>933.91208974496135</v>
      </c>
      <c r="CD169" s="59">
        <f ca="1">AVERAGE(OFFSET($CC$3,0,0,'Données projet'!$E$12+1,1))-AVERAGE(OFFSET($H$3,0,0,'Données projet'!$E$12+1,1))</f>
        <v>270.30888762640245</v>
      </c>
      <c r="CE169" s="59">
        <f t="shared" si="148"/>
        <v>202.23783851977691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0.14490279080835225</v>
      </c>
      <c r="CL169" s="21">
        <f>EXP(-LN(2)/25)*CL168+(1-EXP(-LN(2)/25))/(LN(2)/25)*Calculateur!CG169*Calculateur!CI169*VLOOKUP('Données projet'!$B$12,Paramètres!$A$1:$I$89,3,0)*0.475*44/12</f>
        <v>0.28322573325813311</v>
      </c>
      <c r="CM169" s="21">
        <f>EXP(-LN(2)/2)*CM168+(1-EXP(-LN(2)/2))/(LN(2)/2)*CG169*CJ169*VLOOKUP('Données projet'!$B$12,Paramètres!$A$1:$I$89,3,0)*0.475*44/12</f>
        <v>6.2655395013646334E-20</v>
      </c>
      <c r="CN169" s="22">
        <f t="shared" si="172"/>
        <v>0.42812852406648538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3.4106051316484809E-13</v>
      </c>
      <c r="CU169" s="17">
        <f>CT169*VLOOKUP('Données projet'!$B$13,Paramètres!$A$1:$I$89,3,0)*VLOOKUP('Données projet'!$B$13,Paramètres!$A$1:$I$89,5,0)</f>
        <v>1.5961632016114892E-13</v>
      </c>
      <c r="CV169" s="13">
        <f t="shared" si="173"/>
        <v>2.2708641912150958E-12</v>
      </c>
      <c r="CW169" s="20">
        <f t="shared" si="174"/>
        <v>4.2330868906469593E-12</v>
      </c>
      <c r="CX169" s="59">
        <f t="shared" si="122"/>
        <v>293.33333333333752</v>
      </c>
      <c r="CY169" s="59">
        <f ca="1">AVERAGE(OFFSET($CX$3,0,0,'Données projet'!$E$13+1,1))-AVERAGE(OFFSET($H$3,0,0,'Données projet'!$E$13+1,1))</f>
        <v>158.58786357608489</v>
      </c>
      <c r="CZ169" s="59">
        <f t="shared" si="150"/>
        <v>163.20074068819849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3.813056537183002E-14</v>
      </c>
      <c r="DQ169" s="13">
        <f t="shared" si="176"/>
        <v>6.4086286045526829E-13</v>
      </c>
      <c r="DR169" s="20">
        <f t="shared" si="177"/>
        <v>1.1825802166488628E-12</v>
      </c>
      <c r="DS169" s="59">
        <f t="shared" si="125"/>
        <v>293.33333333333451</v>
      </c>
      <c r="DT169" s="59">
        <f ca="1">AVERAGE(OFFSET($DS$3,0,0,'Données projet'!$E$14+1,1))-AVERAGE(OFFSET($H$3,0,0,'Données projet'!$E$14+1,1))</f>
        <v>156.63226020379989</v>
      </c>
      <c r="DU169" s="59">
        <f t="shared" si="152"/>
        <v>196.0481096619543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0.19971649934198896</v>
      </c>
      <c r="EC169" s="21">
        <f>EXP(-LN(2)/2)*EC168+(1-EXP(-LN(2)/2))/(LN(2)/2)*DW169*DZ169*VLOOKUP('Données projet'!$B$14,Paramètres!$A$1:$I$89,3,0)*0.475*44/12</f>
        <v>3.0742114861405363E-20</v>
      </c>
      <c r="ED169" s="22">
        <f t="shared" si="178"/>
        <v>0.19971649934198896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-5.6843418860808015E-13</v>
      </c>
      <c r="EK169" s="17">
        <f>EJ169*VLOOKUP('Données projet'!$B$15,Paramètres!$A$1:$I$89,3,0)*VLOOKUP('Données projet'!$B$15,Paramètres!$A$1:$I$89,5,0)</f>
        <v>-6.1186256061773743E-13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211.18501783767226</v>
      </c>
      <c r="EP169" s="59">
        <f t="shared" si="154"/>
        <v>147.98306963466246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498</v>
      </c>
      <c r="FF169" s="17">
        <f>FE169*VLOOKUP('Données projet'!$B$16,Paramètres!$A$1:$I$89,3,0)*VLOOKUP('Données projet'!$B$16,Paramètres!$A$1:$I$89,5,0)</f>
        <v>297.80400000000003</v>
      </c>
      <c r="FG169" s="13">
        <f t="shared" si="182"/>
        <v>70.715900863123025</v>
      </c>
      <c r="FH169" s="20">
        <f t="shared" si="183"/>
        <v>641.83882733660596</v>
      </c>
      <c r="FI169" s="59">
        <f t="shared" si="131"/>
        <v>935.17216066993933</v>
      </c>
      <c r="FJ169" s="59">
        <f ca="1">AVERAGE(OFFSET($FI$3,0,0,'Données projet'!$E$16+1,1))-AVERAGE(OFFSET($H$3,0,0,'Données projet'!$E$16+1,1))</f>
        <v>232.26937455765062</v>
      </c>
      <c r="FK169" s="59">
        <f t="shared" si="156"/>
        <v>115.80853281120301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0.14973288383529743</v>
      </c>
      <c r="FR169" s="21">
        <f>EXP(-LN(2)/25)*FR168+(1-EXP(-LN(2)/25))/(LN(2)/25)*Calculateur!FM169*Calculateur!FO169*VLOOKUP('Données projet'!$B$16,Paramètres!$A$1:$I$89,3,0)*0.475*44/12</f>
        <v>0.10156573244796742</v>
      </c>
      <c r="FS169" s="21">
        <f>EXP(-LN(2)/2)*FS168+(1-EXP(-LN(2)/2))/(LN(2)/2)*FM169*FP169*VLOOKUP('Données projet'!$B$16,Paramètres!$A$1:$I$89,3,0)*0.475*44/12</f>
        <v>2.844583608857536E-20</v>
      </c>
      <c r="FT169" s="22">
        <f t="shared" si="184"/>
        <v>0.25129861628326483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5.6843418860808015E-14</v>
      </c>
      <c r="GA169" s="17">
        <f>FZ169*VLOOKUP('Données projet'!$B$17,Paramètres!$A$1:$I$89,3,0)*VLOOKUP('Données projet'!$B$17,Paramètres!$A$1:$I$89,5,0)</f>
        <v>4.5224624045658861E-14</v>
      </c>
      <c r="GB169" s="13">
        <f t="shared" si="185"/>
        <v>7.4514601661523691E-13</v>
      </c>
      <c r="GC169" s="20">
        <f t="shared" si="186"/>
        <v>1.3765621991510601E-12</v>
      </c>
      <c r="GD169" s="59">
        <f t="shared" si="134"/>
        <v>293.33333333333468</v>
      </c>
      <c r="GE169" s="59">
        <f ca="1">AVERAGE(OFFSET($GD$3,0,0,'Données projet'!$E$17+1,1))-AVERAGE(OFFSET($H$3,0,0,'Données projet'!$E$17+1,1))</f>
        <v>199.58763537752952</v>
      </c>
      <c r="GF169" s="59">
        <f t="shared" si="158"/>
        <v>242.62852778451929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0.23687305735910283</v>
      </c>
      <c r="GN169" s="21">
        <f>EXP(-LN(2)/2)*GN168+(1-EXP(-LN(2)/2))/(LN(2)/2)*GH169*GK169*VLOOKUP('Données projet'!$B$17,Paramètres!$A$1:$I$89,3,0)*0.475*44/12</f>
        <v>3.6461578091434303E-20</v>
      </c>
      <c r="GO169" s="21">
        <f t="shared" si="187"/>
        <v>0.23687305735910283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-5.1431925385259092E-13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153.45079678708987</v>
      </c>
      <c r="T170" s="59">
        <f t="shared" si="142"/>
        <v>115.4217868409637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-5.6843418860808015E-13</v>
      </c>
      <c r="AJ170" s="13">
        <f>AI170*VLOOKUP('Données projet'!$B$10,Paramètres!$A$1:$I$89,3,0)*VLOOKUP('Données projet'!$B$10,Paramètres!$A$1:$I$89,5,0)</f>
        <v>-5.763922672485933E-13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190.21499310415584</v>
      </c>
      <c r="AO170" s="59">
        <f t="shared" si="144"/>
        <v>136.15730566500173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497</v>
      </c>
      <c r="BE170" s="13">
        <f>BD170*VLOOKUP('Données projet'!$B$11,Paramètres!$A$1:$I$89,3,0)*VLOOKUP('Données projet'!$B$11,Paramètres!$A$1:$I$89,5,0)</f>
        <v>297.20600000000002</v>
      </c>
      <c r="BF170" s="13">
        <f t="shared" si="167"/>
        <v>70.590415164571112</v>
      </c>
      <c r="BG170" s="20">
        <f t="shared" si="168"/>
        <v>640.57875641162809</v>
      </c>
      <c r="BH170" s="59">
        <f t="shared" si="116"/>
        <v>933.91208974496135</v>
      </c>
      <c r="BI170" s="59">
        <f ca="1">AVERAGE(OFFSET($BH$3,0,0,'Données projet'!$E$11+1,1))-AVERAGE(OFFSET($H$3,0,0,'Données projet'!$E$11+1,1))</f>
        <v>270.30888762640245</v>
      </c>
      <c r="BJ170" s="59">
        <f t="shared" si="146"/>
        <v>202.23783851977691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0.14206133546257585</v>
      </c>
      <c r="BQ170" s="21">
        <f>EXP(-LN(2)/25)*BQ169+(1-EXP(-LN(2)/25))/(LN(2)/25)*Calculateur!BL170*Calculateur!BN170*VLOOKUP('Données projet'!$B$11,Paramètres!$A$1:$I$89,3,0)*0.475*44/12</f>
        <v>0.27548091068799546</v>
      </c>
      <c r="BR170" s="21">
        <f>EXP(-LN(2)/2)*BR169+(1-EXP(-LN(2)/2))/(LN(2)/2)*BL170*BO170*VLOOKUP('Données projet'!$B$11,Paramètres!$A$1:$I$89,3,0)*0.475*44/12</f>
        <v>4.4304054692071119E-20</v>
      </c>
      <c r="BS170" s="22">
        <f t="shared" si="169"/>
        <v>0.41754224615057134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497</v>
      </c>
      <c r="BZ170" s="13">
        <f>BY170*VLOOKUP('Données projet'!$B$12,Paramètres!$A$1:$I$89,3,0)*VLOOKUP('Données projet'!$B$12,Paramètres!$A$1:$I$89,5,0)</f>
        <v>297.20600000000002</v>
      </c>
      <c r="CA170" s="13">
        <f t="shared" si="170"/>
        <v>70.590415164571112</v>
      </c>
      <c r="CB170" s="20">
        <f t="shared" si="171"/>
        <v>640.57875641162809</v>
      </c>
      <c r="CC170" s="59">
        <f t="shared" si="119"/>
        <v>933.91208974496135</v>
      </c>
      <c r="CD170" s="59">
        <f ca="1">AVERAGE(OFFSET($CC$3,0,0,'Données projet'!$E$12+1,1))-AVERAGE(OFFSET($H$3,0,0,'Données projet'!$E$12+1,1))</f>
        <v>270.30888762640245</v>
      </c>
      <c r="CE170" s="59">
        <f t="shared" si="148"/>
        <v>202.23783851977691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0.14206133546257585</v>
      </c>
      <c r="CL170" s="21">
        <f>EXP(-LN(2)/25)*CL169+(1-EXP(-LN(2)/25))/(LN(2)/25)*Calculateur!CG170*Calculateur!CI170*VLOOKUP('Données projet'!$B$12,Paramètres!$A$1:$I$89,3,0)*0.475*44/12</f>
        <v>0.27548091068799546</v>
      </c>
      <c r="CM170" s="21">
        <f>EXP(-LN(2)/2)*CM169+(1-EXP(-LN(2)/2))/(LN(2)/2)*CG170*CJ170*VLOOKUP('Données projet'!$B$12,Paramètres!$A$1:$I$89,3,0)*0.475*44/12</f>
        <v>4.4304054692071119E-20</v>
      </c>
      <c r="CN170" s="22">
        <f t="shared" si="172"/>
        <v>0.41754224615057134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3.4106051316484809E-13</v>
      </c>
      <c r="CU170" s="17">
        <f>CT170*VLOOKUP('Données projet'!$B$13,Paramètres!$A$1:$I$89,3,0)*VLOOKUP('Données projet'!$B$13,Paramètres!$A$1:$I$89,5,0)</f>
        <v>1.5961632016114892E-13</v>
      </c>
      <c r="CV170" s="13">
        <f t="shared" si="173"/>
        <v>2.2708641912150958E-12</v>
      </c>
      <c r="CW170" s="20">
        <f t="shared" si="174"/>
        <v>4.2330868906469593E-12</v>
      </c>
      <c r="CX170" s="59">
        <f t="shared" si="122"/>
        <v>293.33333333333752</v>
      </c>
      <c r="CY170" s="59">
        <f ca="1">AVERAGE(OFFSET($CX$3,0,0,'Données projet'!$E$13+1,1))-AVERAGE(OFFSET($H$3,0,0,'Données projet'!$E$13+1,1))</f>
        <v>158.58786357608489</v>
      </c>
      <c r="CZ170" s="59">
        <f t="shared" si="150"/>
        <v>163.20074068819849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3.813056537183002E-14</v>
      </c>
      <c r="DQ170" s="13">
        <f t="shared" si="176"/>
        <v>6.4086286045526829E-13</v>
      </c>
      <c r="DR170" s="20">
        <f t="shared" si="177"/>
        <v>1.1825802166488628E-12</v>
      </c>
      <c r="DS170" s="59">
        <f t="shared" si="125"/>
        <v>293.33333333333451</v>
      </c>
      <c r="DT170" s="59">
        <f ca="1">AVERAGE(OFFSET($DS$3,0,0,'Données projet'!$E$14+1,1))-AVERAGE(OFFSET($H$3,0,0,'Données projet'!$E$14+1,1))</f>
        <v>156.63226020379989</v>
      </c>
      <c r="DU170" s="59">
        <f t="shared" si="152"/>
        <v>196.0481096619543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0.19425524116484802</v>
      </c>
      <c r="EC170" s="21">
        <f>EXP(-LN(2)/2)*EC169+(1-EXP(-LN(2)/2))/(LN(2)/2)*DW170*DZ170*VLOOKUP('Données projet'!$B$14,Paramètres!$A$1:$I$89,3,0)*0.475*44/12</f>
        <v>2.1737957886515473E-20</v>
      </c>
      <c r="ED170" s="22">
        <f t="shared" si="178"/>
        <v>0.19425524116484802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-5.6843418860808015E-13</v>
      </c>
      <c r="EK170" s="17">
        <f>EJ170*VLOOKUP('Données projet'!$B$15,Paramètres!$A$1:$I$89,3,0)*VLOOKUP('Données projet'!$B$15,Paramètres!$A$1:$I$89,5,0)</f>
        <v>-6.1186256061773743E-13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211.18501783767226</v>
      </c>
      <c r="EP170" s="59">
        <f t="shared" si="154"/>
        <v>147.98306963466246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498</v>
      </c>
      <c r="FF170" s="17">
        <f>FE170*VLOOKUP('Données projet'!$B$16,Paramètres!$A$1:$I$89,3,0)*VLOOKUP('Données projet'!$B$16,Paramètres!$A$1:$I$89,5,0)</f>
        <v>297.80400000000003</v>
      </c>
      <c r="FG170" s="13">
        <f t="shared" si="182"/>
        <v>70.715900863123025</v>
      </c>
      <c r="FH170" s="20">
        <f t="shared" si="183"/>
        <v>641.83882733660596</v>
      </c>
      <c r="FI170" s="59">
        <f t="shared" si="131"/>
        <v>935.17216066993933</v>
      </c>
      <c r="FJ170" s="59">
        <f ca="1">AVERAGE(OFFSET($FI$3,0,0,'Données projet'!$E$16+1,1))-AVERAGE(OFFSET($H$3,0,0,'Données projet'!$E$16+1,1))</f>
        <v>232.26937455765062</v>
      </c>
      <c r="FK170" s="59">
        <f t="shared" si="156"/>
        <v>115.80853281120301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0.14679671331132849</v>
      </c>
      <c r="FR170" s="21">
        <f>EXP(-LN(2)/25)*FR169+(1-EXP(-LN(2)/25))/(LN(2)/25)*Calculateur!FM170*Calculateur!FO170*VLOOKUP('Données projet'!$B$16,Paramètres!$A$1:$I$89,3,0)*0.475*44/12</f>
        <v>9.8788412153068009E-2</v>
      </c>
      <c r="FS170" s="21">
        <f>EXP(-LN(2)/2)*FS169+(1-EXP(-LN(2)/2))/(LN(2)/2)*FM170*FP170*VLOOKUP('Données projet'!$B$16,Paramètres!$A$1:$I$89,3,0)*0.475*44/12</f>
        <v>2.0114243594752654E-20</v>
      </c>
      <c r="FT170" s="22">
        <f t="shared" si="184"/>
        <v>0.24558512546439648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5.6843418860808015E-14</v>
      </c>
      <c r="GA170" s="17">
        <f>FZ170*VLOOKUP('Données projet'!$B$17,Paramètres!$A$1:$I$89,3,0)*VLOOKUP('Données projet'!$B$17,Paramètres!$A$1:$I$89,5,0)</f>
        <v>4.5224624045658861E-14</v>
      </c>
      <c r="GB170" s="13">
        <f t="shared" si="185"/>
        <v>7.4514601661523691E-13</v>
      </c>
      <c r="GC170" s="20">
        <f t="shared" si="186"/>
        <v>1.3765621991510601E-12</v>
      </c>
      <c r="GD170" s="59">
        <f t="shared" si="134"/>
        <v>293.33333333333468</v>
      </c>
      <c r="GE170" s="59">
        <f ca="1">AVERAGE(OFFSET($GD$3,0,0,'Données projet'!$E$17+1,1))-AVERAGE(OFFSET($H$3,0,0,'Données projet'!$E$17+1,1))</f>
        <v>199.58763537752952</v>
      </c>
      <c r="GF170" s="59">
        <f t="shared" si="158"/>
        <v>242.62852778451929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0.23039575114900546</v>
      </c>
      <c r="GN170" s="21">
        <f>EXP(-LN(2)/2)*GN169+(1-EXP(-LN(2)/2))/(LN(2)/2)*GH170*GK170*VLOOKUP('Données projet'!$B$17,Paramètres!$A$1:$I$89,3,0)*0.475*44/12</f>
        <v>2.5782229121216051E-20</v>
      </c>
      <c r="GO170" s="21">
        <f t="shared" si="187"/>
        <v>0.23039575114900546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-5.1431925385259092E-13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153.45079678708987</v>
      </c>
      <c r="T171" s="59">
        <f t="shared" si="142"/>
        <v>115.4217868409637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-5.6843418860808015E-13</v>
      </c>
      <c r="AJ171" s="13">
        <f>AI171*VLOOKUP('Données projet'!$B$10,Paramètres!$A$1:$I$89,3,0)*VLOOKUP('Données projet'!$B$10,Paramètres!$A$1:$I$89,5,0)</f>
        <v>-5.763922672485933E-13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190.21499310415584</v>
      </c>
      <c r="AO171" s="59">
        <f t="shared" si="144"/>
        <v>136.15730566500173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497</v>
      </c>
      <c r="BE171" s="13">
        <f>BD171*VLOOKUP('Données projet'!$B$11,Paramètres!$A$1:$I$89,3,0)*VLOOKUP('Données projet'!$B$11,Paramètres!$A$1:$I$89,5,0)</f>
        <v>297.20600000000002</v>
      </c>
      <c r="BF171" s="13">
        <f t="shared" si="167"/>
        <v>70.590415164571112</v>
      </c>
      <c r="BG171" s="20">
        <f t="shared" si="168"/>
        <v>640.57875641162809</v>
      </c>
      <c r="BH171" s="59">
        <f t="shared" si="116"/>
        <v>933.91208974496135</v>
      </c>
      <c r="BI171" s="59">
        <f ca="1">AVERAGE(OFFSET($BH$3,0,0,'Données projet'!$E$11+1,1))-AVERAGE(OFFSET($H$3,0,0,'Données projet'!$E$11+1,1))</f>
        <v>270.30888762640245</v>
      </c>
      <c r="BJ171" s="59">
        <f t="shared" si="146"/>
        <v>202.23783851977691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0.1392755993230135</v>
      </c>
      <c r="BQ171" s="21">
        <f>EXP(-LN(2)/25)*BQ170+(1-EXP(-LN(2)/25))/(LN(2)/25)*Calculateur!BL171*Calculateur!BN171*VLOOKUP('Données projet'!$B$11,Paramètres!$A$1:$I$89,3,0)*0.475*44/12</f>
        <v>0.26794787069832077</v>
      </c>
      <c r="BR171" s="21">
        <f>EXP(-LN(2)/2)*BR170+(1-EXP(-LN(2)/2))/(LN(2)/2)*BL171*BO171*VLOOKUP('Données projet'!$B$11,Paramètres!$A$1:$I$89,3,0)*0.475*44/12</f>
        <v>3.1327697506823167E-20</v>
      </c>
      <c r="BS171" s="22">
        <f t="shared" si="169"/>
        <v>0.4072234700213343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497</v>
      </c>
      <c r="BZ171" s="13">
        <f>BY171*VLOOKUP('Données projet'!$B$12,Paramètres!$A$1:$I$89,3,0)*VLOOKUP('Données projet'!$B$12,Paramètres!$A$1:$I$89,5,0)</f>
        <v>297.20600000000002</v>
      </c>
      <c r="CA171" s="13">
        <f t="shared" si="170"/>
        <v>70.590415164571112</v>
      </c>
      <c r="CB171" s="20">
        <f t="shared" si="171"/>
        <v>640.57875641162809</v>
      </c>
      <c r="CC171" s="59">
        <f t="shared" si="119"/>
        <v>933.91208974496135</v>
      </c>
      <c r="CD171" s="59">
        <f ca="1">AVERAGE(OFFSET($CC$3,0,0,'Données projet'!$E$12+1,1))-AVERAGE(OFFSET($H$3,0,0,'Données projet'!$E$12+1,1))</f>
        <v>270.30888762640245</v>
      </c>
      <c r="CE171" s="59">
        <f t="shared" si="148"/>
        <v>202.23783851977691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0.1392755993230135</v>
      </c>
      <c r="CL171" s="21">
        <f>EXP(-LN(2)/25)*CL170+(1-EXP(-LN(2)/25))/(LN(2)/25)*Calculateur!CG171*Calculateur!CI171*VLOOKUP('Données projet'!$B$12,Paramètres!$A$1:$I$89,3,0)*0.475*44/12</f>
        <v>0.26794787069832077</v>
      </c>
      <c r="CM171" s="21">
        <f>EXP(-LN(2)/2)*CM170+(1-EXP(-LN(2)/2))/(LN(2)/2)*CG171*CJ171*VLOOKUP('Données projet'!$B$12,Paramètres!$A$1:$I$89,3,0)*0.475*44/12</f>
        <v>3.1327697506823167E-20</v>
      </c>
      <c r="CN171" s="22">
        <f t="shared" si="172"/>
        <v>0.4072234700213343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3.4106051316484809E-13</v>
      </c>
      <c r="CU171" s="17">
        <f>CT171*VLOOKUP('Données projet'!$B$13,Paramètres!$A$1:$I$89,3,0)*VLOOKUP('Données projet'!$B$13,Paramètres!$A$1:$I$89,5,0)</f>
        <v>1.5961632016114892E-13</v>
      </c>
      <c r="CV171" s="13">
        <f t="shared" si="173"/>
        <v>2.2708641912150958E-12</v>
      </c>
      <c r="CW171" s="20">
        <f t="shared" si="174"/>
        <v>4.2330868906469593E-12</v>
      </c>
      <c r="CX171" s="59">
        <f t="shared" si="122"/>
        <v>293.33333333333752</v>
      </c>
      <c r="CY171" s="59">
        <f ca="1">AVERAGE(OFFSET($CX$3,0,0,'Données projet'!$E$13+1,1))-AVERAGE(OFFSET($H$3,0,0,'Données projet'!$E$13+1,1))</f>
        <v>158.58786357608489</v>
      </c>
      <c r="CZ171" s="59">
        <f t="shared" si="150"/>
        <v>163.20074068819849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3.813056537183002E-14</v>
      </c>
      <c r="DQ171" s="13">
        <f t="shared" si="176"/>
        <v>6.4086286045526829E-13</v>
      </c>
      <c r="DR171" s="20">
        <f t="shared" si="177"/>
        <v>1.1825802166488628E-12</v>
      </c>
      <c r="DS171" s="59">
        <f t="shared" si="125"/>
        <v>293.33333333333451</v>
      </c>
      <c r="DT171" s="59">
        <f ca="1">AVERAGE(OFFSET($DS$3,0,0,'Données projet'!$E$14+1,1))-AVERAGE(OFFSET($H$3,0,0,'Données projet'!$E$14+1,1))</f>
        <v>156.63226020379989</v>
      </c>
      <c r="DU171" s="59">
        <f t="shared" si="152"/>
        <v>196.0481096619543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0.18894332137975609</v>
      </c>
      <c r="EC171" s="21">
        <f>EXP(-LN(2)/2)*EC170+(1-EXP(-LN(2)/2))/(LN(2)/2)*DW171*DZ171*VLOOKUP('Données projet'!$B$14,Paramètres!$A$1:$I$89,3,0)*0.475*44/12</f>
        <v>1.5371057430702682E-20</v>
      </c>
      <c r="ED171" s="22">
        <f t="shared" si="178"/>
        <v>0.18894332137975609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-5.6843418860808015E-13</v>
      </c>
      <c r="EK171" s="17">
        <f>EJ171*VLOOKUP('Données projet'!$B$15,Paramètres!$A$1:$I$89,3,0)*VLOOKUP('Données projet'!$B$15,Paramètres!$A$1:$I$89,5,0)</f>
        <v>-6.1186256061773743E-13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211.18501783767226</v>
      </c>
      <c r="EP171" s="59">
        <f t="shared" si="154"/>
        <v>147.98306963466246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498</v>
      </c>
      <c r="FF171" s="17">
        <f>FE171*VLOOKUP('Données projet'!$B$16,Paramètres!$A$1:$I$89,3,0)*VLOOKUP('Données projet'!$B$16,Paramètres!$A$1:$I$89,5,0)</f>
        <v>297.80400000000003</v>
      </c>
      <c r="FG171" s="13">
        <f t="shared" si="182"/>
        <v>70.715900863123025</v>
      </c>
      <c r="FH171" s="20">
        <f t="shared" si="183"/>
        <v>641.83882733660596</v>
      </c>
      <c r="FI171" s="59">
        <f t="shared" si="131"/>
        <v>935.17216066993933</v>
      </c>
      <c r="FJ171" s="59">
        <f ca="1">AVERAGE(OFFSET($FI$3,0,0,'Données projet'!$E$16+1,1))-AVERAGE(OFFSET($H$3,0,0,'Données projet'!$E$16+1,1))</f>
        <v>232.26937455765062</v>
      </c>
      <c r="FK171" s="59">
        <f t="shared" si="156"/>
        <v>115.80853281120301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0.1439181193004474</v>
      </c>
      <c r="FR171" s="21">
        <f>EXP(-LN(2)/25)*FR170+(1-EXP(-LN(2)/25))/(LN(2)/25)*Calculateur!FM171*Calculateur!FO171*VLOOKUP('Données projet'!$B$16,Paramètres!$A$1:$I$89,3,0)*0.475*44/12</f>
        <v>9.6087037827685559E-2</v>
      </c>
      <c r="FS171" s="21">
        <f>EXP(-LN(2)/2)*FS170+(1-EXP(-LN(2)/2))/(LN(2)/2)*FM171*FP171*VLOOKUP('Données projet'!$B$16,Paramètres!$A$1:$I$89,3,0)*0.475*44/12</f>
        <v>1.422291804428768E-20</v>
      </c>
      <c r="FT171" s="22">
        <f t="shared" si="184"/>
        <v>0.24000515712813297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5.6843418860808015E-14</v>
      </c>
      <c r="GA171" s="17">
        <f>FZ171*VLOOKUP('Données projet'!$B$17,Paramètres!$A$1:$I$89,3,0)*VLOOKUP('Données projet'!$B$17,Paramètres!$A$1:$I$89,5,0)</f>
        <v>4.5224624045658861E-14</v>
      </c>
      <c r="GB171" s="13">
        <f t="shared" si="185"/>
        <v>7.4514601661523691E-13</v>
      </c>
      <c r="GC171" s="20">
        <f t="shared" si="186"/>
        <v>1.3765621991510601E-12</v>
      </c>
      <c r="GD171" s="59">
        <f t="shared" si="134"/>
        <v>293.33333333333468</v>
      </c>
      <c r="GE171" s="59">
        <f ca="1">AVERAGE(OFFSET($GD$3,0,0,'Données projet'!$E$17+1,1))-AVERAGE(OFFSET($H$3,0,0,'Données projet'!$E$17+1,1))</f>
        <v>199.58763537752952</v>
      </c>
      <c r="GF171" s="59">
        <f t="shared" si="158"/>
        <v>242.62852778451929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0.22409556721784993</v>
      </c>
      <c r="GN171" s="21">
        <f>EXP(-LN(2)/2)*GN170+(1-EXP(-LN(2)/2))/(LN(2)/2)*GH171*GK171*VLOOKUP('Données projet'!$B$17,Paramètres!$A$1:$I$89,3,0)*0.475*44/12</f>
        <v>1.8230789045717151E-20</v>
      </c>
      <c r="GO171" s="21">
        <f t="shared" si="187"/>
        <v>0.22409556721784993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-5.1431925385259092E-13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153.45079678708987</v>
      </c>
      <c r="T172" s="59">
        <f t="shared" si="142"/>
        <v>115.4217868409637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-5.6843418860808015E-13</v>
      </c>
      <c r="AJ172" s="13">
        <f>AI172*VLOOKUP('Données projet'!$B$10,Paramètres!$A$1:$I$89,3,0)*VLOOKUP('Données projet'!$B$10,Paramètres!$A$1:$I$89,5,0)</f>
        <v>-5.763922672485933E-13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190.21499310415584</v>
      </c>
      <c r="AO172" s="59">
        <f t="shared" si="144"/>
        <v>136.15730566500173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497</v>
      </c>
      <c r="BE172" s="13">
        <f>BD172*VLOOKUP('Données projet'!$B$11,Paramètres!$A$1:$I$89,3,0)*VLOOKUP('Données projet'!$B$11,Paramètres!$A$1:$I$89,5,0)</f>
        <v>297.20600000000002</v>
      </c>
      <c r="BF172" s="13">
        <f t="shared" si="167"/>
        <v>70.590415164571112</v>
      </c>
      <c r="BG172" s="20">
        <f t="shared" si="168"/>
        <v>640.57875641162809</v>
      </c>
      <c r="BH172" s="59">
        <f t="shared" si="116"/>
        <v>933.91208974496135</v>
      </c>
      <c r="BI172" s="59">
        <f ca="1">AVERAGE(OFFSET($BH$3,0,0,'Données projet'!$E$11+1,1))-AVERAGE(OFFSET($H$3,0,0,'Données projet'!$E$11+1,1))</f>
        <v>270.30888762640245</v>
      </c>
      <c r="BJ172" s="59">
        <f t="shared" si="146"/>
        <v>202.23783851977691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0.13654448977001671</v>
      </c>
      <c r="BQ172" s="21">
        <f>EXP(-LN(2)/25)*BQ171+(1-EXP(-LN(2)/25))/(LN(2)/25)*Calculateur!BL172*Calculateur!BN172*VLOOKUP('Données projet'!$B$11,Paramètres!$A$1:$I$89,3,0)*0.475*44/12</f>
        <v>0.26062082208330906</v>
      </c>
      <c r="BR172" s="21">
        <f>EXP(-LN(2)/2)*BR171+(1-EXP(-LN(2)/2))/(LN(2)/2)*BL172*BO172*VLOOKUP('Données projet'!$B$11,Paramètres!$A$1:$I$89,3,0)*0.475*44/12</f>
        <v>2.215202734603556E-20</v>
      </c>
      <c r="BS172" s="22">
        <f t="shared" si="169"/>
        <v>0.39716531185332576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497</v>
      </c>
      <c r="BZ172" s="13">
        <f>BY172*VLOOKUP('Données projet'!$B$12,Paramètres!$A$1:$I$89,3,0)*VLOOKUP('Données projet'!$B$12,Paramètres!$A$1:$I$89,5,0)</f>
        <v>297.20600000000002</v>
      </c>
      <c r="CA172" s="13">
        <f t="shared" si="170"/>
        <v>70.590415164571112</v>
      </c>
      <c r="CB172" s="20">
        <f t="shared" si="171"/>
        <v>640.57875641162809</v>
      </c>
      <c r="CC172" s="59">
        <f t="shared" si="119"/>
        <v>933.91208974496135</v>
      </c>
      <c r="CD172" s="59">
        <f ca="1">AVERAGE(OFFSET($CC$3,0,0,'Données projet'!$E$12+1,1))-AVERAGE(OFFSET($H$3,0,0,'Données projet'!$E$12+1,1))</f>
        <v>270.30888762640245</v>
      </c>
      <c r="CE172" s="59">
        <f t="shared" si="148"/>
        <v>202.23783851977691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0.13654448977001671</v>
      </c>
      <c r="CL172" s="21">
        <f>EXP(-LN(2)/25)*CL171+(1-EXP(-LN(2)/25))/(LN(2)/25)*Calculateur!CG172*Calculateur!CI172*VLOOKUP('Données projet'!$B$12,Paramètres!$A$1:$I$89,3,0)*0.475*44/12</f>
        <v>0.26062082208330906</v>
      </c>
      <c r="CM172" s="21">
        <f>EXP(-LN(2)/2)*CM171+(1-EXP(-LN(2)/2))/(LN(2)/2)*CG172*CJ172*VLOOKUP('Données projet'!$B$12,Paramètres!$A$1:$I$89,3,0)*0.475*44/12</f>
        <v>2.215202734603556E-20</v>
      </c>
      <c r="CN172" s="22">
        <f t="shared" si="172"/>
        <v>0.39716531185332576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3.4106051316484809E-13</v>
      </c>
      <c r="CU172" s="17">
        <f>CT172*VLOOKUP('Données projet'!$B$13,Paramètres!$A$1:$I$89,3,0)*VLOOKUP('Données projet'!$B$13,Paramètres!$A$1:$I$89,5,0)</f>
        <v>1.5961632016114892E-13</v>
      </c>
      <c r="CV172" s="13">
        <f t="shared" si="173"/>
        <v>2.2708641912150958E-12</v>
      </c>
      <c r="CW172" s="20">
        <f t="shared" si="174"/>
        <v>4.2330868906469593E-12</v>
      </c>
      <c r="CX172" s="59">
        <f t="shared" si="122"/>
        <v>293.33333333333752</v>
      </c>
      <c r="CY172" s="59">
        <f ca="1">AVERAGE(OFFSET($CX$3,0,0,'Données projet'!$E$13+1,1))-AVERAGE(OFFSET($H$3,0,0,'Données projet'!$E$13+1,1))</f>
        <v>158.58786357608489</v>
      </c>
      <c r="CZ172" s="59">
        <f t="shared" si="150"/>
        <v>163.20074068819849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3.813056537183002E-14</v>
      </c>
      <c r="DQ172" s="13">
        <f t="shared" si="176"/>
        <v>6.4086286045526829E-13</v>
      </c>
      <c r="DR172" s="20">
        <f t="shared" si="177"/>
        <v>1.1825802166488628E-12</v>
      </c>
      <c r="DS172" s="59">
        <f t="shared" si="125"/>
        <v>293.33333333333451</v>
      </c>
      <c r="DT172" s="59">
        <f ca="1">AVERAGE(OFFSET($DS$3,0,0,'Données projet'!$E$14+1,1))-AVERAGE(OFFSET($H$3,0,0,'Données projet'!$E$14+1,1))</f>
        <v>156.63226020379989</v>
      </c>
      <c r="DU172" s="59">
        <f t="shared" si="152"/>
        <v>196.0481096619543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0.18377665632052922</v>
      </c>
      <c r="EC172" s="21">
        <f>EXP(-LN(2)/2)*EC171+(1-EXP(-LN(2)/2))/(LN(2)/2)*DW172*DZ172*VLOOKUP('Données projet'!$B$14,Paramètres!$A$1:$I$89,3,0)*0.475*44/12</f>
        <v>1.0868978943257737E-20</v>
      </c>
      <c r="ED172" s="22">
        <f t="shared" si="178"/>
        <v>0.18377665632052922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-5.6843418860808015E-13</v>
      </c>
      <c r="EK172" s="17">
        <f>EJ172*VLOOKUP('Données projet'!$B$15,Paramètres!$A$1:$I$89,3,0)*VLOOKUP('Données projet'!$B$15,Paramètres!$A$1:$I$89,5,0)</f>
        <v>-6.1186256061773743E-13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211.18501783767226</v>
      </c>
      <c r="EP172" s="59">
        <f t="shared" si="154"/>
        <v>147.98306963466246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498</v>
      </c>
      <c r="FF172" s="17">
        <f>FE172*VLOOKUP('Données projet'!$B$16,Paramètres!$A$1:$I$89,3,0)*VLOOKUP('Données projet'!$B$16,Paramètres!$A$1:$I$89,5,0)</f>
        <v>297.80400000000003</v>
      </c>
      <c r="FG172" s="13">
        <f t="shared" si="182"/>
        <v>70.715900863123025</v>
      </c>
      <c r="FH172" s="20">
        <f t="shared" si="183"/>
        <v>641.83882733660596</v>
      </c>
      <c r="FI172" s="59">
        <f t="shared" si="131"/>
        <v>935.17216066993933</v>
      </c>
      <c r="FJ172" s="59">
        <f ca="1">AVERAGE(OFFSET($FI$3,0,0,'Données projet'!$E$16+1,1))-AVERAGE(OFFSET($H$3,0,0,'Données projet'!$E$16+1,1))</f>
        <v>232.26937455765062</v>
      </c>
      <c r="FK172" s="59">
        <f t="shared" si="156"/>
        <v>115.80853281120301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0.1410959727623507</v>
      </c>
      <c r="FR172" s="21">
        <f>EXP(-LN(2)/25)*FR171+(1-EXP(-LN(2)/25))/(LN(2)/25)*Calculateur!FM172*Calculateur!FO172*VLOOKUP('Données projet'!$B$16,Paramètres!$A$1:$I$89,3,0)*0.475*44/12</f>
        <v>9.3459532725289785E-2</v>
      </c>
      <c r="FS172" s="21">
        <f>EXP(-LN(2)/2)*FS171+(1-EXP(-LN(2)/2))/(LN(2)/2)*FM172*FP172*VLOOKUP('Données projet'!$B$16,Paramètres!$A$1:$I$89,3,0)*0.475*44/12</f>
        <v>1.0057121797376327E-20</v>
      </c>
      <c r="FT172" s="22">
        <f t="shared" si="184"/>
        <v>0.23455550548764048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5.6843418860808015E-14</v>
      </c>
      <c r="GA172" s="17">
        <f>FZ172*VLOOKUP('Données projet'!$B$17,Paramètres!$A$1:$I$89,3,0)*VLOOKUP('Données projet'!$B$17,Paramètres!$A$1:$I$89,5,0)</f>
        <v>4.5224624045658861E-14</v>
      </c>
      <c r="GB172" s="13">
        <f t="shared" si="185"/>
        <v>7.4514601661523691E-13</v>
      </c>
      <c r="GC172" s="20">
        <f t="shared" si="186"/>
        <v>1.3765621991510601E-12</v>
      </c>
      <c r="GD172" s="59">
        <f t="shared" si="134"/>
        <v>293.33333333333468</v>
      </c>
      <c r="GE172" s="59">
        <f ca="1">AVERAGE(OFFSET($GD$3,0,0,'Données projet'!$E$17+1,1))-AVERAGE(OFFSET($H$3,0,0,'Données projet'!$E$17+1,1))</f>
        <v>199.58763537752952</v>
      </c>
      <c r="GF172" s="59">
        <f t="shared" si="158"/>
        <v>242.62852778451929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0.21796766214760413</v>
      </c>
      <c r="GN172" s="21">
        <f>EXP(-LN(2)/2)*GN171+(1-EXP(-LN(2)/2))/(LN(2)/2)*GH172*GK172*VLOOKUP('Données projet'!$B$17,Paramètres!$A$1:$I$89,3,0)*0.475*44/12</f>
        <v>1.2891114560608025E-20</v>
      </c>
      <c r="GO172" s="21">
        <f t="shared" si="187"/>
        <v>0.21796766214760413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-5.1431925385259092E-13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153.45079678708987</v>
      </c>
      <c r="T173" s="59">
        <f t="shared" si="142"/>
        <v>115.4217868409637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-5.6843418860808015E-13</v>
      </c>
      <c r="AJ173" s="13">
        <f>AI173*VLOOKUP('Données projet'!$B$10,Paramètres!$A$1:$I$89,3,0)*VLOOKUP('Données projet'!$B$10,Paramètres!$A$1:$I$89,5,0)</f>
        <v>-5.763922672485933E-13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190.21499310415584</v>
      </c>
      <c r="AO173" s="59">
        <f t="shared" si="144"/>
        <v>136.15730566500173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497</v>
      </c>
      <c r="BE173" s="13">
        <f>BD173*VLOOKUP('Données projet'!$B$11,Paramètres!$A$1:$I$89,3,0)*VLOOKUP('Données projet'!$B$11,Paramètres!$A$1:$I$89,5,0)</f>
        <v>297.20600000000002</v>
      </c>
      <c r="BF173" s="13">
        <f t="shared" si="167"/>
        <v>70.590415164571112</v>
      </c>
      <c r="BG173" s="20">
        <f t="shared" si="168"/>
        <v>640.57875641162809</v>
      </c>
      <c r="BH173" s="59">
        <f t="shared" si="116"/>
        <v>933.91208974496135</v>
      </c>
      <c r="BI173" s="59">
        <f ca="1">AVERAGE(OFFSET($BH$3,0,0,'Données projet'!$E$11+1,1))-AVERAGE(OFFSET($H$3,0,0,'Données projet'!$E$11+1,1))</f>
        <v>270.30888762640245</v>
      </c>
      <c r="BJ173" s="59">
        <f t="shared" si="146"/>
        <v>202.23783851977691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0.13386693560954183</v>
      </c>
      <c r="BQ173" s="21">
        <f>EXP(-LN(2)/25)*BQ172+(1-EXP(-LN(2)/25))/(LN(2)/25)*Calculateur!BL173*Calculateur!BN173*VLOOKUP('Données projet'!$B$11,Paramètres!$A$1:$I$89,3,0)*0.475*44/12</f>
        <v>0.25349413199798759</v>
      </c>
      <c r="BR173" s="21">
        <f>EXP(-LN(2)/2)*BR172+(1-EXP(-LN(2)/2))/(LN(2)/2)*BL173*BO173*VLOOKUP('Données projet'!$B$11,Paramètres!$A$1:$I$89,3,0)*0.475*44/12</f>
        <v>1.5663848753411583E-20</v>
      </c>
      <c r="BS173" s="22">
        <f t="shared" si="169"/>
        <v>0.38736106760752942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497</v>
      </c>
      <c r="BZ173" s="13">
        <f>BY173*VLOOKUP('Données projet'!$B$12,Paramètres!$A$1:$I$89,3,0)*VLOOKUP('Données projet'!$B$12,Paramètres!$A$1:$I$89,5,0)</f>
        <v>297.20600000000002</v>
      </c>
      <c r="CA173" s="13">
        <f t="shared" si="170"/>
        <v>70.590415164571112</v>
      </c>
      <c r="CB173" s="20">
        <f t="shared" si="171"/>
        <v>640.57875641162809</v>
      </c>
      <c r="CC173" s="59">
        <f t="shared" si="119"/>
        <v>933.91208974496135</v>
      </c>
      <c r="CD173" s="59">
        <f ca="1">AVERAGE(OFFSET($CC$3,0,0,'Données projet'!$E$12+1,1))-AVERAGE(OFFSET($H$3,0,0,'Données projet'!$E$12+1,1))</f>
        <v>270.30888762640245</v>
      </c>
      <c r="CE173" s="59">
        <f t="shared" si="148"/>
        <v>202.23783851977691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0.13386693560954183</v>
      </c>
      <c r="CL173" s="21">
        <f>EXP(-LN(2)/25)*CL172+(1-EXP(-LN(2)/25))/(LN(2)/25)*Calculateur!CG173*Calculateur!CI173*VLOOKUP('Données projet'!$B$12,Paramètres!$A$1:$I$89,3,0)*0.475*44/12</f>
        <v>0.25349413199798759</v>
      </c>
      <c r="CM173" s="21">
        <f>EXP(-LN(2)/2)*CM172+(1-EXP(-LN(2)/2))/(LN(2)/2)*CG173*CJ173*VLOOKUP('Données projet'!$B$12,Paramètres!$A$1:$I$89,3,0)*0.475*44/12</f>
        <v>1.5663848753411583E-20</v>
      </c>
      <c r="CN173" s="22">
        <f t="shared" si="172"/>
        <v>0.38736106760752942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3.4106051316484809E-13</v>
      </c>
      <c r="CU173" s="17">
        <f>CT173*VLOOKUP('Données projet'!$B$13,Paramètres!$A$1:$I$89,3,0)*VLOOKUP('Données projet'!$B$13,Paramètres!$A$1:$I$89,5,0)</f>
        <v>1.5961632016114892E-13</v>
      </c>
      <c r="CV173" s="13">
        <f t="shared" si="173"/>
        <v>2.2708641912150958E-12</v>
      </c>
      <c r="CW173" s="20">
        <f t="shared" si="174"/>
        <v>4.2330868906469593E-12</v>
      </c>
      <c r="CX173" s="59">
        <f t="shared" si="122"/>
        <v>293.33333333333752</v>
      </c>
      <c r="CY173" s="59">
        <f ca="1">AVERAGE(OFFSET($CX$3,0,0,'Données projet'!$E$13+1,1))-AVERAGE(OFFSET($H$3,0,0,'Données projet'!$E$13+1,1))</f>
        <v>158.58786357608489</v>
      </c>
      <c r="CZ173" s="59">
        <f t="shared" si="150"/>
        <v>163.20074068819849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3.813056537183002E-14</v>
      </c>
      <c r="DQ173" s="13">
        <f t="shared" si="176"/>
        <v>6.4086286045526829E-13</v>
      </c>
      <c r="DR173" s="20">
        <f t="shared" si="177"/>
        <v>1.1825802166488628E-12</v>
      </c>
      <c r="DS173" s="59">
        <f t="shared" si="125"/>
        <v>293.33333333333451</v>
      </c>
      <c r="DT173" s="59">
        <f ca="1">AVERAGE(OFFSET($DS$3,0,0,'Données projet'!$E$14+1,1))-AVERAGE(OFFSET($H$3,0,0,'Données projet'!$E$14+1,1))</f>
        <v>156.63226020379989</v>
      </c>
      <c r="DU173" s="59">
        <f t="shared" si="152"/>
        <v>196.0481096619543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0.17875127398905002</v>
      </c>
      <c r="EC173" s="21">
        <f>EXP(-LN(2)/2)*EC172+(1-EXP(-LN(2)/2))/(LN(2)/2)*DW173*DZ173*VLOOKUP('Données projet'!$B$14,Paramètres!$A$1:$I$89,3,0)*0.475*44/12</f>
        <v>7.6855287153513409E-21</v>
      </c>
      <c r="ED173" s="22">
        <f t="shared" si="178"/>
        <v>0.17875127398905002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-5.6843418860808015E-13</v>
      </c>
      <c r="EK173" s="17">
        <f>EJ173*VLOOKUP('Données projet'!$B$15,Paramètres!$A$1:$I$89,3,0)*VLOOKUP('Données projet'!$B$15,Paramètres!$A$1:$I$89,5,0)</f>
        <v>-6.1186256061773743E-13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211.18501783767226</v>
      </c>
      <c r="EP173" s="59">
        <f t="shared" si="154"/>
        <v>147.98306963466246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498</v>
      </c>
      <c r="FF173" s="17">
        <f>FE173*VLOOKUP('Données projet'!$B$16,Paramètres!$A$1:$I$89,3,0)*VLOOKUP('Données projet'!$B$16,Paramètres!$A$1:$I$89,5,0)</f>
        <v>297.80400000000003</v>
      </c>
      <c r="FG173" s="13">
        <f t="shared" si="182"/>
        <v>70.715900863123025</v>
      </c>
      <c r="FH173" s="20">
        <f t="shared" si="183"/>
        <v>641.83882733660596</v>
      </c>
      <c r="FI173" s="59">
        <f t="shared" si="131"/>
        <v>935.17216066993933</v>
      </c>
      <c r="FJ173" s="59">
        <f ca="1">AVERAGE(OFFSET($FI$3,0,0,'Données projet'!$E$16+1,1))-AVERAGE(OFFSET($H$3,0,0,'Données projet'!$E$16+1,1))</f>
        <v>232.26937455765062</v>
      </c>
      <c r="FK173" s="59">
        <f t="shared" si="156"/>
        <v>115.80853281120301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0.13832916679652665</v>
      </c>
      <c r="FR173" s="21">
        <f>EXP(-LN(2)/25)*FR172+(1-EXP(-LN(2)/25))/(LN(2)/25)*Calculateur!FM173*Calculateur!FO173*VLOOKUP('Données projet'!$B$16,Paramètres!$A$1:$I$89,3,0)*0.475*44/12</f>
        <v>9.090387688809351E-2</v>
      </c>
      <c r="FS173" s="21">
        <f>EXP(-LN(2)/2)*FS172+(1-EXP(-LN(2)/2))/(LN(2)/2)*FM173*FP173*VLOOKUP('Données projet'!$B$16,Paramètres!$A$1:$I$89,3,0)*0.475*44/12</f>
        <v>7.1114590221438399E-21</v>
      </c>
      <c r="FT173" s="22">
        <f t="shared" si="184"/>
        <v>0.22923304368462016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5.6843418860808015E-14</v>
      </c>
      <c r="GA173" s="17">
        <f>FZ173*VLOOKUP('Données projet'!$B$17,Paramètres!$A$1:$I$89,3,0)*VLOOKUP('Données projet'!$B$17,Paramètres!$A$1:$I$89,5,0)</f>
        <v>4.5224624045658861E-14</v>
      </c>
      <c r="GB173" s="13">
        <f t="shared" si="185"/>
        <v>7.4514601661523691E-13</v>
      </c>
      <c r="GC173" s="20">
        <f t="shared" si="186"/>
        <v>1.3765621991510601E-12</v>
      </c>
      <c r="GD173" s="59">
        <f t="shared" si="134"/>
        <v>293.33333333333468</v>
      </c>
      <c r="GE173" s="59">
        <f ca="1">AVERAGE(OFFSET($GD$3,0,0,'Données projet'!$E$17+1,1))-AVERAGE(OFFSET($H$3,0,0,'Données projet'!$E$17+1,1))</f>
        <v>199.58763537752952</v>
      </c>
      <c r="GF173" s="59">
        <f t="shared" si="158"/>
        <v>242.62852778451929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0.21200732496375671</v>
      </c>
      <c r="GN173" s="21">
        <f>EXP(-LN(2)/2)*GN172+(1-EXP(-LN(2)/2))/(LN(2)/2)*GH173*GK173*VLOOKUP('Données projet'!$B$17,Paramètres!$A$1:$I$89,3,0)*0.475*44/12</f>
        <v>9.1153945228585756E-21</v>
      </c>
      <c r="GO173" s="21">
        <f t="shared" si="187"/>
        <v>0.21200732496375671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-5.1431925385259092E-13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153.45079678708987</v>
      </c>
      <c r="T174" s="59">
        <f t="shared" si="142"/>
        <v>115.4217868409637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-5.6843418860808015E-13</v>
      </c>
      <c r="AJ174" s="13">
        <f>AI174*VLOOKUP('Données projet'!$B$10,Paramètres!$A$1:$I$89,3,0)*VLOOKUP('Données projet'!$B$10,Paramètres!$A$1:$I$89,5,0)</f>
        <v>-5.763922672485933E-13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190.21499310415584</v>
      </c>
      <c r="AO174" s="59">
        <f t="shared" si="144"/>
        <v>136.15730566500173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497</v>
      </c>
      <c r="BE174" s="13">
        <f>BD174*VLOOKUP('Données projet'!$B$11,Paramètres!$A$1:$I$89,3,0)*VLOOKUP('Données projet'!$B$11,Paramètres!$A$1:$I$89,5,0)</f>
        <v>297.20600000000002</v>
      </c>
      <c r="BF174" s="13">
        <f t="shared" si="167"/>
        <v>70.590415164571112</v>
      </c>
      <c r="BG174" s="20">
        <f t="shared" si="168"/>
        <v>640.57875641162809</v>
      </c>
      <c r="BH174" s="59">
        <f t="shared" si="116"/>
        <v>933.91208974496135</v>
      </c>
      <c r="BI174" s="59">
        <f ca="1">AVERAGE(OFFSET($BH$3,0,0,'Données projet'!$E$11+1,1))-AVERAGE(OFFSET($H$3,0,0,'Données projet'!$E$11+1,1))</f>
        <v>270.30888762640245</v>
      </c>
      <c r="BJ174" s="59">
        <f t="shared" si="146"/>
        <v>202.23783851977691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0.13124188665300709</v>
      </c>
      <c r="BQ174" s="21">
        <f>EXP(-LN(2)/25)*BQ173+(1-EXP(-LN(2)/25))/(LN(2)/25)*Calculateur!BL174*Calculateur!BN174*VLOOKUP('Données projet'!$B$11,Paramètres!$A$1:$I$89,3,0)*0.475*44/12</f>
        <v>0.2465623216278256</v>
      </c>
      <c r="BR174" s="21">
        <f>EXP(-LN(2)/2)*BR173+(1-EXP(-LN(2)/2))/(LN(2)/2)*BL174*BO174*VLOOKUP('Données projet'!$B$11,Paramètres!$A$1:$I$89,3,0)*0.475*44/12</f>
        <v>1.107601367301778E-20</v>
      </c>
      <c r="BS174" s="22">
        <f t="shared" si="169"/>
        <v>0.37780420828083272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497</v>
      </c>
      <c r="BZ174" s="13">
        <f>BY174*VLOOKUP('Données projet'!$B$12,Paramètres!$A$1:$I$89,3,0)*VLOOKUP('Données projet'!$B$12,Paramètres!$A$1:$I$89,5,0)</f>
        <v>297.20600000000002</v>
      </c>
      <c r="CA174" s="13">
        <f t="shared" si="170"/>
        <v>70.590415164571112</v>
      </c>
      <c r="CB174" s="20">
        <f t="shared" si="171"/>
        <v>640.57875641162809</v>
      </c>
      <c r="CC174" s="59">
        <f t="shared" si="119"/>
        <v>933.91208974496135</v>
      </c>
      <c r="CD174" s="59">
        <f ca="1">AVERAGE(OFFSET($CC$3,0,0,'Données projet'!$E$12+1,1))-AVERAGE(OFFSET($H$3,0,0,'Données projet'!$E$12+1,1))</f>
        <v>270.30888762640245</v>
      </c>
      <c r="CE174" s="59">
        <f t="shared" si="148"/>
        <v>202.23783851977691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0.13124188665300709</v>
      </c>
      <c r="CL174" s="21">
        <f>EXP(-LN(2)/25)*CL173+(1-EXP(-LN(2)/25))/(LN(2)/25)*Calculateur!CG174*Calculateur!CI174*VLOOKUP('Données projet'!$B$12,Paramètres!$A$1:$I$89,3,0)*0.475*44/12</f>
        <v>0.2465623216278256</v>
      </c>
      <c r="CM174" s="21">
        <f>EXP(-LN(2)/2)*CM173+(1-EXP(-LN(2)/2))/(LN(2)/2)*CG174*CJ174*VLOOKUP('Données projet'!$B$12,Paramètres!$A$1:$I$89,3,0)*0.475*44/12</f>
        <v>1.107601367301778E-20</v>
      </c>
      <c r="CN174" s="22">
        <f t="shared" si="172"/>
        <v>0.37780420828083272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3.4106051316484809E-13</v>
      </c>
      <c r="CU174" s="17">
        <f>CT174*VLOOKUP('Données projet'!$B$13,Paramètres!$A$1:$I$89,3,0)*VLOOKUP('Données projet'!$B$13,Paramètres!$A$1:$I$89,5,0)</f>
        <v>1.5961632016114892E-13</v>
      </c>
      <c r="CV174" s="13">
        <f t="shared" si="173"/>
        <v>2.2708641912150958E-12</v>
      </c>
      <c r="CW174" s="20">
        <f t="shared" si="174"/>
        <v>4.2330868906469593E-12</v>
      </c>
      <c r="CX174" s="59">
        <f t="shared" si="122"/>
        <v>293.33333333333752</v>
      </c>
      <c r="CY174" s="59">
        <f ca="1">AVERAGE(OFFSET($CX$3,0,0,'Données projet'!$E$13+1,1))-AVERAGE(OFFSET($H$3,0,0,'Données projet'!$E$13+1,1))</f>
        <v>158.58786357608489</v>
      </c>
      <c r="CZ174" s="59">
        <f t="shared" si="150"/>
        <v>163.20074068819849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3.813056537183002E-14</v>
      </c>
      <c r="DQ174" s="13">
        <f t="shared" si="176"/>
        <v>6.4086286045526829E-13</v>
      </c>
      <c r="DR174" s="20">
        <f t="shared" si="177"/>
        <v>1.1825802166488628E-12</v>
      </c>
      <c r="DS174" s="59">
        <f t="shared" si="125"/>
        <v>293.33333333333451</v>
      </c>
      <c r="DT174" s="59">
        <f ca="1">AVERAGE(OFFSET($DS$3,0,0,'Données projet'!$E$14+1,1))-AVERAGE(OFFSET($H$3,0,0,'Données projet'!$E$14+1,1))</f>
        <v>156.63226020379989</v>
      </c>
      <c r="DU174" s="59">
        <f t="shared" si="152"/>
        <v>196.0481096619543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0.1738633110016985</v>
      </c>
      <c r="EC174" s="21">
        <f>EXP(-LN(2)/2)*EC173+(1-EXP(-LN(2)/2))/(LN(2)/2)*DW174*DZ174*VLOOKUP('Données projet'!$B$14,Paramètres!$A$1:$I$89,3,0)*0.475*44/12</f>
        <v>5.4344894716288683E-21</v>
      </c>
      <c r="ED174" s="22">
        <f t="shared" si="178"/>
        <v>0.1738633110016985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-5.6843418860808015E-13</v>
      </c>
      <c r="EK174" s="17">
        <f>EJ174*VLOOKUP('Données projet'!$B$15,Paramètres!$A$1:$I$89,3,0)*VLOOKUP('Données projet'!$B$15,Paramètres!$A$1:$I$89,5,0)</f>
        <v>-6.1186256061773743E-13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211.18501783767226</v>
      </c>
      <c r="EP174" s="59">
        <f t="shared" si="154"/>
        <v>147.98306963466246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498</v>
      </c>
      <c r="FF174" s="17">
        <f>FE174*VLOOKUP('Données projet'!$B$16,Paramètres!$A$1:$I$89,3,0)*VLOOKUP('Données projet'!$B$16,Paramètres!$A$1:$I$89,5,0)</f>
        <v>297.80400000000003</v>
      </c>
      <c r="FG174" s="13">
        <f t="shared" si="182"/>
        <v>70.715900863123025</v>
      </c>
      <c r="FH174" s="20">
        <f t="shared" si="183"/>
        <v>641.83882733660596</v>
      </c>
      <c r="FI174" s="59">
        <f t="shared" si="131"/>
        <v>935.17216066993933</v>
      </c>
      <c r="FJ174" s="59">
        <f ca="1">AVERAGE(OFFSET($FI$3,0,0,'Données projet'!$E$16+1,1))-AVERAGE(OFFSET($H$3,0,0,'Données projet'!$E$16+1,1))</f>
        <v>232.26937455765062</v>
      </c>
      <c r="FK174" s="59">
        <f t="shared" si="156"/>
        <v>115.80853281120301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0.13561661620810742</v>
      </c>
      <c r="FR174" s="21">
        <f>EXP(-LN(2)/25)*FR173+(1-EXP(-LN(2)/25))/(LN(2)/25)*Calculateur!FM174*Calculateur!FO174*VLOOKUP('Données projet'!$B$16,Paramètres!$A$1:$I$89,3,0)*0.475*44/12</f>
        <v>8.8418105594161467E-2</v>
      </c>
      <c r="FS174" s="21">
        <f>EXP(-LN(2)/2)*FS173+(1-EXP(-LN(2)/2))/(LN(2)/2)*FM174*FP174*VLOOKUP('Données projet'!$B$16,Paramètres!$A$1:$I$89,3,0)*0.475*44/12</f>
        <v>5.0285608986881635E-21</v>
      </c>
      <c r="FT174" s="22">
        <f t="shared" si="184"/>
        <v>0.22403472180226888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5.6843418860808015E-14</v>
      </c>
      <c r="GA174" s="17">
        <f>FZ174*VLOOKUP('Données projet'!$B$17,Paramètres!$A$1:$I$89,3,0)*VLOOKUP('Données projet'!$B$17,Paramètres!$A$1:$I$89,5,0)</f>
        <v>4.5224624045658861E-14</v>
      </c>
      <c r="GB174" s="13">
        <f t="shared" si="185"/>
        <v>7.4514601661523691E-13</v>
      </c>
      <c r="GC174" s="20">
        <f t="shared" si="186"/>
        <v>1.3765621991510601E-12</v>
      </c>
      <c r="GD174" s="59">
        <f t="shared" si="134"/>
        <v>293.33333333333468</v>
      </c>
      <c r="GE174" s="59">
        <f ca="1">AVERAGE(OFFSET($GD$3,0,0,'Données projet'!$E$17+1,1))-AVERAGE(OFFSET($H$3,0,0,'Données projet'!$E$17+1,1))</f>
        <v>199.58763537752952</v>
      </c>
      <c r="GF174" s="59">
        <f t="shared" si="158"/>
        <v>242.62852778451929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0.20620997351364212</v>
      </c>
      <c r="GN174" s="21">
        <f>EXP(-LN(2)/2)*GN173+(1-EXP(-LN(2)/2))/(LN(2)/2)*GH174*GK174*VLOOKUP('Données projet'!$B$17,Paramètres!$A$1:$I$89,3,0)*0.475*44/12</f>
        <v>6.4455572803040127E-21</v>
      </c>
      <c r="GO174" s="21">
        <f t="shared" si="187"/>
        <v>0.20620997351364212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-5.1431925385259092E-13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153.45079678708987</v>
      </c>
      <c r="T175" s="59">
        <f t="shared" si="142"/>
        <v>115.4217868409637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-5.6843418860808015E-13</v>
      </c>
      <c r="AJ175" s="13">
        <f>AI175*VLOOKUP('Données projet'!$B$10,Paramètres!$A$1:$I$89,3,0)*VLOOKUP('Données projet'!$B$10,Paramètres!$A$1:$I$89,5,0)</f>
        <v>-5.763922672485933E-13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190.21499310415584</v>
      </c>
      <c r="AO175" s="59">
        <f t="shared" si="144"/>
        <v>136.15730566500173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497</v>
      </c>
      <c r="BE175" s="13">
        <f>BD175*VLOOKUP('Données projet'!$B$11,Paramètres!$A$1:$I$89,3,0)*VLOOKUP('Données projet'!$B$11,Paramètres!$A$1:$I$89,5,0)</f>
        <v>297.20600000000002</v>
      </c>
      <c r="BF175" s="13">
        <f t="shared" si="167"/>
        <v>70.590415164571112</v>
      </c>
      <c r="BG175" s="20">
        <f t="shared" si="168"/>
        <v>640.57875641162809</v>
      </c>
      <c r="BH175" s="59">
        <f t="shared" si="116"/>
        <v>933.91208974496135</v>
      </c>
      <c r="BI175" s="59">
        <f ca="1">AVERAGE(OFFSET($BH$3,0,0,'Données projet'!$E$11+1,1))-AVERAGE(OFFSET($H$3,0,0,'Données projet'!$E$11+1,1))</f>
        <v>270.30888762640245</v>
      </c>
      <c r="BJ175" s="59">
        <f t="shared" si="146"/>
        <v>202.23783851977691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0.12866831330538825</v>
      </c>
      <c r="BQ175" s="21">
        <f>EXP(-LN(2)/25)*BQ174+(1-EXP(-LN(2)/25))/(LN(2)/25)*Calculateur!BL175*Calculateur!BN175*VLOOKUP('Données projet'!$B$11,Paramètres!$A$1:$I$89,3,0)*0.475*44/12</f>
        <v>0.23982006197676373</v>
      </c>
      <c r="BR175" s="21">
        <f>EXP(-LN(2)/2)*BR174+(1-EXP(-LN(2)/2))/(LN(2)/2)*BL175*BO175*VLOOKUP('Données projet'!$B$11,Paramètres!$A$1:$I$89,3,0)*0.475*44/12</f>
        <v>7.8319243767057917E-21</v>
      </c>
      <c r="BS175" s="22">
        <f t="shared" si="169"/>
        <v>0.36848837528215195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497</v>
      </c>
      <c r="BZ175" s="13">
        <f>BY175*VLOOKUP('Données projet'!$B$12,Paramètres!$A$1:$I$89,3,0)*VLOOKUP('Données projet'!$B$12,Paramètres!$A$1:$I$89,5,0)</f>
        <v>297.20600000000002</v>
      </c>
      <c r="CA175" s="13">
        <f t="shared" si="170"/>
        <v>70.590415164571112</v>
      </c>
      <c r="CB175" s="20">
        <f t="shared" si="171"/>
        <v>640.57875641162809</v>
      </c>
      <c r="CC175" s="59">
        <f t="shared" si="119"/>
        <v>933.91208974496135</v>
      </c>
      <c r="CD175" s="59">
        <f ca="1">AVERAGE(OFFSET($CC$3,0,0,'Données projet'!$E$12+1,1))-AVERAGE(OFFSET($H$3,0,0,'Données projet'!$E$12+1,1))</f>
        <v>270.30888762640245</v>
      </c>
      <c r="CE175" s="59">
        <f t="shared" si="148"/>
        <v>202.23783851977691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0.12866831330538825</v>
      </c>
      <c r="CL175" s="21">
        <f>EXP(-LN(2)/25)*CL174+(1-EXP(-LN(2)/25))/(LN(2)/25)*Calculateur!CG175*Calculateur!CI175*VLOOKUP('Données projet'!$B$12,Paramètres!$A$1:$I$89,3,0)*0.475*44/12</f>
        <v>0.23982006197676373</v>
      </c>
      <c r="CM175" s="21">
        <f>EXP(-LN(2)/2)*CM174+(1-EXP(-LN(2)/2))/(LN(2)/2)*CG175*CJ175*VLOOKUP('Données projet'!$B$12,Paramètres!$A$1:$I$89,3,0)*0.475*44/12</f>
        <v>7.8319243767057917E-21</v>
      </c>
      <c r="CN175" s="22">
        <f t="shared" si="172"/>
        <v>0.36848837528215195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3.4106051316484809E-13</v>
      </c>
      <c r="CU175" s="17">
        <f>CT175*VLOOKUP('Données projet'!$B$13,Paramètres!$A$1:$I$89,3,0)*VLOOKUP('Données projet'!$B$13,Paramètres!$A$1:$I$89,5,0)</f>
        <v>1.5961632016114892E-13</v>
      </c>
      <c r="CV175" s="13">
        <f t="shared" si="173"/>
        <v>2.2708641912150958E-12</v>
      </c>
      <c r="CW175" s="20">
        <f t="shared" si="174"/>
        <v>4.2330868906469593E-12</v>
      </c>
      <c r="CX175" s="59">
        <f t="shared" si="122"/>
        <v>293.33333333333752</v>
      </c>
      <c r="CY175" s="59">
        <f ca="1">AVERAGE(OFFSET($CX$3,0,0,'Données projet'!$E$13+1,1))-AVERAGE(OFFSET($H$3,0,0,'Données projet'!$E$13+1,1))</f>
        <v>158.58786357608489</v>
      </c>
      <c r="CZ175" s="59">
        <f t="shared" si="150"/>
        <v>163.20074068819849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3.813056537183002E-14</v>
      </c>
      <c r="DQ175" s="13">
        <f t="shared" si="176"/>
        <v>6.4086286045526829E-13</v>
      </c>
      <c r="DR175" s="20">
        <f t="shared" si="177"/>
        <v>1.1825802166488628E-12</v>
      </c>
      <c r="DS175" s="59">
        <f t="shared" si="125"/>
        <v>293.33333333333451</v>
      </c>
      <c r="DT175" s="59">
        <f ca="1">AVERAGE(OFFSET($DS$3,0,0,'Données projet'!$E$14+1,1))-AVERAGE(OFFSET($H$3,0,0,'Données projet'!$E$14+1,1))</f>
        <v>156.63226020379989</v>
      </c>
      <c r="DU175" s="59">
        <f t="shared" si="152"/>
        <v>196.0481096619543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0.16910900961928291</v>
      </c>
      <c r="EC175" s="21">
        <f>EXP(-LN(2)/2)*EC174+(1-EXP(-LN(2)/2))/(LN(2)/2)*DW175*DZ175*VLOOKUP('Données projet'!$B$14,Paramètres!$A$1:$I$89,3,0)*0.475*44/12</f>
        <v>3.8427643576756704E-21</v>
      </c>
      <c r="ED175" s="22">
        <f t="shared" si="178"/>
        <v>0.16910900961928291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-5.6843418860808015E-13</v>
      </c>
      <c r="EK175" s="17">
        <f>EJ175*VLOOKUP('Données projet'!$B$15,Paramètres!$A$1:$I$89,3,0)*VLOOKUP('Données projet'!$B$15,Paramètres!$A$1:$I$89,5,0)</f>
        <v>-6.1186256061773743E-13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211.18501783767226</v>
      </c>
      <c r="EP175" s="59">
        <f t="shared" si="154"/>
        <v>147.98306963466246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498</v>
      </c>
      <c r="FF175" s="17">
        <f>FE175*VLOOKUP('Données projet'!$B$16,Paramètres!$A$1:$I$89,3,0)*VLOOKUP('Données projet'!$B$16,Paramètres!$A$1:$I$89,5,0)</f>
        <v>297.80400000000003</v>
      </c>
      <c r="FG175" s="13">
        <f t="shared" si="182"/>
        <v>70.715900863123025</v>
      </c>
      <c r="FH175" s="20">
        <f t="shared" si="183"/>
        <v>641.83882733660596</v>
      </c>
      <c r="FI175" s="59">
        <f t="shared" si="131"/>
        <v>935.17216066993933</v>
      </c>
      <c r="FJ175" s="59">
        <f ca="1">AVERAGE(OFFSET($FI$3,0,0,'Données projet'!$E$16+1,1))-AVERAGE(OFFSET($H$3,0,0,'Données projet'!$E$16+1,1))</f>
        <v>232.26937455765062</v>
      </c>
      <c r="FK175" s="59">
        <f t="shared" si="156"/>
        <v>115.80853281120301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0.1329572570822346</v>
      </c>
      <c r="FR175" s="21">
        <f>EXP(-LN(2)/25)*FR174+(1-EXP(-LN(2)/25))/(LN(2)/25)*Calculateur!FM175*Calculateur!FO175*VLOOKUP('Données projet'!$B$16,Paramètres!$A$1:$I$89,3,0)*0.475*44/12</f>
        <v>8.6000307846983037E-2</v>
      </c>
      <c r="FS175" s="21">
        <f>EXP(-LN(2)/2)*FS174+(1-EXP(-LN(2)/2))/(LN(2)/2)*FM175*FP175*VLOOKUP('Données projet'!$B$16,Paramètres!$A$1:$I$89,3,0)*0.475*44/12</f>
        <v>3.55572951107192E-21</v>
      </c>
      <c r="FT175" s="22">
        <f t="shared" si="184"/>
        <v>0.21895756492921764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5.6843418860808015E-14</v>
      </c>
      <c r="GA175" s="17">
        <f>FZ175*VLOOKUP('Données projet'!$B$17,Paramètres!$A$1:$I$89,3,0)*VLOOKUP('Données projet'!$B$17,Paramètres!$A$1:$I$89,5,0)</f>
        <v>4.5224624045658861E-14</v>
      </c>
      <c r="GB175" s="13">
        <f t="shared" si="185"/>
        <v>7.4514601661523691E-13</v>
      </c>
      <c r="GC175" s="20">
        <f t="shared" si="186"/>
        <v>1.3765621991510601E-12</v>
      </c>
      <c r="GD175" s="59">
        <f t="shared" si="134"/>
        <v>293.33333333333468</v>
      </c>
      <c r="GE175" s="59">
        <f ca="1">AVERAGE(OFFSET($GD$3,0,0,'Données projet'!$E$17+1,1))-AVERAGE(OFFSET($H$3,0,0,'Données projet'!$E$17+1,1))</f>
        <v>199.58763537752952</v>
      </c>
      <c r="GF175" s="59">
        <f t="shared" si="158"/>
        <v>242.62852778451929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0.20057115094380037</v>
      </c>
      <c r="GN175" s="21">
        <f>EXP(-LN(2)/2)*GN174+(1-EXP(-LN(2)/2))/(LN(2)/2)*GH175*GK175*VLOOKUP('Données projet'!$B$17,Paramètres!$A$1:$I$89,3,0)*0.475*44/12</f>
        <v>4.5576972614292878E-21</v>
      </c>
      <c r="GO175" s="21">
        <f t="shared" si="187"/>
        <v>0.20057115094380037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-5.1431925385259092E-13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153.45079678708987</v>
      </c>
      <c r="T176" s="59">
        <f t="shared" si="142"/>
        <v>115.4217868409637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-5.6843418860808015E-13</v>
      </c>
      <c r="AJ176" s="13">
        <f>AI176*VLOOKUP('Données projet'!$B$10,Paramètres!$A$1:$I$89,3,0)*VLOOKUP('Données projet'!$B$10,Paramètres!$A$1:$I$89,5,0)</f>
        <v>-5.763922672485933E-13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190.21499310415584</v>
      </c>
      <c r="AO176" s="59">
        <f t="shared" si="144"/>
        <v>136.15730566500173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497</v>
      </c>
      <c r="BE176" s="13">
        <f>BD176*VLOOKUP('Données projet'!$B$11,Paramètres!$A$1:$I$89,3,0)*VLOOKUP('Données projet'!$B$11,Paramètres!$A$1:$I$89,5,0)</f>
        <v>297.20600000000002</v>
      </c>
      <c r="BF176" s="13">
        <f t="shared" si="167"/>
        <v>70.590415164571112</v>
      </c>
      <c r="BG176" s="20">
        <f t="shared" si="168"/>
        <v>640.57875641162809</v>
      </c>
      <c r="BH176" s="59">
        <f t="shared" si="116"/>
        <v>933.91208974496135</v>
      </c>
      <c r="BI176" s="59">
        <f ca="1">AVERAGE(OFFSET($BH$3,0,0,'Données projet'!$E$11+1,1))-AVERAGE(OFFSET($H$3,0,0,'Données projet'!$E$11+1,1))</f>
        <v>270.30888762640245</v>
      </c>
      <c r="BJ176" s="59">
        <f t="shared" si="146"/>
        <v>202.23783851977691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0.12614520616139147</v>
      </c>
      <c r="BQ176" s="21">
        <f>EXP(-LN(2)/25)*BQ175+(1-EXP(-LN(2)/25))/(LN(2)/25)*Calculateur!BL176*Calculateur!BN176*VLOOKUP('Données projet'!$B$11,Paramètres!$A$1:$I$89,3,0)*0.475*44/12</f>
        <v>0.23326216977042019</v>
      </c>
      <c r="BR176" s="21">
        <f>EXP(-LN(2)/2)*BR175+(1-EXP(-LN(2)/2))/(LN(2)/2)*BL176*BO176*VLOOKUP('Données projet'!$B$11,Paramètres!$A$1:$I$89,3,0)*0.475*44/12</f>
        <v>5.5380068365088899E-21</v>
      </c>
      <c r="BS176" s="22">
        <f t="shared" si="169"/>
        <v>0.35940737593181166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497</v>
      </c>
      <c r="BZ176" s="13">
        <f>BY176*VLOOKUP('Données projet'!$B$12,Paramètres!$A$1:$I$89,3,0)*VLOOKUP('Données projet'!$B$12,Paramètres!$A$1:$I$89,5,0)</f>
        <v>297.20600000000002</v>
      </c>
      <c r="CA176" s="13">
        <f t="shared" si="170"/>
        <v>70.590415164571112</v>
      </c>
      <c r="CB176" s="20">
        <f t="shared" si="171"/>
        <v>640.57875641162809</v>
      </c>
      <c r="CC176" s="59">
        <f t="shared" si="119"/>
        <v>933.91208974496135</v>
      </c>
      <c r="CD176" s="59">
        <f ca="1">AVERAGE(OFFSET($CC$3,0,0,'Données projet'!$E$12+1,1))-AVERAGE(OFFSET($H$3,0,0,'Données projet'!$E$12+1,1))</f>
        <v>270.30888762640245</v>
      </c>
      <c r="CE176" s="59">
        <f t="shared" si="148"/>
        <v>202.23783851977691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0.12614520616139147</v>
      </c>
      <c r="CL176" s="21">
        <f>EXP(-LN(2)/25)*CL175+(1-EXP(-LN(2)/25))/(LN(2)/25)*Calculateur!CG176*Calculateur!CI176*VLOOKUP('Données projet'!$B$12,Paramètres!$A$1:$I$89,3,0)*0.475*44/12</f>
        <v>0.23326216977042019</v>
      </c>
      <c r="CM176" s="21">
        <f>EXP(-LN(2)/2)*CM175+(1-EXP(-LN(2)/2))/(LN(2)/2)*CG176*CJ176*VLOOKUP('Données projet'!$B$12,Paramètres!$A$1:$I$89,3,0)*0.475*44/12</f>
        <v>5.5380068365088899E-21</v>
      </c>
      <c r="CN176" s="22">
        <f t="shared" si="172"/>
        <v>0.35940737593181166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3.4106051316484809E-13</v>
      </c>
      <c r="CU176" s="17">
        <f>CT176*VLOOKUP('Données projet'!$B$13,Paramètres!$A$1:$I$89,3,0)*VLOOKUP('Données projet'!$B$13,Paramètres!$A$1:$I$89,5,0)</f>
        <v>1.5961632016114892E-13</v>
      </c>
      <c r="CV176" s="13">
        <f t="shared" si="173"/>
        <v>2.2708641912150958E-12</v>
      </c>
      <c r="CW176" s="20">
        <f t="shared" si="174"/>
        <v>4.2330868906469593E-12</v>
      </c>
      <c r="CX176" s="59">
        <f t="shared" si="122"/>
        <v>293.33333333333752</v>
      </c>
      <c r="CY176" s="59">
        <f ca="1">AVERAGE(OFFSET($CX$3,0,0,'Données projet'!$E$13+1,1))-AVERAGE(OFFSET($H$3,0,0,'Données projet'!$E$13+1,1))</f>
        <v>158.58786357608489</v>
      </c>
      <c r="CZ176" s="59">
        <f t="shared" si="150"/>
        <v>163.20074068819849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3.813056537183002E-14</v>
      </c>
      <c r="DQ176" s="13">
        <f t="shared" si="176"/>
        <v>6.4086286045526829E-13</v>
      </c>
      <c r="DR176" s="20">
        <f t="shared" si="177"/>
        <v>1.1825802166488628E-12</v>
      </c>
      <c r="DS176" s="59">
        <f t="shared" si="125"/>
        <v>293.33333333333451</v>
      </c>
      <c r="DT176" s="59">
        <f ca="1">AVERAGE(OFFSET($DS$3,0,0,'Données projet'!$E$14+1,1))-AVERAGE(OFFSET($H$3,0,0,'Données projet'!$E$14+1,1))</f>
        <v>156.63226020379989</v>
      </c>
      <c r="DU176" s="59">
        <f t="shared" si="152"/>
        <v>196.0481096619543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0.1644847148581873</v>
      </c>
      <c r="EC176" s="21">
        <f>EXP(-LN(2)/2)*EC175+(1-EXP(-LN(2)/2))/(LN(2)/2)*DW176*DZ176*VLOOKUP('Données projet'!$B$14,Paramètres!$A$1:$I$89,3,0)*0.475*44/12</f>
        <v>2.7172447358144341E-21</v>
      </c>
      <c r="ED176" s="22">
        <f t="shared" si="178"/>
        <v>0.1644847148581873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-5.6843418860808015E-13</v>
      </c>
      <c r="EK176" s="17">
        <f>EJ176*VLOOKUP('Données projet'!$B$15,Paramètres!$A$1:$I$89,3,0)*VLOOKUP('Données projet'!$B$15,Paramètres!$A$1:$I$89,5,0)</f>
        <v>-6.1186256061773743E-13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211.18501783767226</v>
      </c>
      <c r="EP176" s="59">
        <f t="shared" si="154"/>
        <v>147.98306963466246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498</v>
      </c>
      <c r="FF176" s="17">
        <f>FE176*VLOOKUP('Données projet'!$B$16,Paramètres!$A$1:$I$89,3,0)*VLOOKUP('Données projet'!$B$16,Paramètres!$A$1:$I$89,5,0)</f>
        <v>297.80400000000003</v>
      </c>
      <c r="FG176" s="13">
        <f t="shared" si="182"/>
        <v>70.715900863123025</v>
      </c>
      <c r="FH176" s="20">
        <f t="shared" si="183"/>
        <v>641.83882733660596</v>
      </c>
      <c r="FI176" s="59">
        <f t="shared" si="131"/>
        <v>935.17216066993933</v>
      </c>
      <c r="FJ176" s="59">
        <f ca="1">AVERAGE(OFFSET($FI$3,0,0,'Données projet'!$E$16+1,1))-AVERAGE(OFFSET($H$3,0,0,'Données projet'!$E$16+1,1))</f>
        <v>232.26937455765062</v>
      </c>
      <c r="FK176" s="59">
        <f t="shared" si="156"/>
        <v>115.80853281120301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0.13035004636677125</v>
      </c>
      <c r="FR176" s="21">
        <f>EXP(-LN(2)/25)*FR175+(1-EXP(-LN(2)/25))/(LN(2)/25)*Calculateur!FM176*Calculateur!FO176*VLOOKUP('Données projet'!$B$16,Paramètres!$A$1:$I$89,3,0)*0.475*44/12</f>
        <v>8.3648624906347654E-2</v>
      </c>
      <c r="FS176" s="21">
        <f>EXP(-LN(2)/2)*FS175+(1-EXP(-LN(2)/2))/(LN(2)/2)*FM176*FP176*VLOOKUP('Données projet'!$B$16,Paramètres!$A$1:$I$89,3,0)*0.475*44/12</f>
        <v>2.5142804493440818E-21</v>
      </c>
      <c r="FT176" s="22">
        <f t="shared" si="184"/>
        <v>0.21399867127311889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5.6843418860808015E-14</v>
      </c>
      <c r="GA176" s="17">
        <f>FZ176*VLOOKUP('Données projet'!$B$17,Paramètres!$A$1:$I$89,3,0)*VLOOKUP('Données projet'!$B$17,Paramètres!$A$1:$I$89,5,0)</f>
        <v>4.5224624045658861E-14</v>
      </c>
      <c r="GB176" s="13">
        <f t="shared" si="185"/>
        <v>7.4514601661523691E-13</v>
      </c>
      <c r="GC176" s="20">
        <f t="shared" si="186"/>
        <v>1.3765621991510601E-12</v>
      </c>
      <c r="GD176" s="59">
        <f t="shared" si="134"/>
        <v>293.33333333333468</v>
      </c>
      <c r="GE176" s="59">
        <f ca="1">AVERAGE(OFFSET($GD$3,0,0,'Données projet'!$E$17+1,1))-AVERAGE(OFFSET($H$3,0,0,'Données projet'!$E$17+1,1))</f>
        <v>199.58763537752952</v>
      </c>
      <c r="GF176" s="59">
        <f t="shared" si="158"/>
        <v>242.62852778451929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0.19508652227366374</v>
      </c>
      <c r="GN176" s="21">
        <f>EXP(-LN(2)/2)*GN175+(1-EXP(-LN(2)/2))/(LN(2)/2)*GH176*GK176*VLOOKUP('Données projet'!$B$17,Paramètres!$A$1:$I$89,3,0)*0.475*44/12</f>
        <v>3.2227786401520063E-21</v>
      </c>
      <c r="GO176" s="21">
        <f t="shared" si="187"/>
        <v>0.19508652227366374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-5.1431925385259092E-13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153.45079678708987</v>
      </c>
      <c r="T177" s="59">
        <f t="shared" si="142"/>
        <v>115.4217868409637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-5.6843418860808015E-13</v>
      </c>
      <c r="AJ177" s="13">
        <f>AI177*VLOOKUP('Données projet'!$B$10,Paramètres!$A$1:$I$89,3,0)*VLOOKUP('Données projet'!$B$10,Paramètres!$A$1:$I$89,5,0)</f>
        <v>-5.763922672485933E-13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190.21499310415584</v>
      </c>
      <c r="AO177" s="59">
        <f t="shared" si="144"/>
        <v>136.15730566500173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497</v>
      </c>
      <c r="BE177" s="13">
        <f>BD177*VLOOKUP('Données projet'!$B$11,Paramètres!$A$1:$I$89,3,0)*VLOOKUP('Données projet'!$B$11,Paramètres!$A$1:$I$89,5,0)</f>
        <v>297.20600000000002</v>
      </c>
      <c r="BF177" s="13">
        <f t="shared" si="167"/>
        <v>70.590415164571112</v>
      </c>
      <c r="BG177" s="20">
        <f t="shared" si="168"/>
        <v>640.57875641162809</v>
      </c>
      <c r="BH177" s="59">
        <f t="shared" si="116"/>
        <v>933.91208974496135</v>
      </c>
      <c r="BI177" s="59">
        <f ca="1">AVERAGE(OFFSET($BH$3,0,0,'Données projet'!$E$11+1,1))-AVERAGE(OFFSET($H$3,0,0,'Données projet'!$E$11+1,1))</f>
        <v>270.30888762640245</v>
      </c>
      <c r="BJ177" s="59">
        <f t="shared" si="146"/>
        <v>202.23783851977691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0.12367157560954505</v>
      </c>
      <c r="BQ177" s="21">
        <f>EXP(-LN(2)/25)*BQ176+(1-EXP(-LN(2)/25))/(LN(2)/25)*Calculateur!BL177*Calculateur!BN177*VLOOKUP('Données projet'!$B$11,Paramètres!$A$1:$I$89,3,0)*0.475*44/12</f>
        <v>0.22688360347132366</v>
      </c>
      <c r="BR177" s="21">
        <f>EXP(-LN(2)/2)*BR176+(1-EXP(-LN(2)/2))/(LN(2)/2)*BL177*BO177*VLOOKUP('Données projet'!$B$11,Paramètres!$A$1:$I$89,3,0)*0.475*44/12</f>
        <v>3.9159621883528959E-21</v>
      </c>
      <c r="BS177" s="22">
        <f t="shared" si="169"/>
        <v>0.3505551790808687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497</v>
      </c>
      <c r="BZ177" s="13">
        <f>BY177*VLOOKUP('Données projet'!$B$12,Paramètres!$A$1:$I$89,3,0)*VLOOKUP('Données projet'!$B$12,Paramètres!$A$1:$I$89,5,0)</f>
        <v>297.20600000000002</v>
      </c>
      <c r="CA177" s="13">
        <f t="shared" si="170"/>
        <v>70.590415164571112</v>
      </c>
      <c r="CB177" s="20">
        <f t="shared" si="171"/>
        <v>640.57875641162809</v>
      </c>
      <c r="CC177" s="59">
        <f t="shared" si="119"/>
        <v>933.91208974496135</v>
      </c>
      <c r="CD177" s="59">
        <f ca="1">AVERAGE(OFFSET($CC$3,0,0,'Données projet'!$E$12+1,1))-AVERAGE(OFFSET($H$3,0,0,'Données projet'!$E$12+1,1))</f>
        <v>270.30888762640245</v>
      </c>
      <c r="CE177" s="59">
        <f t="shared" si="148"/>
        <v>202.23783851977691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0.12367157560954505</v>
      </c>
      <c r="CL177" s="21">
        <f>EXP(-LN(2)/25)*CL176+(1-EXP(-LN(2)/25))/(LN(2)/25)*Calculateur!CG177*Calculateur!CI177*VLOOKUP('Données projet'!$B$12,Paramètres!$A$1:$I$89,3,0)*0.475*44/12</f>
        <v>0.22688360347132366</v>
      </c>
      <c r="CM177" s="21">
        <f>EXP(-LN(2)/2)*CM176+(1-EXP(-LN(2)/2))/(LN(2)/2)*CG177*CJ177*VLOOKUP('Données projet'!$B$12,Paramètres!$A$1:$I$89,3,0)*0.475*44/12</f>
        <v>3.9159621883528959E-21</v>
      </c>
      <c r="CN177" s="22">
        <f t="shared" si="172"/>
        <v>0.3505551790808687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3.4106051316484809E-13</v>
      </c>
      <c r="CU177" s="17">
        <f>CT177*VLOOKUP('Données projet'!$B$13,Paramètres!$A$1:$I$89,3,0)*VLOOKUP('Données projet'!$B$13,Paramètres!$A$1:$I$89,5,0)</f>
        <v>1.5961632016114892E-13</v>
      </c>
      <c r="CV177" s="13">
        <f t="shared" si="173"/>
        <v>2.2708641912150958E-12</v>
      </c>
      <c r="CW177" s="20">
        <f t="shared" si="174"/>
        <v>4.2330868906469593E-12</v>
      </c>
      <c r="CX177" s="59">
        <f t="shared" si="122"/>
        <v>293.33333333333752</v>
      </c>
      <c r="CY177" s="59">
        <f ca="1">AVERAGE(OFFSET($CX$3,0,0,'Données projet'!$E$13+1,1))-AVERAGE(OFFSET($H$3,0,0,'Données projet'!$E$13+1,1))</f>
        <v>158.58786357608489</v>
      </c>
      <c r="CZ177" s="59">
        <f t="shared" si="150"/>
        <v>163.20074068819849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3.813056537183002E-14</v>
      </c>
      <c r="DQ177" s="13">
        <f t="shared" si="176"/>
        <v>6.4086286045526829E-13</v>
      </c>
      <c r="DR177" s="20">
        <f t="shared" si="177"/>
        <v>1.1825802166488628E-12</v>
      </c>
      <c r="DS177" s="59">
        <f t="shared" si="125"/>
        <v>293.33333333333451</v>
      </c>
      <c r="DT177" s="59">
        <f ca="1">AVERAGE(OFFSET($DS$3,0,0,'Données projet'!$E$14+1,1))-AVERAGE(OFFSET($H$3,0,0,'Données projet'!$E$14+1,1))</f>
        <v>156.63226020379989</v>
      </c>
      <c r="DU177" s="59">
        <f t="shared" si="152"/>
        <v>196.0481096619543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0.15998687168051495</v>
      </c>
      <c r="EC177" s="21">
        <f>EXP(-LN(2)/2)*EC176+(1-EXP(-LN(2)/2))/(LN(2)/2)*DW177*DZ177*VLOOKUP('Données projet'!$B$14,Paramètres!$A$1:$I$89,3,0)*0.475*44/12</f>
        <v>1.9213821788378352E-21</v>
      </c>
      <c r="ED177" s="22">
        <f t="shared" si="178"/>
        <v>0.15998687168051495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-5.6843418860808015E-13</v>
      </c>
      <c r="EK177" s="17">
        <f>EJ177*VLOOKUP('Données projet'!$B$15,Paramètres!$A$1:$I$89,3,0)*VLOOKUP('Données projet'!$B$15,Paramètres!$A$1:$I$89,5,0)</f>
        <v>-6.1186256061773743E-13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211.18501783767226</v>
      </c>
      <c r="EP177" s="59">
        <f t="shared" si="154"/>
        <v>147.98306963466246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498</v>
      </c>
      <c r="FF177" s="17">
        <f>FE177*VLOOKUP('Données projet'!$B$16,Paramètres!$A$1:$I$89,3,0)*VLOOKUP('Données projet'!$B$16,Paramètres!$A$1:$I$89,5,0)</f>
        <v>297.80400000000003</v>
      </c>
      <c r="FG177" s="13">
        <f t="shared" si="182"/>
        <v>70.715900863123025</v>
      </c>
      <c r="FH177" s="20">
        <f t="shared" si="183"/>
        <v>641.83882733660596</v>
      </c>
      <c r="FI177" s="59">
        <f t="shared" si="131"/>
        <v>935.17216066993933</v>
      </c>
      <c r="FJ177" s="59">
        <f ca="1">AVERAGE(OFFSET($FI$3,0,0,'Données projet'!$E$16+1,1))-AVERAGE(OFFSET($H$3,0,0,'Données projet'!$E$16+1,1))</f>
        <v>232.26937455765062</v>
      </c>
      <c r="FK177" s="59">
        <f t="shared" si="156"/>
        <v>115.80853281120301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0.1277939614631966</v>
      </c>
      <c r="FR177" s="21">
        <f>EXP(-LN(2)/25)*FR176+(1-EXP(-LN(2)/25))/(LN(2)/25)*Calculateur!FM177*Calculateur!FO177*VLOOKUP('Données projet'!$B$16,Paramètres!$A$1:$I$89,3,0)*0.475*44/12</f>
        <v>8.1361248859393581E-2</v>
      </c>
      <c r="FS177" s="21">
        <f>EXP(-LN(2)/2)*FS176+(1-EXP(-LN(2)/2))/(LN(2)/2)*FM177*FP177*VLOOKUP('Données projet'!$B$16,Paramètres!$A$1:$I$89,3,0)*0.475*44/12</f>
        <v>1.77786475553596E-21</v>
      </c>
      <c r="FT177" s="22">
        <f t="shared" si="184"/>
        <v>0.20915521032259018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5.6843418860808015E-14</v>
      </c>
      <c r="GA177" s="17">
        <f>FZ177*VLOOKUP('Données projet'!$B$17,Paramètres!$A$1:$I$89,3,0)*VLOOKUP('Données projet'!$B$17,Paramètres!$A$1:$I$89,5,0)</f>
        <v>4.5224624045658861E-14</v>
      </c>
      <c r="GB177" s="13">
        <f t="shared" si="185"/>
        <v>7.4514601661523691E-13</v>
      </c>
      <c r="GC177" s="20">
        <f t="shared" si="186"/>
        <v>1.3765621991510601E-12</v>
      </c>
      <c r="GD177" s="59">
        <f t="shared" si="134"/>
        <v>293.33333333333468</v>
      </c>
      <c r="GE177" s="59">
        <f ca="1">AVERAGE(OFFSET($GD$3,0,0,'Données projet'!$E$17+1,1))-AVERAGE(OFFSET($H$3,0,0,'Données projet'!$E$17+1,1))</f>
        <v>199.58763537752952</v>
      </c>
      <c r="GF177" s="59">
        <f t="shared" si="158"/>
        <v>242.62852778451929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0.18975187106293609</v>
      </c>
      <c r="GN177" s="21">
        <f>EXP(-LN(2)/2)*GN176+(1-EXP(-LN(2)/2))/(LN(2)/2)*GH177*GK177*VLOOKUP('Données projet'!$B$17,Paramètres!$A$1:$I$89,3,0)*0.475*44/12</f>
        <v>2.2788486307146439E-21</v>
      </c>
      <c r="GO177" s="21">
        <f t="shared" si="187"/>
        <v>0.18975187106293609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-5.1431925385259092E-13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153.45079678708987</v>
      </c>
      <c r="T178" s="59">
        <f t="shared" si="142"/>
        <v>115.4217868409637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-5.6843418860808015E-13</v>
      </c>
      <c r="AJ178" s="13">
        <f>AI178*VLOOKUP('Données projet'!$B$10,Paramètres!$A$1:$I$89,3,0)*VLOOKUP('Données projet'!$B$10,Paramètres!$A$1:$I$89,5,0)</f>
        <v>-5.763922672485933E-13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190.21499310415584</v>
      </c>
      <c r="AO178" s="59">
        <f t="shared" si="144"/>
        <v>136.15730566500173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497</v>
      </c>
      <c r="BE178" s="13">
        <f>BD178*VLOOKUP('Données projet'!$B$11,Paramètres!$A$1:$I$89,3,0)*VLOOKUP('Données projet'!$B$11,Paramètres!$A$1:$I$89,5,0)</f>
        <v>297.20600000000002</v>
      </c>
      <c r="BF178" s="13">
        <f t="shared" si="167"/>
        <v>70.590415164571112</v>
      </c>
      <c r="BG178" s="20">
        <f t="shared" si="168"/>
        <v>640.57875641162809</v>
      </c>
      <c r="BH178" s="59">
        <f t="shared" si="116"/>
        <v>933.91208974496135</v>
      </c>
      <c r="BI178" s="59">
        <f ca="1">AVERAGE(OFFSET($BH$3,0,0,'Données projet'!$E$11+1,1))-AVERAGE(OFFSET($H$3,0,0,'Données projet'!$E$11+1,1))</f>
        <v>270.30888762640245</v>
      </c>
      <c r="BJ178" s="59">
        <f t="shared" si="146"/>
        <v>202.23783851977691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0.12124645144405467</v>
      </c>
      <c r="BQ178" s="21">
        <f>EXP(-LN(2)/25)*BQ177+(1-EXP(-LN(2)/25))/(LN(2)/25)*Calculateur!BL178*Calculateur!BN178*VLOOKUP('Données projet'!$B$11,Paramètres!$A$1:$I$89,3,0)*0.475*44/12</f>
        <v>0.22067945940311015</v>
      </c>
      <c r="BR178" s="21">
        <f>EXP(-LN(2)/2)*BR177+(1-EXP(-LN(2)/2))/(LN(2)/2)*BL178*BO178*VLOOKUP('Données projet'!$B$11,Paramètres!$A$1:$I$89,3,0)*0.475*44/12</f>
        <v>2.769003418254445E-21</v>
      </c>
      <c r="BS178" s="22">
        <f t="shared" si="169"/>
        <v>0.34192591084716484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497</v>
      </c>
      <c r="BZ178" s="13">
        <f>BY178*VLOOKUP('Données projet'!$B$12,Paramètres!$A$1:$I$89,3,0)*VLOOKUP('Données projet'!$B$12,Paramètres!$A$1:$I$89,5,0)</f>
        <v>297.20600000000002</v>
      </c>
      <c r="CA178" s="13">
        <f t="shared" si="170"/>
        <v>70.590415164571112</v>
      </c>
      <c r="CB178" s="20">
        <f t="shared" si="171"/>
        <v>640.57875641162809</v>
      </c>
      <c r="CC178" s="59">
        <f t="shared" si="119"/>
        <v>933.91208974496135</v>
      </c>
      <c r="CD178" s="59">
        <f ca="1">AVERAGE(OFFSET($CC$3,0,0,'Données projet'!$E$12+1,1))-AVERAGE(OFFSET($H$3,0,0,'Données projet'!$E$12+1,1))</f>
        <v>270.30888762640245</v>
      </c>
      <c r="CE178" s="59">
        <f t="shared" si="148"/>
        <v>202.23783851977691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0.12124645144405467</v>
      </c>
      <c r="CL178" s="21">
        <f>EXP(-LN(2)/25)*CL177+(1-EXP(-LN(2)/25))/(LN(2)/25)*Calculateur!CG178*Calculateur!CI178*VLOOKUP('Données projet'!$B$12,Paramètres!$A$1:$I$89,3,0)*0.475*44/12</f>
        <v>0.22067945940311015</v>
      </c>
      <c r="CM178" s="21">
        <f>EXP(-LN(2)/2)*CM177+(1-EXP(-LN(2)/2))/(LN(2)/2)*CG178*CJ178*VLOOKUP('Données projet'!$B$12,Paramètres!$A$1:$I$89,3,0)*0.475*44/12</f>
        <v>2.769003418254445E-21</v>
      </c>
      <c r="CN178" s="22">
        <f t="shared" si="172"/>
        <v>0.34192591084716484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3.4106051316484809E-13</v>
      </c>
      <c r="CU178" s="17">
        <f>CT178*VLOOKUP('Données projet'!$B$13,Paramètres!$A$1:$I$89,3,0)*VLOOKUP('Données projet'!$B$13,Paramètres!$A$1:$I$89,5,0)</f>
        <v>1.5961632016114892E-13</v>
      </c>
      <c r="CV178" s="13">
        <f t="shared" si="173"/>
        <v>2.2708641912150958E-12</v>
      </c>
      <c r="CW178" s="20">
        <f t="shared" si="174"/>
        <v>4.2330868906469593E-12</v>
      </c>
      <c r="CX178" s="59">
        <f t="shared" si="122"/>
        <v>293.33333333333752</v>
      </c>
      <c r="CY178" s="59">
        <f ca="1">AVERAGE(OFFSET($CX$3,0,0,'Données projet'!$E$13+1,1))-AVERAGE(OFFSET($H$3,0,0,'Données projet'!$E$13+1,1))</f>
        <v>158.58786357608489</v>
      </c>
      <c r="CZ178" s="59">
        <f t="shared" si="150"/>
        <v>163.20074068819849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3.813056537183002E-14</v>
      </c>
      <c r="DQ178" s="13">
        <f t="shared" si="176"/>
        <v>6.4086286045526829E-13</v>
      </c>
      <c r="DR178" s="20">
        <f t="shared" si="177"/>
        <v>1.1825802166488628E-12</v>
      </c>
      <c r="DS178" s="59">
        <f t="shared" si="125"/>
        <v>293.33333333333451</v>
      </c>
      <c r="DT178" s="59">
        <f ca="1">AVERAGE(OFFSET($DS$3,0,0,'Données projet'!$E$14+1,1))-AVERAGE(OFFSET($H$3,0,0,'Données projet'!$E$14+1,1))</f>
        <v>156.63226020379989</v>
      </c>
      <c r="DU178" s="59">
        <f t="shared" si="152"/>
        <v>196.0481096619543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0.15561202226106735</v>
      </c>
      <c r="EC178" s="21">
        <f>EXP(-LN(2)/2)*EC177+(1-EXP(-LN(2)/2))/(LN(2)/2)*DW178*DZ178*VLOOKUP('Données projet'!$B$14,Paramètres!$A$1:$I$89,3,0)*0.475*44/12</f>
        <v>1.3586223679072171E-21</v>
      </c>
      <c r="ED178" s="22">
        <f t="shared" si="178"/>
        <v>0.15561202226106735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-5.6843418860808015E-13</v>
      </c>
      <c r="EK178" s="17">
        <f>EJ178*VLOOKUP('Données projet'!$B$15,Paramètres!$A$1:$I$89,3,0)*VLOOKUP('Données projet'!$B$15,Paramètres!$A$1:$I$89,5,0)</f>
        <v>-6.1186256061773743E-13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211.18501783767226</v>
      </c>
      <c r="EP178" s="59">
        <f t="shared" si="154"/>
        <v>147.98306963466246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498</v>
      </c>
      <c r="FF178" s="17">
        <f>FE178*VLOOKUP('Données projet'!$B$16,Paramètres!$A$1:$I$89,3,0)*VLOOKUP('Données projet'!$B$16,Paramètres!$A$1:$I$89,5,0)</f>
        <v>297.80400000000003</v>
      </c>
      <c r="FG178" s="13">
        <f t="shared" si="182"/>
        <v>70.715900863123025</v>
      </c>
      <c r="FH178" s="20">
        <f t="shared" si="183"/>
        <v>641.83882733660596</v>
      </c>
      <c r="FI178" s="59">
        <f t="shared" si="131"/>
        <v>935.17216066993933</v>
      </c>
      <c r="FJ178" s="59">
        <f ca="1">AVERAGE(OFFSET($FI$3,0,0,'Données projet'!$E$16+1,1))-AVERAGE(OFFSET($H$3,0,0,'Données projet'!$E$16+1,1))</f>
        <v>232.26937455765062</v>
      </c>
      <c r="FK178" s="59">
        <f t="shared" si="156"/>
        <v>115.80853281120301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0.12528799982552322</v>
      </c>
      <c r="FR178" s="21">
        <f>EXP(-LN(2)/25)*FR177+(1-EXP(-LN(2)/25))/(LN(2)/25)*Calculateur!FM178*Calculateur!FO178*VLOOKUP('Données projet'!$B$16,Paramètres!$A$1:$I$89,3,0)*0.475*44/12</f>
        <v>7.9136421230731335E-2</v>
      </c>
      <c r="FS178" s="21">
        <f>EXP(-LN(2)/2)*FS177+(1-EXP(-LN(2)/2))/(LN(2)/2)*FM178*FP178*VLOOKUP('Données projet'!$B$16,Paramètres!$A$1:$I$89,3,0)*0.475*44/12</f>
        <v>1.2571402246720409E-21</v>
      </c>
      <c r="FT178" s="22">
        <f t="shared" si="184"/>
        <v>0.20442442105625455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5.6843418860808015E-14</v>
      </c>
      <c r="GA178" s="17">
        <f>FZ178*VLOOKUP('Données projet'!$B$17,Paramètres!$A$1:$I$89,3,0)*VLOOKUP('Données projet'!$B$17,Paramètres!$A$1:$I$89,5,0)</f>
        <v>4.5224624045658861E-14</v>
      </c>
      <c r="GB178" s="13">
        <f t="shared" si="185"/>
        <v>7.4514601661523691E-13</v>
      </c>
      <c r="GC178" s="20">
        <f t="shared" si="186"/>
        <v>1.3765621991510601E-12</v>
      </c>
      <c r="GD178" s="59">
        <f t="shared" si="134"/>
        <v>293.33333333333468</v>
      </c>
      <c r="GE178" s="59">
        <f ca="1">AVERAGE(OFFSET($GD$3,0,0,'Données projet'!$E$17+1,1))-AVERAGE(OFFSET($H$3,0,0,'Données projet'!$E$17+1,1))</f>
        <v>199.58763537752952</v>
      </c>
      <c r="GF178" s="59">
        <f t="shared" si="158"/>
        <v>242.62852778451929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0.18456309617010289</v>
      </c>
      <c r="GN178" s="21">
        <f>EXP(-LN(2)/2)*GN177+(1-EXP(-LN(2)/2))/(LN(2)/2)*GH178*GK178*VLOOKUP('Données projet'!$B$17,Paramètres!$A$1:$I$89,3,0)*0.475*44/12</f>
        <v>1.6113893200760032E-21</v>
      </c>
      <c r="GO178" s="21">
        <f t="shared" si="187"/>
        <v>0.18456309617010289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-5.1431925385259092E-13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153.45079678708987</v>
      </c>
      <c r="T179" s="59">
        <f t="shared" si="142"/>
        <v>115.4217868409637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-5.6843418860808015E-13</v>
      </c>
      <c r="AJ179" s="13">
        <f>AI179*VLOOKUP('Données projet'!$B$10,Paramètres!$A$1:$I$89,3,0)*VLOOKUP('Données projet'!$B$10,Paramètres!$A$1:$I$89,5,0)</f>
        <v>-5.763922672485933E-13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190.21499310415584</v>
      </c>
      <c r="AO179" s="59">
        <f t="shared" si="144"/>
        <v>136.15730566500173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497</v>
      </c>
      <c r="BE179" s="13">
        <f>BD179*VLOOKUP('Données projet'!$B$11,Paramètres!$A$1:$I$89,3,0)*VLOOKUP('Données projet'!$B$11,Paramètres!$A$1:$I$89,5,0)</f>
        <v>297.20600000000002</v>
      </c>
      <c r="BF179" s="13">
        <f t="shared" si="167"/>
        <v>70.590415164571112</v>
      </c>
      <c r="BG179" s="20">
        <f t="shared" si="168"/>
        <v>640.57875641162809</v>
      </c>
      <c r="BH179" s="59">
        <f t="shared" si="116"/>
        <v>933.91208974496135</v>
      </c>
      <c r="BI179" s="59">
        <f ca="1">AVERAGE(OFFSET($BH$3,0,0,'Données projet'!$E$11+1,1))-AVERAGE(OFFSET($H$3,0,0,'Données projet'!$E$11+1,1))</f>
        <v>270.30888762640245</v>
      </c>
      <c r="BJ179" s="59">
        <f t="shared" si="146"/>
        <v>202.23783851977691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0.11886888248426988</v>
      </c>
      <c r="BQ179" s="21">
        <f>EXP(-LN(2)/25)*BQ178+(1-EXP(-LN(2)/25))/(LN(2)/25)*Calculateur!BL179*Calculateur!BN179*VLOOKUP('Données projet'!$B$11,Paramètres!$A$1:$I$89,3,0)*0.475*44/12</f>
        <v>0.2146449679807037</v>
      </c>
      <c r="BR179" s="21">
        <f>EXP(-LN(2)/2)*BR178+(1-EXP(-LN(2)/2))/(LN(2)/2)*BL179*BO179*VLOOKUP('Données projet'!$B$11,Paramètres!$A$1:$I$89,3,0)*0.475*44/12</f>
        <v>1.9579810941764479E-21</v>
      </c>
      <c r="BS179" s="22">
        <f t="shared" si="169"/>
        <v>0.33351385046497362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497</v>
      </c>
      <c r="BZ179" s="13">
        <f>BY179*VLOOKUP('Données projet'!$B$12,Paramètres!$A$1:$I$89,3,0)*VLOOKUP('Données projet'!$B$12,Paramètres!$A$1:$I$89,5,0)</f>
        <v>297.20600000000002</v>
      </c>
      <c r="CA179" s="13">
        <f t="shared" si="170"/>
        <v>70.590415164571112</v>
      </c>
      <c r="CB179" s="20">
        <f t="shared" si="171"/>
        <v>640.57875641162809</v>
      </c>
      <c r="CC179" s="59">
        <f t="shared" si="119"/>
        <v>933.91208974496135</v>
      </c>
      <c r="CD179" s="59">
        <f ca="1">AVERAGE(OFFSET($CC$3,0,0,'Données projet'!$E$12+1,1))-AVERAGE(OFFSET($H$3,0,0,'Données projet'!$E$12+1,1))</f>
        <v>270.30888762640245</v>
      </c>
      <c r="CE179" s="59">
        <f t="shared" si="148"/>
        <v>202.23783851977691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0.11886888248426988</v>
      </c>
      <c r="CL179" s="21">
        <f>EXP(-LN(2)/25)*CL178+(1-EXP(-LN(2)/25))/(LN(2)/25)*Calculateur!CG179*Calculateur!CI179*VLOOKUP('Données projet'!$B$12,Paramètres!$A$1:$I$89,3,0)*0.475*44/12</f>
        <v>0.2146449679807037</v>
      </c>
      <c r="CM179" s="21">
        <f>EXP(-LN(2)/2)*CM178+(1-EXP(-LN(2)/2))/(LN(2)/2)*CG179*CJ179*VLOOKUP('Données projet'!$B$12,Paramètres!$A$1:$I$89,3,0)*0.475*44/12</f>
        <v>1.9579810941764479E-21</v>
      </c>
      <c r="CN179" s="22">
        <f t="shared" si="172"/>
        <v>0.33351385046497362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3.4106051316484809E-13</v>
      </c>
      <c r="CU179" s="17">
        <f>CT179*VLOOKUP('Données projet'!$B$13,Paramètres!$A$1:$I$89,3,0)*VLOOKUP('Données projet'!$B$13,Paramètres!$A$1:$I$89,5,0)</f>
        <v>1.5961632016114892E-13</v>
      </c>
      <c r="CV179" s="13">
        <f t="shared" si="173"/>
        <v>2.2708641912150958E-12</v>
      </c>
      <c r="CW179" s="20">
        <f t="shared" si="174"/>
        <v>4.2330868906469593E-12</v>
      </c>
      <c r="CX179" s="59">
        <f t="shared" si="122"/>
        <v>293.33333333333752</v>
      </c>
      <c r="CY179" s="59">
        <f ca="1">AVERAGE(OFFSET($CX$3,0,0,'Données projet'!$E$13+1,1))-AVERAGE(OFFSET($H$3,0,0,'Données projet'!$E$13+1,1))</f>
        <v>158.58786357608489</v>
      </c>
      <c r="CZ179" s="59">
        <f t="shared" si="150"/>
        <v>163.20074068819849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3.813056537183002E-14</v>
      </c>
      <c r="DQ179" s="13">
        <f t="shared" si="176"/>
        <v>6.4086286045526829E-13</v>
      </c>
      <c r="DR179" s="20">
        <f t="shared" si="177"/>
        <v>1.1825802166488628E-12</v>
      </c>
      <c r="DS179" s="59">
        <f t="shared" si="125"/>
        <v>293.33333333333451</v>
      </c>
      <c r="DT179" s="59">
        <f ca="1">AVERAGE(OFFSET($DS$3,0,0,'Données projet'!$E$14+1,1))-AVERAGE(OFFSET($H$3,0,0,'Données projet'!$E$14+1,1))</f>
        <v>156.63226020379989</v>
      </c>
      <c r="DU179" s="59">
        <f t="shared" si="152"/>
        <v>196.0481096619543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0.15135680332905788</v>
      </c>
      <c r="EC179" s="21">
        <f>EXP(-LN(2)/2)*EC178+(1-EXP(-LN(2)/2))/(LN(2)/2)*DW179*DZ179*VLOOKUP('Données projet'!$B$14,Paramètres!$A$1:$I$89,3,0)*0.475*44/12</f>
        <v>9.6069108941891761E-22</v>
      </c>
      <c r="ED179" s="22">
        <f t="shared" si="178"/>
        <v>0.15135680332905788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-5.6843418860808015E-13</v>
      </c>
      <c r="EK179" s="17">
        <f>EJ179*VLOOKUP('Données projet'!$B$15,Paramètres!$A$1:$I$89,3,0)*VLOOKUP('Données projet'!$B$15,Paramètres!$A$1:$I$89,5,0)</f>
        <v>-6.1186256061773743E-13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211.18501783767226</v>
      </c>
      <c r="EP179" s="59">
        <f t="shared" si="154"/>
        <v>147.98306963466246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498</v>
      </c>
      <c r="FF179" s="17">
        <f>FE179*VLOOKUP('Données projet'!$B$16,Paramètres!$A$1:$I$89,3,0)*VLOOKUP('Données projet'!$B$16,Paramètres!$A$1:$I$89,5,0)</f>
        <v>297.80400000000003</v>
      </c>
      <c r="FG179" s="13">
        <f t="shared" si="182"/>
        <v>70.715900863123025</v>
      </c>
      <c r="FH179" s="20">
        <f t="shared" si="183"/>
        <v>641.83882733660596</v>
      </c>
      <c r="FI179" s="59">
        <f t="shared" si="131"/>
        <v>935.17216066993933</v>
      </c>
      <c r="FJ179" s="59">
        <f ca="1">AVERAGE(OFFSET($FI$3,0,0,'Données projet'!$E$16+1,1))-AVERAGE(OFFSET($H$3,0,0,'Données projet'!$E$16+1,1))</f>
        <v>232.26937455765062</v>
      </c>
      <c r="FK179" s="59">
        <f t="shared" si="156"/>
        <v>115.80853281120301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0.12283117856707894</v>
      </c>
      <c r="FR179" s="21">
        <f>EXP(-LN(2)/25)*FR178+(1-EXP(-LN(2)/25))/(LN(2)/25)*Calculateur!FM179*Calculateur!FO179*VLOOKUP('Données projet'!$B$16,Paramètres!$A$1:$I$89,3,0)*0.475*44/12</f>
        <v>7.6972431630573462E-2</v>
      </c>
      <c r="FS179" s="21">
        <f>EXP(-LN(2)/2)*FS178+(1-EXP(-LN(2)/2))/(LN(2)/2)*FM179*FP179*VLOOKUP('Données projet'!$B$16,Paramètres!$A$1:$I$89,3,0)*0.475*44/12</f>
        <v>8.8893237776797999E-22</v>
      </c>
      <c r="FT179" s="22">
        <f t="shared" si="184"/>
        <v>0.19980361019765241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5.6843418860808015E-14</v>
      </c>
      <c r="GA179" s="17">
        <f>FZ179*VLOOKUP('Données projet'!$B$17,Paramètres!$A$1:$I$89,3,0)*VLOOKUP('Données projet'!$B$17,Paramètres!$A$1:$I$89,5,0)</f>
        <v>4.5224624045658861E-14</v>
      </c>
      <c r="GB179" s="13">
        <f t="shared" si="185"/>
        <v>7.4514601661523691E-13</v>
      </c>
      <c r="GC179" s="20">
        <f t="shared" si="186"/>
        <v>1.3765621991510601E-12</v>
      </c>
      <c r="GD179" s="59">
        <f t="shared" si="134"/>
        <v>293.33333333333468</v>
      </c>
      <c r="GE179" s="59">
        <f ca="1">AVERAGE(OFFSET($GD$3,0,0,'Données projet'!$E$17+1,1))-AVERAGE(OFFSET($H$3,0,0,'Données projet'!$E$17+1,1))</f>
        <v>199.58763537752952</v>
      </c>
      <c r="GF179" s="59">
        <f t="shared" si="158"/>
        <v>242.62852778451929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0.17951620859958001</v>
      </c>
      <c r="GN179" s="21">
        <f>EXP(-LN(2)/2)*GN178+(1-EXP(-LN(2)/2))/(LN(2)/2)*GH179*GK179*VLOOKUP('Données projet'!$B$17,Paramètres!$A$1:$I$89,3,0)*0.475*44/12</f>
        <v>1.139424315357322E-21</v>
      </c>
      <c r="GO179" s="21">
        <f t="shared" si="187"/>
        <v>0.17951620859958001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-5.1431925385259092E-13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153.45079678708987</v>
      </c>
      <c r="T180" s="59">
        <f t="shared" si="142"/>
        <v>115.4217868409637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-5.6843418860808015E-13</v>
      </c>
      <c r="AJ180" s="13">
        <f>AI180*VLOOKUP('Données projet'!$B$10,Paramètres!$A$1:$I$89,3,0)*VLOOKUP('Données projet'!$B$10,Paramètres!$A$1:$I$89,5,0)</f>
        <v>-5.763922672485933E-13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190.21499310415584</v>
      </c>
      <c r="AO180" s="59">
        <f t="shared" si="144"/>
        <v>136.15730566500173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497</v>
      </c>
      <c r="BE180" s="13">
        <f>BD180*VLOOKUP('Données projet'!$B$11,Paramètres!$A$1:$I$89,3,0)*VLOOKUP('Données projet'!$B$11,Paramètres!$A$1:$I$89,5,0)</f>
        <v>297.20600000000002</v>
      </c>
      <c r="BF180" s="13">
        <f t="shared" si="167"/>
        <v>70.590415164571112</v>
      </c>
      <c r="BG180" s="20">
        <f t="shared" si="168"/>
        <v>640.57875641162809</v>
      </c>
      <c r="BH180" s="59">
        <f t="shared" si="116"/>
        <v>933.91208974496135</v>
      </c>
      <c r="BI180" s="59">
        <f ca="1">AVERAGE(OFFSET($BH$3,0,0,'Données projet'!$E$11+1,1))-AVERAGE(OFFSET($H$3,0,0,'Données projet'!$E$11+1,1))</f>
        <v>270.30888762640245</v>
      </c>
      <c r="BJ180" s="59">
        <f t="shared" si="146"/>
        <v>202.23783851977691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0.11653793620161261</v>
      </c>
      <c r="BQ180" s="21">
        <f>EXP(-LN(2)/25)*BQ179+(1-EXP(-LN(2)/25))/(LN(2)/25)*Calculateur!BL180*Calculateur!BN180*VLOOKUP('Données projet'!$B$11,Paramètres!$A$1:$I$89,3,0)*0.475*44/12</f>
        <v>0.20877549004358306</v>
      </c>
      <c r="BR180" s="21">
        <f>EXP(-LN(2)/2)*BR179+(1-EXP(-LN(2)/2))/(LN(2)/2)*BL180*BO180*VLOOKUP('Données projet'!$B$11,Paramètres!$A$1:$I$89,3,0)*0.475*44/12</f>
        <v>1.3845017091272225E-21</v>
      </c>
      <c r="BS180" s="22">
        <f t="shared" si="169"/>
        <v>0.32531342624519566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497</v>
      </c>
      <c r="BZ180" s="13">
        <f>BY180*VLOOKUP('Données projet'!$B$12,Paramètres!$A$1:$I$89,3,0)*VLOOKUP('Données projet'!$B$12,Paramètres!$A$1:$I$89,5,0)</f>
        <v>297.20600000000002</v>
      </c>
      <c r="CA180" s="13">
        <f t="shared" si="170"/>
        <v>70.590415164571112</v>
      </c>
      <c r="CB180" s="20">
        <f t="shared" si="171"/>
        <v>640.57875641162809</v>
      </c>
      <c r="CC180" s="59">
        <f t="shared" si="119"/>
        <v>933.91208974496135</v>
      </c>
      <c r="CD180" s="59">
        <f ca="1">AVERAGE(OFFSET($CC$3,0,0,'Données projet'!$E$12+1,1))-AVERAGE(OFFSET($H$3,0,0,'Données projet'!$E$12+1,1))</f>
        <v>270.30888762640245</v>
      </c>
      <c r="CE180" s="59">
        <f t="shared" si="148"/>
        <v>202.23783851977691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0.11653793620161261</v>
      </c>
      <c r="CL180" s="21">
        <f>EXP(-LN(2)/25)*CL179+(1-EXP(-LN(2)/25))/(LN(2)/25)*Calculateur!CG180*Calculateur!CI180*VLOOKUP('Données projet'!$B$12,Paramètres!$A$1:$I$89,3,0)*0.475*44/12</f>
        <v>0.20877549004358306</v>
      </c>
      <c r="CM180" s="21">
        <f>EXP(-LN(2)/2)*CM179+(1-EXP(-LN(2)/2))/(LN(2)/2)*CG180*CJ180*VLOOKUP('Données projet'!$B$12,Paramètres!$A$1:$I$89,3,0)*0.475*44/12</f>
        <v>1.3845017091272225E-21</v>
      </c>
      <c r="CN180" s="22">
        <f t="shared" si="172"/>
        <v>0.32531342624519566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3.4106051316484809E-13</v>
      </c>
      <c r="CU180" s="17">
        <f>CT180*VLOOKUP('Données projet'!$B$13,Paramètres!$A$1:$I$89,3,0)*VLOOKUP('Données projet'!$B$13,Paramètres!$A$1:$I$89,5,0)</f>
        <v>1.5961632016114892E-13</v>
      </c>
      <c r="CV180" s="13">
        <f t="shared" si="173"/>
        <v>2.2708641912150958E-12</v>
      </c>
      <c r="CW180" s="20">
        <f t="shared" si="174"/>
        <v>4.2330868906469593E-12</v>
      </c>
      <c r="CX180" s="59">
        <f t="shared" si="122"/>
        <v>293.33333333333752</v>
      </c>
      <c r="CY180" s="59">
        <f ca="1">AVERAGE(OFFSET($CX$3,0,0,'Données projet'!$E$13+1,1))-AVERAGE(OFFSET($H$3,0,0,'Données projet'!$E$13+1,1))</f>
        <v>158.58786357608489</v>
      </c>
      <c r="CZ180" s="59">
        <f t="shared" si="150"/>
        <v>163.20074068819849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3.813056537183002E-14</v>
      </c>
      <c r="DQ180" s="13">
        <f t="shared" si="176"/>
        <v>6.4086286045526829E-13</v>
      </c>
      <c r="DR180" s="20">
        <f t="shared" si="177"/>
        <v>1.1825802166488628E-12</v>
      </c>
      <c r="DS180" s="59">
        <f t="shared" si="125"/>
        <v>293.33333333333451</v>
      </c>
      <c r="DT180" s="59">
        <f ca="1">AVERAGE(OFFSET($DS$3,0,0,'Données projet'!$E$14+1,1))-AVERAGE(OFFSET($H$3,0,0,'Données projet'!$E$14+1,1))</f>
        <v>156.63226020379989</v>
      </c>
      <c r="DU180" s="59">
        <f t="shared" si="152"/>
        <v>196.0481096619543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0.14721794358251644</v>
      </c>
      <c r="EC180" s="21">
        <f>EXP(-LN(2)/2)*EC179+(1-EXP(-LN(2)/2))/(LN(2)/2)*DW180*DZ180*VLOOKUP('Données projet'!$B$14,Paramètres!$A$1:$I$89,3,0)*0.475*44/12</f>
        <v>6.7931118395360853E-22</v>
      </c>
      <c r="ED180" s="22">
        <f t="shared" si="178"/>
        <v>0.14721794358251644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-5.6843418860808015E-13</v>
      </c>
      <c r="EK180" s="17">
        <f>EJ180*VLOOKUP('Données projet'!$B$15,Paramètres!$A$1:$I$89,3,0)*VLOOKUP('Données projet'!$B$15,Paramètres!$A$1:$I$89,5,0)</f>
        <v>-6.1186256061773743E-13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211.18501783767226</v>
      </c>
      <c r="EP180" s="59">
        <f t="shared" si="154"/>
        <v>147.98306963466246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498</v>
      </c>
      <c r="FF180" s="17">
        <f>FE180*VLOOKUP('Données projet'!$B$16,Paramètres!$A$1:$I$89,3,0)*VLOOKUP('Données projet'!$B$16,Paramètres!$A$1:$I$89,5,0)</f>
        <v>297.80400000000003</v>
      </c>
      <c r="FG180" s="13">
        <f t="shared" si="182"/>
        <v>70.715900863123025</v>
      </c>
      <c r="FH180" s="20">
        <f t="shared" si="183"/>
        <v>641.83882733660596</v>
      </c>
      <c r="FI180" s="59">
        <f t="shared" si="131"/>
        <v>935.17216066993933</v>
      </c>
      <c r="FJ180" s="59">
        <f ca="1">AVERAGE(OFFSET($FI$3,0,0,'Données projet'!$E$16+1,1))-AVERAGE(OFFSET($H$3,0,0,'Données projet'!$E$16+1,1))</f>
        <v>232.26937455765062</v>
      </c>
      <c r="FK180" s="59">
        <f t="shared" si="156"/>
        <v>115.80853281120301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0.12042253407499975</v>
      </c>
      <c r="FR180" s="21">
        <f>EXP(-LN(2)/25)*FR179+(1-EXP(-LN(2)/25))/(LN(2)/25)*Calculateur!FM180*Calculateur!FO180*VLOOKUP('Données projet'!$B$16,Paramètres!$A$1:$I$89,3,0)*0.475*44/12</f>
        <v>7.4867616439831169E-2</v>
      </c>
      <c r="FS180" s="21">
        <f>EXP(-LN(2)/2)*FS179+(1-EXP(-LN(2)/2))/(LN(2)/2)*FM180*FP180*VLOOKUP('Données projet'!$B$16,Paramètres!$A$1:$I$89,3,0)*0.475*44/12</f>
        <v>6.2857011233602044E-22</v>
      </c>
      <c r="FT180" s="22">
        <f t="shared" si="184"/>
        <v>0.19529015051483092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5.6843418860808015E-14</v>
      </c>
      <c r="GA180" s="17">
        <f>FZ180*VLOOKUP('Données projet'!$B$17,Paramètres!$A$1:$I$89,3,0)*VLOOKUP('Données projet'!$B$17,Paramètres!$A$1:$I$89,5,0)</f>
        <v>4.5224624045658861E-14</v>
      </c>
      <c r="GB180" s="13">
        <f t="shared" si="185"/>
        <v>7.4514601661523691E-13</v>
      </c>
      <c r="GC180" s="20">
        <f t="shared" si="186"/>
        <v>1.3765621991510601E-12</v>
      </c>
      <c r="GD180" s="59">
        <f t="shared" si="134"/>
        <v>293.33333333333468</v>
      </c>
      <c r="GE180" s="59">
        <f ca="1">AVERAGE(OFFSET($GD$3,0,0,'Données projet'!$E$17+1,1))-AVERAGE(OFFSET($H$3,0,0,'Données projet'!$E$17+1,1))</f>
        <v>199.58763537752952</v>
      </c>
      <c r="GF180" s="59">
        <f t="shared" si="158"/>
        <v>242.62852778451929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0.17460732843507737</v>
      </c>
      <c r="GN180" s="21">
        <f>EXP(-LN(2)/2)*GN179+(1-EXP(-LN(2)/2))/(LN(2)/2)*GH180*GK180*VLOOKUP('Données projet'!$B$17,Paramètres!$A$1:$I$89,3,0)*0.475*44/12</f>
        <v>8.0569466003800159E-22</v>
      </c>
      <c r="GO180" s="21">
        <f t="shared" si="187"/>
        <v>0.17460732843507737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-5.1431925385259092E-13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153.45079678708987</v>
      </c>
      <c r="T181" s="59">
        <f t="shared" si="142"/>
        <v>115.4217868409637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-5.6843418860808015E-13</v>
      </c>
      <c r="AJ181" s="13">
        <f>AI181*VLOOKUP('Données projet'!$B$10,Paramètres!$A$1:$I$89,3,0)*VLOOKUP('Données projet'!$B$10,Paramètres!$A$1:$I$89,5,0)</f>
        <v>-5.763922672485933E-13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190.21499310415584</v>
      </c>
      <c r="AO181" s="59">
        <f t="shared" si="144"/>
        <v>136.15730566500173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497</v>
      </c>
      <c r="BE181" s="13">
        <f>BD181*VLOOKUP('Données projet'!$B$11,Paramètres!$A$1:$I$89,3,0)*VLOOKUP('Données projet'!$B$11,Paramètres!$A$1:$I$89,5,0)</f>
        <v>297.20600000000002</v>
      </c>
      <c r="BF181" s="13">
        <f t="shared" si="167"/>
        <v>70.590415164571112</v>
      </c>
      <c r="BG181" s="20">
        <f t="shared" si="168"/>
        <v>640.57875641162809</v>
      </c>
      <c r="BH181" s="59">
        <f t="shared" si="116"/>
        <v>933.91208974496135</v>
      </c>
      <c r="BI181" s="59">
        <f ca="1">AVERAGE(OFFSET($BH$3,0,0,'Données projet'!$E$11+1,1))-AVERAGE(OFFSET($H$3,0,0,'Données projet'!$E$11+1,1))</f>
        <v>270.30888762640245</v>
      </c>
      <c r="BJ181" s="59">
        <f t="shared" si="146"/>
        <v>202.23783851977691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0.11425269835382139</v>
      </c>
      <c r="BQ181" s="21">
        <f>EXP(-LN(2)/25)*BQ180+(1-EXP(-LN(2)/25))/(LN(2)/25)*Calculateur!BL181*Calculateur!BN181*VLOOKUP('Données projet'!$B$11,Paramètres!$A$1:$I$89,3,0)*0.475*44/12</f>
        <v>0.20306651328931544</v>
      </c>
      <c r="BR181" s="21">
        <f>EXP(-LN(2)/2)*BR180+(1-EXP(-LN(2)/2))/(LN(2)/2)*BL181*BO181*VLOOKUP('Données projet'!$B$11,Paramètres!$A$1:$I$89,3,0)*0.475*44/12</f>
        <v>9.7899054708822397E-22</v>
      </c>
      <c r="BS181" s="22">
        <f t="shared" si="169"/>
        <v>0.31731921164313681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497</v>
      </c>
      <c r="BZ181" s="13">
        <f>BY181*VLOOKUP('Données projet'!$B$12,Paramètres!$A$1:$I$89,3,0)*VLOOKUP('Données projet'!$B$12,Paramètres!$A$1:$I$89,5,0)</f>
        <v>297.20600000000002</v>
      </c>
      <c r="CA181" s="13">
        <f t="shared" si="170"/>
        <v>70.590415164571112</v>
      </c>
      <c r="CB181" s="20">
        <f t="shared" si="171"/>
        <v>640.57875641162809</v>
      </c>
      <c r="CC181" s="59">
        <f t="shared" si="119"/>
        <v>933.91208974496135</v>
      </c>
      <c r="CD181" s="59">
        <f ca="1">AVERAGE(OFFSET($CC$3,0,0,'Données projet'!$E$12+1,1))-AVERAGE(OFFSET($H$3,0,0,'Données projet'!$E$12+1,1))</f>
        <v>270.30888762640245</v>
      </c>
      <c r="CE181" s="59">
        <f t="shared" si="148"/>
        <v>202.23783851977691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0.11425269835382139</v>
      </c>
      <c r="CL181" s="21">
        <f>EXP(-LN(2)/25)*CL180+(1-EXP(-LN(2)/25))/(LN(2)/25)*Calculateur!CG181*Calculateur!CI181*VLOOKUP('Données projet'!$B$12,Paramètres!$A$1:$I$89,3,0)*0.475*44/12</f>
        <v>0.20306651328931544</v>
      </c>
      <c r="CM181" s="21">
        <f>EXP(-LN(2)/2)*CM180+(1-EXP(-LN(2)/2))/(LN(2)/2)*CG181*CJ181*VLOOKUP('Données projet'!$B$12,Paramètres!$A$1:$I$89,3,0)*0.475*44/12</f>
        <v>9.7899054708822397E-22</v>
      </c>
      <c r="CN181" s="22">
        <f t="shared" si="172"/>
        <v>0.31731921164313681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3.4106051316484809E-13</v>
      </c>
      <c r="CU181" s="17">
        <f>CT181*VLOOKUP('Données projet'!$B$13,Paramètres!$A$1:$I$89,3,0)*VLOOKUP('Données projet'!$B$13,Paramètres!$A$1:$I$89,5,0)</f>
        <v>1.5961632016114892E-13</v>
      </c>
      <c r="CV181" s="13">
        <f t="shared" si="173"/>
        <v>2.2708641912150958E-12</v>
      </c>
      <c r="CW181" s="20">
        <f t="shared" si="174"/>
        <v>4.2330868906469593E-12</v>
      </c>
      <c r="CX181" s="59">
        <f t="shared" si="122"/>
        <v>293.33333333333752</v>
      </c>
      <c r="CY181" s="59">
        <f ca="1">AVERAGE(OFFSET($CX$3,0,0,'Données projet'!$E$13+1,1))-AVERAGE(OFFSET($H$3,0,0,'Données projet'!$E$13+1,1))</f>
        <v>158.58786357608489</v>
      </c>
      <c r="CZ181" s="59">
        <f t="shared" si="150"/>
        <v>163.20074068819849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3.813056537183002E-14</v>
      </c>
      <c r="DQ181" s="13">
        <f t="shared" si="176"/>
        <v>6.4086286045526829E-13</v>
      </c>
      <c r="DR181" s="20">
        <f t="shared" si="177"/>
        <v>1.1825802166488628E-12</v>
      </c>
      <c r="DS181" s="59">
        <f t="shared" si="125"/>
        <v>293.33333333333451</v>
      </c>
      <c r="DT181" s="59">
        <f ca="1">AVERAGE(OFFSET($DS$3,0,0,'Données projet'!$E$14+1,1))-AVERAGE(OFFSET($H$3,0,0,'Données projet'!$E$14+1,1))</f>
        <v>156.63226020379989</v>
      </c>
      <c r="DU181" s="59">
        <f t="shared" si="152"/>
        <v>196.0481096619543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0.14319226117339734</v>
      </c>
      <c r="EC181" s="21">
        <f>EXP(-LN(2)/2)*EC180+(1-EXP(-LN(2)/2))/(LN(2)/2)*DW181*DZ181*VLOOKUP('Données projet'!$B$14,Paramètres!$A$1:$I$89,3,0)*0.475*44/12</f>
        <v>4.803455447094588E-22</v>
      </c>
      <c r="ED181" s="22">
        <f t="shared" si="178"/>
        <v>0.14319226117339734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-5.6843418860808015E-13</v>
      </c>
      <c r="EK181" s="17">
        <f>EJ181*VLOOKUP('Données projet'!$B$15,Paramètres!$A$1:$I$89,3,0)*VLOOKUP('Données projet'!$B$15,Paramètres!$A$1:$I$89,5,0)</f>
        <v>-6.1186256061773743E-13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211.18501783767226</v>
      </c>
      <c r="EP181" s="59">
        <f t="shared" si="154"/>
        <v>147.98306963466246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498</v>
      </c>
      <c r="FF181" s="17">
        <f>FE181*VLOOKUP('Données projet'!$B$16,Paramètres!$A$1:$I$89,3,0)*VLOOKUP('Données projet'!$B$16,Paramètres!$A$1:$I$89,5,0)</f>
        <v>297.80400000000003</v>
      </c>
      <c r="FG181" s="13">
        <f t="shared" si="182"/>
        <v>70.715900863123025</v>
      </c>
      <c r="FH181" s="20">
        <f t="shared" si="183"/>
        <v>641.83882733660596</v>
      </c>
      <c r="FI181" s="59">
        <f t="shared" si="131"/>
        <v>935.17216066993933</v>
      </c>
      <c r="FJ181" s="59">
        <f ca="1">AVERAGE(OFFSET($FI$3,0,0,'Données projet'!$E$16+1,1))-AVERAGE(OFFSET($H$3,0,0,'Données projet'!$E$16+1,1))</f>
        <v>232.26937455765062</v>
      </c>
      <c r="FK181" s="59">
        <f t="shared" si="156"/>
        <v>115.80853281120301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0.11806112163228216</v>
      </c>
      <c r="FR181" s="21">
        <f>EXP(-LN(2)/25)*FR180+(1-EXP(-LN(2)/25))/(LN(2)/25)*Calculateur!FM181*Calculateur!FO181*VLOOKUP('Données projet'!$B$16,Paramètres!$A$1:$I$89,3,0)*0.475*44/12</f>
        <v>7.2820357531167154E-2</v>
      </c>
      <c r="FS181" s="21">
        <f>EXP(-LN(2)/2)*FS180+(1-EXP(-LN(2)/2))/(LN(2)/2)*FM181*FP181*VLOOKUP('Données projet'!$B$16,Paramètres!$A$1:$I$89,3,0)*0.475*44/12</f>
        <v>4.4446618888398999E-22</v>
      </c>
      <c r="FT181" s="22">
        <f t="shared" si="184"/>
        <v>0.19088147916344933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5.6843418860808015E-14</v>
      </c>
      <c r="GA181" s="17">
        <f>FZ181*VLOOKUP('Données projet'!$B$17,Paramètres!$A$1:$I$89,3,0)*VLOOKUP('Données projet'!$B$17,Paramètres!$A$1:$I$89,5,0)</f>
        <v>4.5224624045658861E-14</v>
      </c>
      <c r="GB181" s="13">
        <f t="shared" si="185"/>
        <v>7.4514601661523691E-13</v>
      </c>
      <c r="GC181" s="20">
        <f t="shared" si="186"/>
        <v>1.3765621991510601E-12</v>
      </c>
      <c r="GD181" s="59">
        <f t="shared" si="134"/>
        <v>293.33333333333468</v>
      </c>
      <c r="GE181" s="59">
        <f ca="1">AVERAGE(OFFSET($GD$3,0,0,'Données projet'!$E$17+1,1))-AVERAGE(OFFSET($H$3,0,0,'Données projet'!$E$17+1,1))</f>
        <v>199.58763537752952</v>
      </c>
      <c r="GF181" s="59">
        <f t="shared" si="158"/>
        <v>242.62852778451929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0.16983268185681985</v>
      </c>
      <c r="GN181" s="21">
        <f>EXP(-LN(2)/2)*GN180+(1-EXP(-LN(2)/2))/(LN(2)/2)*GH181*GK181*VLOOKUP('Données projet'!$B$17,Paramètres!$A$1:$I$89,3,0)*0.475*44/12</f>
        <v>5.6971215767866098E-22</v>
      </c>
      <c r="GO181" s="21">
        <f t="shared" si="187"/>
        <v>0.16983268185681985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-5.1431925385259092E-13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153.45079678708987</v>
      </c>
      <c r="T182" s="59">
        <f t="shared" si="142"/>
        <v>115.4217868409637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-5.6843418860808015E-13</v>
      </c>
      <c r="AJ182" s="13">
        <f>AI182*VLOOKUP('Données projet'!$B$10,Paramètres!$A$1:$I$89,3,0)*VLOOKUP('Données projet'!$B$10,Paramètres!$A$1:$I$89,5,0)</f>
        <v>-5.763922672485933E-13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190.21499310415584</v>
      </c>
      <c r="AO182" s="59">
        <f t="shared" si="144"/>
        <v>136.15730566500173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497</v>
      </c>
      <c r="BE182" s="13">
        <f>BD182*VLOOKUP('Données projet'!$B$11,Paramètres!$A$1:$I$89,3,0)*VLOOKUP('Données projet'!$B$11,Paramètres!$A$1:$I$89,5,0)</f>
        <v>297.20600000000002</v>
      </c>
      <c r="BF182" s="13">
        <f t="shared" si="167"/>
        <v>70.590415164571112</v>
      </c>
      <c r="BG182" s="20">
        <f t="shared" si="168"/>
        <v>640.57875641162809</v>
      </c>
      <c r="BH182" s="59">
        <f t="shared" si="116"/>
        <v>933.91208974496135</v>
      </c>
      <c r="BI182" s="59">
        <f ca="1">AVERAGE(OFFSET($BH$3,0,0,'Données projet'!$E$11+1,1))-AVERAGE(OFFSET($H$3,0,0,'Données projet'!$E$11+1,1))</f>
        <v>270.30888762640245</v>
      </c>
      <c r="BJ182" s="59">
        <f t="shared" si="146"/>
        <v>202.23783851977691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0.1120122726263679</v>
      </c>
      <c r="BQ182" s="21">
        <f>EXP(-LN(2)/25)*BQ181+(1-EXP(-LN(2)/25))/(LN(2)/25)*Calculateur!BL182*Calculateur!BN182*VLOOKUP('Données projet'!$B$11,Paramètres!$A$1:$I$89,3,0)*0.475*44/12</f>
        <v>0.19751364880461528</v>
      </c>
      <c r="BR182" s="21">
        <f>EXP(-LN(2)/2)*BR181+(1-EXP(-LN(2)/2))/(LN(2)/2)*BL182*BO182*VLOOKUP('Données projet'!$B$11,Paramètres!$A$1:$I$89,3,0)*0.475*44/12</f>
        <v>6.9225085456361124E-22</v>
      </c>
      <c r="BS182" s="22">
        <f t="shared" si="169"/>
        <v>0.30952592143098318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497</v>
      </c>
      <c r="BZ182" s="13">
        <f>BY182*VLOOKUP('Données projet'!$B$12,Paramètres!$A$1:$I$89,3,0)*VLOOKUP('Données projet'!$B$12,Paramètres!$A$1:$I$89,5,0)</f>
        <v>297.20600000000002</v>
      </c>
      <c r="CA182" s="13">
        <f t="shared" si="170"/>
        <v>70.590415164571112</v>
      </c>
      <c r="CB182" s="20">
        <f t="shared" si="171"/>
        <v>640.57875641162809</v>
      </c>
      <c r="CC182" s="59">
        <f t="shared" si="119"/>
        <v>933.91208974496135</v>
      </c>
      <c r="CD182" s="59">
        <f ca="1">AVERAGE(OFFSET($CC$3,0,0,'Données projet'!$E$12+1,1))-AVERAGE(OFFSET($H$3,0,0,'Données projet'!$E$12+1,1))</f>
        <v>270.30888762640245</v>
      </c>
      <c r="CE182" s="59">
        <f t="shared" si="148"/>
        <v>202.23783851977691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0.1120122726263679</v>
      </c>
      <c r="CL182" s="21">
        <f>EXP(-LN(2)/25)*CL181+(1-EXP(-LN(2)/25))/(LN(2)/25)*Calculateur!CG182*Calculateur!CI182*VLOOKUP('Données projet'!$B$12,Paramètres!$A$1:$I$89,3,0)*0.475*44/12</f>
        <v>0.19751364880461528</v>
      </c>
      <c r="CM182" s="21">
        <f>EXP(-LN(2)/2)*CM181+(1-EXP(-LN(2)/2))/(LN(2)/2)*CG182*CJ182*VLOOKUP('Données projet'!$B$12,Paramètres!$A$1:$I$89,3,0)*0.475*44/12</f>
        <v>6.9225085456361124E-22</v>
      </c>
      <c r="CN182" s="22">
        <f t="shared" si="172"/>
        <v>0.30952592143098318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3.4106051316484809E-13</v>
      </c>
      <c r="CU182" s="17">
        <f>CT182*VLOOKUP('Données projet'!$B$13,Paramètres!$A$1:$I$89,3,0)*VLOOKUP('Données projet'!$B$13,Paramètres!$A$1:$I$89,5,0)</f>
        <v>1.5961632016114892E-13</v>
      </c>
      <c r="CV182" s="13">
        <f t="shared" si="173"/>
        <v>2.2708641912150958E-12</v>
      </c>
      <c r="CW182" s="20">
        <f t="shared" si="174"/>
        <v>4.2330868906469593E-12</v>
      </c>
      <c r="CX182" s="59">
        <f t="shared" si="122"/>
        <v>293.33333333333752</v>
      </c>
      <c r="CY182" s="59">
        <f ca="1">AVERAGE(OFFSET($CX$3,0,0,'Données projet'!$E$13+1,1))-AVERAGE(OFFSET($H$3,0,0,'Données projet'!$E$13+1,1))</f>
        <v>158.58786357608489</v>
      </c>
      <c r="CZ182" s="59">
        <f t="shared" si="150"/>
        <v>163.20074068819849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3.813056537183002E-14</v>
      </c>
      <c r="DQ182" s="13">
        <f t="shared" si="176"/>
        <v>6.4086286045526829E-13</v>
      </c>
      <c r="DR182" s="20">
        <f t="shared" si="177"/>
        <v>1.1825802166488628E-12</v>
      </c>
      <c r="DS182" s="59">
        <f t="shared" si="125"/>
        <v>293.33333333333451</v>
      </c>
      <c r="DT182" s="59">
        <f ca="1">AVERAGE(OFFSET($DS$3,0,0,'Données projet'!$E$14+1,1))-AVERAGE(OFFSET($H$3,0,0,'Données projet'!$E$14+1,1))</f>
        <v>156.63226020379989</v>
      </c>
      <c r="DU182" s="59">
        <f t="shared" si="152"/>
        <v>196.0481096619543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0.13927666126145705</v>
      </c>
      <c r="EC182" s="21">
        <f>EXP(-LN(2)/2)*EC181+(1-EXP(-LN(2)/2))/(LN(2)/2)*DW182*DZ182*VLOOKUP('Données projet'!$B$14,Paramètres!$A$1:$I$89,3,0)*0.475*44/12</f>
        <v>3.3965559197680427E-22</v>
      </c>
      <c r="ED182" s="22">
        <f t="shared" si="178"/>
        <v>0.13927666126145705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-5.6843418860808015E-13</v>
      </c>
      <c r="EK182" s="17">
        <f>EJ182*VLOOKUP('Données projet'!$B$15,Paramètres!$A$1:$I$89,3,0)*VLOOKUP('Données projet'!$B$15,Paramètres!$A$1:$I$89,5,0)</f>
        <v>-6.1186256061773743E-13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211.18501783767226</v>
      </c>
      <c r="EP182" s="59">
        <f t="shared" si="154"/>
        <v>147.98306963466246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498</v>
      </c>
      <c r="FF182" s="17">
        <f>FE182*VLOOKUP('Données projet'!$B$16,Paramètres!$A$1:$I$89,3,0)*VLOOKUP('Données projet'!$B$16,Paramètres!$A$1:$I$89,5,0)</f>
        <v>297.80400000000003</v>
      </c>
      <c r="FG182" s="13">
        <f t="shared" si="182"/>
        <v>70.715900863123025</v>
      </c>
      <c r="FH182" s="20">
        <f t="shared" si="183"/>
        <v>641.83882733660596</v>
      </c>
      <c r="FI182" s="59">
        <f t="shared" si="131"/>
        <v>935.17216066993933</v>
      </c>
      <c r="FJ182" s="59">
        <f ca="1">AVERAGE(OFFSET($FI$3,0,0,'Données projet'!$E$16+1,1))-AVERAGE(OFFSET($H$3,0,0,'Données projet'!$E$16+1,1))</f>
        <v>232.26937455765062</v>
      </c>
      <c r="FK182" s="59">
        <f t="shared" si="156"/>
        <v>115.80853281120301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0.11574601504724689</v>
      </c>
      <c r="FR182" s="21">
        <f>EXP(-LN(2)/25)*FR181+(1-EXP(-LN(2)/25))/(LN(2)/25)*Calculateur!FM182*Calculateur!FO182*VLOOKUP('Données projet'!$B$16,Paramètres!$A$1:$I$89,3,0)*0.475*44/12</f>
        <v>7.0829081025021223E-2</v>
      </c>
      <c r="FS182" s="21">
        <f>EXP(-LN(2)/2)*FS181+(1-EXP(-LN(2)/2))/(LN(2)/2)*FM182*FP182*VLOOKUP('Données projet'!$B$16,Paramètres!$A$1:$I$89,3,0)*0.475*44/12</f>
        <v>3.1428505616801022E-22</v>
      </c>
      <c r="FT182" s="22">
        <f t="shared" si="184"/>
        <v>0.18657509607226813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5.6843418860808015E-14</v>
      </c>
      <c r="GA182" s="17">
        <f>FZ182*VLOOKUP('Données projet'!$B$17,Paramètres!$A$1:$I$89,3,0)*VLOOKUP('Données projet'!$B$17,Paramètres!$A$1:$I$89,5,0)</f>
        <v>4.5224624045658861E-14</v>
      </c>
      <c r="GB182" s="13">
        <f t="shared" si="185"/>
        <v>7.4514601661523691E-13</v>
      </c>
      <c r="GC182" s="20">
        <f t="shared" si="186"/>
        <v>1.3765621991510601E-12</v>
      </c>
      <c r="GD182" s="59">
        <f t="shared" si="134"/>
        <v>293.33333333333468</v>
      </c>
      <c r="GE182" s="59">
        <f ca="1">AVERAGE(OFFSET($GD$3,0,0,'Données projet'!$E$17+1,1))-AVERAGE(OFFSET($H$3,0,0,'Données projet'!$E$17+1,1))</f>
        <v>199.58763537752952</v>
      </c>
      <c r="GF182" s="59">
        <f t="shared" si="158"/>
        <v>242.62852778451929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0.16518859824033252</v>
      </c>
      <c r="GN182" s="21">
        <f>EXP(-LN(2)/2)*GN181+(1-EXP(-LN(2)/2))/(LN(2)/2)*GH182*GK182*VLOOKUP('Données projet'!$B$17,Paramètres!$A$1:$I$89,3,0)*0.475*44/12</f>
        <v>4.0284733001900079E-22</v>
      </c>
      <c r="GO182" s="21">
        <f t="shared" si="187"/>
        <v>0.16518859824033252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-5.1431925385259092E-13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153.45079678708987</v>
      </c>
      <c r="T183" s="59">
        <f t="shared" si="142"/>
        <v>115.4217868409637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-5.6843418860808015E-13</v>
      </c>
      <c r="AJ183" s="13">
        <f>AI183*VLOOKUP('Données projet'!$B$10,Paramètres!$A$1:$I$89,3,0)*VLOOKUP('Données projet'!$B$10,Paramètres!$A$1:$I$89,5,0)</f>
        <v>-5.763922672485933E-13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190.21499310415584</v>
      </c>
      <c r="AO183" s="59">
        <f t="shared" si="144"/>
        <v>136.15730566500173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497</v>
      </c>
      <c r="BE183" s="13">
        <f>BD183*VLOOKUP('Données projet'!$B$11,Paramètres!$A$1:$I$89,3,0)*VLOOKUP('Données projet'!$B$11,Paramètres!$A$1:$I$89,5,0)</f>
        <v>297.20600000000002</v>
      </c>
      <c r="BF183" s="13">
        <f t="shared" si="167"/>
        <v>70.590415164571112</v>
      </c>
      <c r="BG183" s="20">
        <f t="shared" si="168"/>
        <v>640.57875641162809</v>
      </c>
      <c r="BH183" s="59">
        <f t="shared" si="116"/>
        <v>933.91208974496135</v>
      </c>
      <c r="BI183" s="59">
        <f ca="1">AVERAGE(OFFSET($BH$3,0,0,'Données projet'!$E$11+1,1))-AVERAGE(OFFSET($H$3,0,0,'Données projet'!$E$11+1,1))</f>
        <v>270.30888762640245</v>
      </c>
      <c r="BJ183" s="59">
        <f t="shared" si="146"/>
        <v>202.23783851977691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0.10981578028090501</v>
      </c>
      <c r="BQ183" s="21">
        <f>EXP(-LN(2)/25)*BQ182+(1-EXP(-LN(2)/25))/(LN(2)/25)*Calculateur!BL183*Calculateur!BN183*VLOOKUP('Données projet'!$B$11,Paramètres!$A$1:$I$89,3,0)*0.475*44/12</f>
        <v>0.19211262769126169</v>
      </c>
      <c r="BR183" s="21">
        <f>EXP(-LN(2)/2)*BR182+(1-EXP(-LN(2)/2))/(LN(2)/2)*BL183*BO183*VLOOKUP('Données projet'!$B$11,Paramètres!$A$1:$I$89,3,0)*0.475*44/12</f>
        <v>4.8949527354411198E-22</v>
      </c>
      <c r="BS183" s="22">
        <f t="shared" si="169"/>
        <v>0.30192840797216669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497</v>
      </c>
      <c r="BZ183" s="13">
        <f>BY183*VLOOKUP('Données projet'!$B$12,Paramètres!$A$1:$I$89,3,0)*VLOOKUP('Données projet'!$B$12,Paramètres!$A$1:$I$89,5,0)</f>
        <v>297.20600000000002</v>
      </c>
      <c r="CA183" s="13">
        <f t="shared" si="170"/>
        <v>70.590415164571112</v>
      </c>
      <c r="CB183" s="20">
        <f t="shared" si="171"/>
        <v>640.57875641162809</v>
      </c>
      <c r="CC183" s="59">
        <f t="shared" si="119"/>
        <v>933.91208974496135</v>
      </c>
      <c r="CD183" s="59">
        <f ca="1">AVERAGE(OFFSET($CC$3,0,0,'Données projet'!$E$12+1,1))-AVERAGE(OFFSET($H$3,0,0,'Données projet'!$E$12+1,1))</f>
        <v>270.30888762640245</v>
      </c>
      <c r="CE183" s="59">
        <f t="shared" si="148"/>
        <v>202.23783851977691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0.10981578028090501</v>
      </c>
      <c r="CL183" s="21">
        <f>EXP(-LN(2)/25)*CL182+(1-EXP(-LN(2)/25))/(LN(2)/25)*Calculateur!CG183*Calculateur!CI183*VLOOKUP('Données projet'!$B$12,Paramètres!$A$1:$I$89,3,0)*0.475*44/12</f>
        <v>0.19211262769126169</v>
      </c>
      <c r="CM183" s="21">
        <f>EXP(-LN(2)/2)*CM182+(1-EXP(-LN(2)/2))/(LN(2)/2)*CG183*CJ183*VLOOKUP('Données projet'!$B$12,Paramètres!$A$1:$I$89,3,0)*0.475*44/12</f>
        <v>4.8949527354411198E-22</v>
      </c>
      <c r="CN183" s="22">
        <f t="shared" si="172"/>
        <v>0.30192840797216669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3.4106051316484809E-13</v>
      </c>
      <c r="CU183" s="17">
        <f>CT183*VLOOKUP('Données projet'!$B$13,Paramètres!$A$1:$I$89,3,0)*VLOOKUP('Données projet'!$B$13,Paramètres!$A$1:$I$89,5,0)</f>
        <v>1.5961632016114892E-13</v>
      </c>
      <c r="CV183" s="13">
        <f t="shared" si="173"/>
        <v>2.2708641912150958E-12</v>
      </c>
      <c r="CW183" s="20">
        <f t="shared" si="174"/>
        <v>4.2330868906469593E-12</v>
      </c>
      <c r="CX183" s="59">
        <f t="shared" si="122"/>
        <v>293.33333333333752</v>
      </c>
      <c r="CY183" s="59">
        <f ca="1">AVERAGE(OFFSET($CX$3,0,0,'Données projet'!$E$13+1,1))-AVERAGE(OFFSET($H$3,0,0,'Données projet'!$E$13+1,1))</f>
        <v>158.58786357608489</v>
      </c>
      <c r="CZ183" s="59">
        <f t="shared" si="150"/>
        <v>163.20074068819849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3.813056537183002E-14</v>
      </c>
      <c r="DQ183" s="13">
        <f t="shared" si="176"/>
        <v>6.4086286045526829E-13</v>
      </c>
      <c r="DR183" s="20">
        <f t="shared" si="177"/>
        <v>1.1825802166488628E-12</v>
      </c>
      <c r="DS183" s="59">
        <f t="shared" si="125"/>
        <v>293.33333333333451</v>
      </c>
      <c r="DT183" s="59">
        <f ca="1">AVERAGE(OFFSET($DS$3,0,0,'Données projet'!$E$14+1,1))-AVERAGE(OFFSET($H$3,0,0,'Données projet'!$E$14+1,1))</f>
        <v>156.63226020379989</v>
      </c>
      <c r="DU183" s="59">
        <f t="shared" si="152"/>
        <v>196.0481096619543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0.13546813363502122</v>
      </c>
      <c r="EC183" s="21">
        <f>EXP(-LN(2)/2)*EC182+(1-EXP(-LN(2)/2))/(LN(2)/2)*DW183*DZ183*VLOOKUP('Données projet'!$B$14,Paramètres!$A$1:$I$89,3,0)*0.475*44/12</f>
        <v>2.401727723547294E-22</v>
      </c>
      <c r="ED183" s="22">
        <f t="shared" si="178"/>
        <v>0.13546813363502122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-5.6843418860808015E-13</v>
      </c>
      <c r="EK183" s="17">
        <f>EJ183*VLOOKUP('Données projet'!$B$15,Paramètres!$A$1:$I$89,3,0)*VLOOKUP('Données projet'!$B$15,Paramètres!$A$1:$I$89,5,0)</f>
        <v>-6.1186256061773743E-13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211.18501783767226</v>
      </c>
      <c r="EP183" s="59">
        <f t="shared" si="154"/>
        <v>147.98306963466246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498</v>
      </c>
      <c r="FF183" s="17">
        <f>FE183*VLOOKUP('Données projet'!$B$16,Paramètres!$A$1:$I$89,3,0)*VLOOKUP('Données projet'!$B$16,Paramètres!$A$1:$I$89,5,0)</f>
        <v>297.80400000000003</v>
      </c>
      <c r="FG183" s="13">
        <f t="shared" si="182"/>
        <v>70.715900863123025</v>
      </c>
      <c r="FH183" s="20">
        <f t="shared" si="183"/>
        <v>641.83882733660596</v>
      </c>
      <c r="FI183" s="59">
        <f t="shared" si="131"/>
        <v>935.17216066993933</v>
      </c>
      <c r="FJ183" s="59">
        <f ca="1">AVERAGE(OFFSET($FI$3,0,0,'Données projet'!$E$16+1,1))-AVERAGE(OFFSET($H$3,0,0,'Données projet'!$E$16+1,1))</f>
        <v>232.26937455765062</v>
      </c>
      <c r="FK183" s="59">
        <f t="shared" si="156"/>
        <v>115.80853281120301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0.11347630629026857</v>
      </c>
      <c r="FR183" s="21">
        <f>EXP(-LN(2)/25)*FR182+(1-EXP(-LN(2)/25))/(LN(2)/25)*Calculateur!FM183*Calculateur!FO183*VLOOKUP('Données projet'!$B$16,Paramètres!$A$1:$I$89,3,0)*0.475*44/12</f>
        <v>6.8892256079652534E-2</v>
      </c>
      <c r="FS183" s="21">
        <f>EXP(-LN(2)/2)*FS182+(1-EXP(-LN(2)/2))/(LN(2)/2)*FM183*FP183*VLOOKUP('Données projet'!$B$16,Paramètres!$A$1:$I$89,3,0)*0.475*44/12</f>
        <v>2.22233094441995E-22</v>
      </c>
      <c r="FT183" s="22">
        <f t="shared" si="184"/>
        <v>0.18236856236992111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5.6843418860808015E-14</v>
      </c>
      <c r="GA183" s="17">
        <f>FZ183*VLOOKUP('Données projet'!$B$17,Paramètres!$A$1:$I$89,3,0)*VLOOKUP('Données projet'!$B$17,Paramètres!$A$1:$I$89,5,0)</f>
        <v>4.5224624045658861E-14</v>
      </c>
      <c r="GB183" s="13">
        <f t="shared" si="185"/>
        <v>7.4514601661523691E-13</v>
      </c>
      <c r="GC183" s="20">
        <f t="shared" si="186"/>
        <v>1.3765621991510601E-12</v>
      </c>
      <c r="GD183" s="59">
        <f t="shared" si="134"/>
        <v>293.33333333333468</v>
      </c>
      <c r="GE183" s="59">
        <f ca="1">AVERAGE(OFFSET($GD$3,0,0,'Données projet'!$E$17+1,1))-AVERAGE(OFFSET($H$3,0,0,'Données projet'!$E$17+1,1))</f>
        <v>199.58763537752952</v>
      </c>
      <c r="GF183" s="59">
        <f t="shared" si="158"/>
        <v>242.62852778451929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0.16067150733455979</v>
      </c>
      <c r="GN183" s="21">
        <f>EXP(-LN(2)/2)*GN182+(1-EXP(-LN(2)/2))/(LN(2)/2)*GH183*GK183*VLOOKUP('Données projet'!$B$17,Paramètres!$A$1:$I$89,3,0)*0.475*44/12</f>
        <v>2.8485607883933049E-22</v>
      </c>
      <c r="GO183" s="21">
        <f t="shared" si="187"/>
        <v>0.16067150733455979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-5.1431925385259092E-13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153.45079678708987</v>
      </c>
      <c r="T184" s="59">
        <f t="shared" si="142"/>
        <v>115.4217868409637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-5.6843418860808015E-13</v>
      </c>
      <c r="AJ184" s="13">
        <f>AI184*VLOOKUP('Données projet'!$B$10,Paramètres!$A$1:$I$89,3,0)*VLOOKUP('Données projet'!$B$10,Paramètres!$A$1:$I$89,5,0)</f>
        <v>-5.763922672485933E-13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190.21499310415584</v>
      </c>
      <c r="AO184" s="59">
        <f t="shared" si="144"/>
        <v>136.15730566500173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497</v>
      </c>
      <c r="BE184" s="13">
        <f>BD184*VLOOKUP('Données projet'!$B$11,Paramètres!$A$1:$I$89,3,0)*VLOOKUP('Données projet'!$B$11,Paramètres!$A$1:$I$89,5,0)</f>
        <v>297.20600000000002</v>
      </c>
      <c r="BF184" s="13">
        <f t="shared" si="167"/>
        <v>70.590415164571112</v>
      </c>
      <c r="BG184" s="20">
        <f t="shared" si="168"/>
        <v>640.57875641162809</v>
      </c>
      <c r="BH184" s="59">
        <f t="shared" si="116"/>
        <v>933.91208974496135</v>
      </c>
      <c r="BI184" s="59">
        <f ca="1">AVERAGE(OFFSET($BH$3,0,0,'Données projet'!$E$11+1,1))-AVERAGE(OFFSET($H$3,0,0,'Données projet'!$E$11+1,1))</f>
        <v>270.30888762640245</v>
      </c>
      <c r="BJ184" s="59">
        <f t="shared" si="146"/>
        <v>202.23783851977691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0.10766235981060861</v>
      </c>
      <c r="BQ184" s="21">
        <f>EXP(-LN(2)/25)*BQ183+(1-EXP(-LN(2)/25))/(LN(2)/25)*Calculateur!BL184*Calculateur!BN184*VLOOKUP('Données projet'!$B$11,Paramètres!$A$1:$I$89,3,0)*0.475*44/12</f>
        <v>0.18685929778428012</v>
      </c>
      <c r="BR184" s="21">
        <f>EXP(-LN(2)/2)*BR183+(1-EXP(-LN(2)/2))/(LN(2)/2)*BL184*BO184*VLOOKUP('Données projet'!$B$11,Paramètres!$A$1:$I$89,3,0)*0.475*44/12</f>
        <v>3.4612542728180562E-22</v>
      </c>
      <c r="BS184" s="22">
        <f t="shared" si="169"/>
        <v>0.29452165759488874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497</v>
      </c>
      <c r="BZ184" s="13">
        <f>BY184*VLOOKUP('Données projet'!$B$12,Paramètres!$A$1:$I$89,3,0)*VLOOKUP('Données projet'!$B$12,Paramètres!$A$1:$I$89,5,0)</f>
        <v>297.20600000000002</v>
      </c>
      <c r="CA184" s="13">
        <f t="shared" si="170"/>
        <v>70.590415164571112</v>
      </c>
      <c r="CB184" s="20">
        <f t="shared" si="171"/>
        <v>640.57875641162809</v>
      </c>
      <c r="CC184" s="59">
        <f t="shared" si="119"/>
        <v>933.91208974496135</v>
      </c>
      <c r="CD184" s="59">
        <f ca="1">AVERAGE(OFFSET($CC$3,0,0,'Données projet'!$E$12+1,1))-AVERAGE(OFFSET($H$3,0,0,'Données projet'!$E$12+1,1))</f>
        <v>270.30888762640245</v>
      </c>
      <c r="CE184" s="59">
        <f t="shared" si="148"/>
        <v>202.23783851977691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0.10766235981060861</v>
      </c>
      <c r="CL184" s="21">
        <f>EXP(-LN(2)/25)*CL183+(1-EXP(-LN(2)/25))/(LN(2)/25)*Calculateur!CG184*Calculateur!CI184*VLOOKUP('Données projet'!$B$12,Paramètres!$A$1:$I$89,3,0)*0.475*44/12</f>
        <v>0.18685929778428012</v>
      </c>
      <c r="CM184" s="21">
        <f>EXP(-LN(2)/2)*CM183+(1-EXP(-LN(2)/2))/(LN(2)/2)*CG184*CJ184*VLOOKUP('Données projet'!$B$12,Paramètres!$A$1:$I$89,3,0)*0.475*44/12</f>
        <v>3.4612542728180562E-22</v>
      </c>
      <c r="CN184" s="22">
        <f t="shared" si="172"/>
        <v>0.29452165759488874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3.4106051316484809E-13</v>
      </c>
      <c r="CU184" s="17">
        <f>CT184*VLOOKUP('Données projet'!$B$13,Paramètres!$A$1:$I$89,3,0)*VLOOKUP('Données projet'!$B$13,Paramètres!$A$1:$I$89,5,0)</f>
        <v>1.5961632016114892E-13</v>
      </c>
      <c r="CV184" s="13">
        <f t="shared" si="173"/>
        <v>2.2708641912150958E-12</v>
      </c>
      <c r="CW184" s="20">
        <f t="shared" si="174"/>
        <v>4.2330868906469593E-12</v>
      </c>
      <c r="CX184" s="59">
        <f t="shared" si="122"/>
        <v>293.33333333333752</v>
      </c>
      <c r="CY184" s="59">
        <f ca="1">AVERAGE(OFFSET($CX$3,0,0,'Données projet'!$E$13+1,1))-AVERAGE(OFFSET($H$3,0,0,'Données projet'!$E$13+1,1))</f>
        <v>158.58786357608489</v>
      </c>
      <c r="CZ184" s="59">
        <f t="shared" si="150"/>
        <v>163.20074068819849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3.813056537183002E-14</v>
      </c>
      <c r="DQ184" s="13">
        <f t="shared" si="176"/>
        <v>6.4086286045526829E-13</v>
      </c>
      <c r="DR184" s="20">
        <f t="shared" si="177"/>
        <v>1.1825802166488628E-12</v>
      </c>
      <c r="DS184" s="59">
        <f t="shared" si="125"/>
        <v>293.33333333333451</v>
      </c>
      <c r="DT184" s="59">
        <f ca="1">AVERAGE(OFFSET($DS$3,0,0,'Données projet'!$E$14+1,1))-AVERAGE(OFFSET($H$3,0,0,'Données projet'!$E$14+1,1))</f>
        <v>156.63226020379989</v>
      </c>
      <c r="DU184" s="59">
        <f t="shared" si="152"/>
        <v>196.0481096619543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0.13176375039681204</v>
      </c>
      <c r="EC184" s="21">
        <f>EXP(-LN(2)/2)*EC183+(1-EXP(-LN(2)/2))/(LN(2)/2)*DW184*DZ184*VLOOKUP('Données projet'!$B$14,Paramètres!$A$1:$I$89,3,0)*0.475*44/12</f>
        <v>1.6982779598840213E-22</v>
      </c>
      <c r="ED184" s="22">
        <f t="shared" si="178"/>
        <v>0.13176375039681204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-5.6843418860808015E-13</v>
      </c>
      <c r="EK184" s="17">
        <f>EJ184*VLOOKUP('Données projet'!$B$15,Paramètres!$A$1:$I$89,3,0)*VLOOKUP('Données projet'!$B$15,Paramètres!$A$1:$I$89,5,0)</f>
        <v>-6.1186256061773743E-13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211.18501783767226</v>
      </c>
      <c r="EP184" s="59">
        <f t="shared" si="154"/>
        <v>147.98306963466246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498</v>
      </c>
      <c r="FF184" s="17">
        <f>FE184*VLOOKUP('Données projet'!$B$16,Paramètres!$A$1:$I$89,3,0)*VLOOKUP('Données projet'!$B$16,Paramètres!$A$1:$I$89,5,0)</f>
        <v>297.80400000000003</v>
      </c>
      <c r="FG184" s="13">
        <f t="shared" si="182"/>
        <v>70.715900863123025</v>
      </c>
      <c r="FH184" s="20">
        <f t="shared" si="183"/>
        <v>641.83882733660596</v>
      </c>
      <c r="FI184" s="59">
        <f t="shared" si="131"/>
        <v>935.17216066993933</v>
      </c>
      <c r="FJ184" s="59">
        <f ca="1">AVERAGE(OFFSET($FI$3,0,0,'Données projet'!$E$16+1,1))-AVERAGE(OFFSET($H$3,0,0,'Données projet'!$E$16+1,1))</f>
        <v>232.26937455765062</v>
      </c>
      <c r="FK184" s="59">
        <f t="shared" si="156"/>
        <v>115.80853281120301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0.11125110513762895</v>
      </c>
      <c r="FR184" s="21">
        <f>EXP(-LN(2)/25)*FR183+(1-EXP(-LN(2)/25))/(LN(2)/25)*Calculateur!FM184*Calculateur!FO184*VLOOKUP('Données projet'!$B$16,Paramètres!$A$1:$I$89,3,0)*0.475*44/12</f>
        <v>6.7008393714268144E-2</v>
      </c>
      <c r="FS184" s="21">
        <f>EXP(-LN(2)/2)*FS183+(1-EXP(-LN(2)/2))/(LN(2)/2)*FM184*FP184*VLOOKUP('Données projet'!$B$16,Paramètres!$A$1:$I$89,3,0)*0.475*44/12</f>
        <v>1.5714252808400511E-22</v>
      </c>
      <c r="FT184" s="22">
        <f t="shared" si="184"/>
        <v>0.1782594988518971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5.6843418860808015E-14</v>
      </c>
      <c r="GA184" s="17">
        <f>FZ184*VLOOKUP('Données projet'!$B$17,Paramètres!$A$1:$I$89,3,0)*VLOOKUP('Données projet'!$B$17,Paramètres!$A$1:$I$89,5,0)</f>
        <v>4.5224624045658861E-14</v>
      </c>
      <c r="GB184" s="13">
        <f t="shared" si="185"/>
        <v>7.4514601661523691E-13</v>
      </c>
      <c r="GC184" s="20">
        <f t="shared" si="186"/>
        <v>1.3765621991510601E-12</v>
      </c>
      <c r="GD184" s="59">
        <f t="shared" si="134"/>
        <v>293.33333333333468</v>
      </c>
      <c r="GE184" s="59">
        <f ca="1">AVERAGE(OFFSET($GD$3,0,0,'Données projet'!$E$17+1,1))-AVERAGE(OFFSET($H$3,0,0,'Données projet'!$E$17+1,1))</f>
        <v>199.58763537752952</v>
      </c>
      <c r="GF184" s="59">
        <f t="shared" si="158"/>
        <v>242.62852778451929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0.15627793651714889</v>
      </c>
      <c r="GN184" s="21">
        <f>EXP(-LN(2)/2)*GN183+(1-EXP(-LN(2)/2))/(LN(2)/2)*GH184*GK184*VLOOKUP('Données projet'!$B$17,Paramètres!$A$1:$I$89,3,0)*0.475*44/12</f>
        <v>2.014236650095004E-22</v>
      </c>
      <c r="GO184" s="21">
        <f t="shared" si="187"/>
        <v>0.15627793651714889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-5.1431925385259092E-13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153.45079678708987</v>
      </c>
      <c r="T185" s="59">
        <f t="shared" si="142"/>
        <v>115.4217868409637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-5.6843418860808015E-13</v>
      </c>
      <c r="AJ185" s="13">
        <f>AI185*VLOOKUP('Données projet'!$B$10,Paramètres!$A$1:$I$89,3,0)*VLOOKUP('Données projet'!$B$10,Paramètres!$A$1:$I$89,5,0)</f>
        <v>-5.763922672485933E-13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190.21499310415584</v>
      </c>
      <c r="AO185" s="59">
        <f t="shared" si="144"/>
        <v>136.15730566500173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497</v>
      </c>
      <c r="BE185" s="13">
        <f>BD185*VLOOKUP('Données projet'!$B$11,Paramètres!$A$1:$I$89,3,0)*VLOOKUP('Données projet'!$B$11,Paramètres!$A$1:$I$89,5,0)</f>
        <v>297.20600000000002</v>
      </c>
      <c r="BF185" s="13">
        <f t="shared" si="167"/>
        <v>70.590415164571112</v>
      </c>
      <c r="BG185" s="20">
        <f t="shared" si="168"/>
        <v>640.57875641162809</v>
      </c>
      <c r="BH185" s="59">
        <f t="shared" si="116"/>
        <v>933.91208974496135</v>
      </c>
      <c r="BI185" s="59">
        <f ca="1">AVERAGE(OFFSET($BH$3,0,0,'Données projet'!$E$11+1,1))-AVERAGE(OFFSET($H$3,0,0,'Données projet'!$E$11+1,1))</f>
        <v>270.30888762640245</v>
      </c>
      <c r="BJ185" s="59">
        <f t="shared" si="146"/>
        <v>202.23783851977691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0.10555116660227792</v>
      </c>
      <c r="BQ185" s="21">
        <f>EXP(-LN(2)/25)*BQ184+(1-EXP(-LN(2)/25))/(LN(2)/25)*Calculateur!BL185*Calculateur!BN185*VLOOKUP('Données projet'!$B$11,Paramètres!$A$1:$I$89,3,0)*0.475*44/12</f>
        <v>0.18174962045986559</v>
      </c>
      <c r="BR185" s="21">
        <f>EXP(-LN(2)/2)*BR184+(1-EXP(-LN(2)/2))/(LN(2)/2)*BL185*BO185*VLOOKUP('Données projet'!$B$11,Paramètres!$A$1:$I$89,3,0)*0.475*44/12</f>
        <v>2.4474763677205599E-22</v>
      </c>
      <c r="BS185" s="22">
        <f t="shared" si="169"/>
        <v>0.28730078706214351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497</v>
      </c>
      <c r="BZ185" s="13">
        <f>BY185*VLOOKUP('Données projet'!$B$12,Paramètres!$A$1:$I$89,3,0)*VLOOKUP('Données projet'!$B$12,Paramètres!$A$1:$I$89,5,0)</f>
        <v>297.20600000000002</v>
      </c>
      <c r="CA185" s="13">
        <f t="shared" si="170"/>
        <v>70.590415164571112</v>
      </c>
      <c r="CB185" s="20">
        <f t="shared" si="171"/>
        <v>640.57875641162809</v>
      </c>
      <c r="CC185" s="59">
        <f t="shared" si="119"/>
        <v>933.91208974496135</v>
      </c>
      <c r="CD185" s="59">
        <f ca="1">AVERAGE(OFFSET($CC$3,0,0,'Données projet'!$E$12+1,1))-AVERAGE(OFFSET($H$3,0,0,'Données projet'!$E$12+1,1))</f>
        <v>270.30888762640245</v>
      </c>
      <c r="CE185" s="59">
        <f t="shared" si="148"/>
        <v>202.23783851977691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0.10555116660227792</v>
      </c>
      <c r="CL185" s="21">
        <f>EXP(-LN(2)/25)*CL184+(1-EXP(-LN(2)/25))/(LN(2)/25)*Calculateur!CG185*Calculateur!CI185*VLOOKUP('Données projet'!$B$12,Paramètres!$A$1:$I$89,3,0)*0.475*44/12</f>
        <v>0.18174962045986559</v>
      </c>
      <c r="CM185" s="21">
        <f>EXP(-LN(2)/2)*CM184+(1-EXP(-LN(2)/2))/(LN(2)/2)*CG185*CJ185*VLOOKUP('Données projet'!$B$12,Paramètres!$A$1:$I$89,3,0)*0.475*44/12</f>
        <v>2.4474763677205599E-22</v>
      </c>
      <c r="CN185" s="22">
        <f t="shared" si="172"/>
        <v>0.28730078706214351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3.4106051316484809E-13</v>
      </c>
      <c r="CU185" s="17">
        <f>CT185*VLOOKUP('Données projet'!$B$13,Paramètres!$A$1:$I$89,3,0)*VLOOKUP('Données projet'!$B$13,Paramètres!$A$1:$I$89,5,0)</f>
        <v>1.5961632016114892E-13</v>
      </c>
      <c r="CV185" s="13">
        <f t="shared" si="173"/>
        <v>2.2708641912150958E-12</v>
      </c>
      <c r="CW185" s="20">
        <f t="shared" si="174"/>
        <v>4.2330868906469593E-12</v>
      </c>
      <c r="CX185" s="59">
        <f t="shared" si="122"/>
        <v>293.33333333333752</v>
      </c>
      <c r="CY185" s="59">
        <f ca="1">AVERAGE(OFFSET($CX$3,0,0,'Données projet'!$E$13+1,1))-AVERAGE(OFFSET($H$3,0,0,'Données projet'!$E$13+1,1))</f>
        <v>158.58786357608489</v>
      </c>
      <c r="CZ185" s="59">
        <f t="shared" si="150"/>
        <v>163.20074068819849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3.813056537183002E-14</v>
      </c>
      <c r="DQ185" s="13">
        <f t="shared" si="176"/>
        <v>6.4086286045526829E-13</v>
      </c>
      <c r="DR185" s="20">
        <f t="shared" si="177"/>
        <v>1.1825802166488628E-12</v>
      </c>
      <c r="DS185" s="59">
        <f t="shared" si="125"/>
        <v>293.33333333333451</v>
      </c>
      <c r="DT185" s="59">
        <f ca="1">AVERAGE(OFFSET($DS$3,0,0,'Données projet'!$E$14+1,1))-AVERAGE(OFFSET($H$3,0,0,'Données projet'!$E$14+1,1))</f>
        <v>156.63226020379989</v>
      </c>
      <c r="DU185" s="59">
        <f t="shared" si="152"/>
        <v>196.0481096619543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0.12816066371305673</v>
      </c>
      <c r="EC185" s="21">
        <f>EXP(-LN(2)/2)*EC184+(1-EXP(-LN(2)/2))/(LN(2)/2)*DW185*DZ185*VLOOKUP('Données projet'!$B$14,Paramètres!$A$1:$I$89,3,0)*0.475*44/12</f>
        <v>1.200863861773647E-22</v>
      </c>
      <c r="ED185" s="22">
        <f t="shared" si="178"/>
        <v>0.12816066371305673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-5.6843418860808015E-13</v>
      </c>
      <c r="EK185" s="17">
        <f>EJ185*VLOOKUP('Données projet'!$B$15,Paramètres!$A$1:$I$89,3,0)*VLOOKUP('Données projet'!$B$15,Paramètres!$A$1:$I$89,5,0)</f>
        <v>-6.1186256061773743E-13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211.18501783767226</v>
      </c>
      <c r="EP185" s="59">
        <f t="shared" si="154"/>
        <v>147.98306963466246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498</v>
      </c>
      <c r="FF185" s="17">
        <f>FE185*VLOOKUP('Données projet'!$B$16,Paramètres!$A$1:$I$89,3,0)*VLOOKUP('Données projet'!$B$16,Paramètres!$A$1:$I$89,5,0)</f>
        <v>297.80400000000003</v>
      </c>
      <c r="FG185" s="13">
        <f t="shared" si="182"/>
        <v>70.715900863123025</v>
      </c>
      <c r="FH185" s="20">
        <f t="shared" si="183"/>
        <v>641.83882733660596</v>
      </c>
      <c r="FI185" s="59">
        <f t="shared" si="131"/>
        <v>935.17216066993933</v>
      </c>
      <c r="FJ185" s="59">
        <f ca="1">AVERAGE(OFFSET($FI$3,0,0,'Données projet'!$E$16+1,1))-AVERAGE(OFFSET($H$3,0,0,'Données projet'!$E$16+1,1))</f>
        <v>232.26937455765062</v>
      </c>
      <c r="FK185" s="59">
        <f t="shared" si="156"/>
        <v>115.80853281120301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0.10906953882235391</v>
      </c>
      <c r="FR185" s="21">
        <f>EXP(-LN(2)/25)*FR184+(1-EXP(-LN(2)/25))/(LN(2)/25)*Calculateur!FM185*Calculateur!FO185*VLOOKUP('Données projet'!$B$16,Paramètres!$A$1:$I$89,3,0)*0.475*44/12</f>
        <v>6.5176045664333201E-2</v>
      </c>
      <c r="FS185" s="21">
        <f>EXP(-LN(2)/2)*FS184+(1-EXP(-LN(2)/2))/(LN(2)/2)*FM185*FP185*VLOOKUP('Données projet'!$B$16,Paramètres!$A$1:$I$89,3,0)*0.475*44/12</f>
        <v>1.111165472209975E-22</v>
      </c>
      <c r="FT185" s="22">
        <f t="shared" si="184"/>
        <v>0.17424558448668712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5.6843418860808015E-14</v>
      </c>
      <c r="GA185" s="17">
        <f>FZ185*VLOOKUP('Données projet'!$B$17,Paramètres!$A$1:$I$89,3,0)*VLOOKUP('Données projet'!$B$17,Paramètres!$A$1:$I$89,5,0)</f>
        <v>4.5224624045658861E-14</v>
      </c>
      <c r="GB185" s="13">
        <f t="shared" si="185"/>
        <v>7.4514601661523691E-13</v>
      </c>
      <c r="GC185" s="20">
        <f t="shared" si="186"/>
        <v>1.3765621991510601E-12</v>
      </c>
      <c r="GD185" s="59">
        <f t="shared" si="134"/>
        <v>293.33333333333468</v>
      </c>
      <c r="GE185" s="59">
        <f ca="1">AVERAGE(OFFSET($GD$3,0,0,'Données projet'!$E$17+1,1))-AVERAGE(OFFSET($H$3,0,0,'Données projet'!$E$17+1,1))</f>
        <v>199.58763537752952</v>
      </c>
      <c r="GF185" s="59">
        <f t="shared" si="158"/>
        <v>242.62852778451929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0.15200450812478794</v>
      </c>
      <c r="GN185" s="21">
        <f>EXP(-LN(2)/2)*GN184+(1-EXP(-LN(2)/2))/(LN(2)/2)*GH185*GK185*VLOOKUP('Données projet'!$B$17,Paramètres!$A$1:$I$89,3,0)*0.475*44/12</f>
        <v>1.4242803941966524E-22</v>
      </c>
      <c r="GO185" s="21">
        <f t="shared" si="187"/>
        <v>0.15200450812478794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-5.1431925385259092E-13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153.45079678708987</v>
      </c>
      <c r="T186" s="59">
        <f t="shared" si="142"/>
        <v>115.4217868409637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-5.6843418860808015E-13</v>
      </c>
      <c r="AJ186" s="13">
        <f>AI186*VLOOKUP('Données projet'!$B$10,Paramètres!$A$1:$I$89,3,0)*VLOOKUP('Données projet'!$B$10,Paramètres!$A$1:$I$89,5,0)</f>
        <v>-5.763922672485933E-13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190.21499310415584</v>
      </c>
      <c r="AO186" s="59">
        <f t="shared" si="144"/>
        <v>136.15730566500173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497</v>
      </c>
      <c r="BE186" s="13">
        <f>BD186*VLOOKUP('Données projet'!$B$11,Paramètres!$A$1:$I$89,3,0)*VLOOKUP('Données projet'!$B$11,Paramètres!$A$1:$I$89,5,0)</f>
        <v>297.20600000000002</v>
      </c>
      <c r="BF186" s="13">
        <f t="shared" si="167"/>
        <v>70.590415164571112</v>
      </c>
      <c r="BG186" s="20">
        <f t="shared" si="168"/>
        <v>640.57875641162809</v>
      </c>
      <c r="BH186" s="59">
        <f t="shared" si="116"/>
        <v>933.91208974496135</v>
      </c>
      <c r="BI186" s="59">
        <f ca="1">AVERAGE(OFFSET($BH$3,0,0,'Données projet'!$E$11+1,1))-AVERAGE(OFFSET($H$3,0,0,'Données projet'!$E$11+1,1))</f>
        <v>270.30888762640245</v>
      </c>
      <c r="BJ186" s="59">
        <f t="shared" si="146"/>
        <v>202.23783851977691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0.10348137260506191</v>
      </c>
      <c r="BQ186" s="21">
        <f>EXP(-LN(2)/25)*BQ185+(1-EXP(-LN(2)/25))/(LN(2)/25)*Calculateur!BL186*Calculateur!BN186*VLOOKUP('Données projet'!$B$11,Paramètres!$A$1:$I$89,3,0)*0.475*44/12</f>
        <v>0.17677966753059343</v>
      </c>
      <c r="BR186" s="21">
        <f>EXP(-LN(2)/2)*BR185+(1-EXP(-LN(2)/2))/(LN(2)/2)*BL186*BO186*VLOOKUP('Données projet'!$B$11,Paramètres!$A$1:$I$89,3,0)*0.475*44/12</f>
        <v>1.7306271364090281E-22</v>
      </c>
      <c r="BS186" s="22">
        <f t="shared" si="169"/>
        <v>0.28026104013565534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497</v>
      </c>
      <c r="BZ186" s="13">
        <f>BY186*VLOOKUP('Données projet'!$B$12,Paramètres!$A$1:$I$89,3,0)*VLOOKUP('Données projet'!$B$12,Paramètres!$A$1:$I$89,5,0)</f>
        <v>297.20600000000002</v>
      </c>
      <c r="CA186" s="13">
        <f t="shared" si="170"/>
        <v>70.590415164571112</v>
      </c>
      <c r="CB186" s="20">
        <f t="shared" si="171"/>
        <v>640.57875641162809</v>
      </c>
      <c r="CC186" s="59">
        <f t="shared" si="119"/>
        <v>933.91208974496135</v>
      </c>
      <c r="CD186" s="59">
        <f ca="1">AVERAGE(OFFSET($CC$3,0,0,'Données projet'!$E$12+1,1))-AVERAGE(OFFSET($H$3,0,0,'Données projet'!$E$12+1,1))</f>
        <v>270.30888762640245</v>
      </c>
      <c r="CE186" s="59">
        <f t="shared" si="148"/>
        <v>202.23783851977691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0.10348137260506191</v>
      </c>
      <c r="CL186" s="21">
        <f>EXP(-LN(2)/25)*CL185+(1-EXP(-LN(2)/25))/(LN(2)/25)*Calculateur!CG186*Calculateur!CI186*VLOOKUP('Données projet'!$B$12,Paramètres!$A$1:$I$89,3,0)*0.475*44/12</f>
        <v>0.17677966753059343</v>
      </c>
      <c r="CM186" s="21">
        <f>EXP(-LN(2)/2)*CM185+(1-EXP(-LN(2)/2))/(LN(2)/2)*CG186*CJ186*VLOOKUP('Données projet'!$B$12,Paramètres!$A$1:$I$89,3,0)*0.475*44/12</f>
        <v>1.7306271364090281E-22</v>
      </c>
      <c r="CN186" s="22">
        <f t="shared" si="172"/>
        <v>0.28026104013565534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3.4106051316484809E-13</v>
      </c>
      <c r="CU186" s="17">
        <f>CT186*VLOOKUP('Données projet'!$B$13,Paramètres!$A$1:$I$89,3,0)*VLOOKUP('Données projet'!$B$13,Paramètres!$A$1:$I$89,5,0)</f>
        <v>1.5961632016114892E-13</v>
      </c>
      <c r="CV186" s="13">
        <f t="shared" si="173"/>
        <v>2.2708641912150958E-12</v>
      </c>
      <c r="CW186" s="20">
        <f t="shared" si="174"/>
        <v>4.2330868906469593E-12</v>
      </c>
      <c r="CX186" s="59">
        <f t="shared" si="122"/>
        <v>293.33333333333752</v>
      </c>
      <c r="CY186" s="59">
        <f ca="1">AVERAGE(OFFSET($CX$3,0,0,'Données projet'!$E$13+1,1))-AVERAGE(OFFSET($H$3,0,0,'Données projet'!$E$13+1,1))</f>
        <v>158.58786357608489</v>
      </c>
      <c r="CZ186" s="59">
        <f t="shared" si="150"/>
        <v>163.20074068819849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3.813056537183002E-14</v>
      </c>
      <c r="DQ186" s="13">
        <f t="shared" si="176"/>
        <v>6.4086286045526829E-13</v>
      </c>
      <c r="DR186" s="20">
        <f t="shared" si="177"/>
        <v>1.1825802166488628E-12</v>
      </c>
      <c r="DS186" s="59">
        <f t="shared" si="125"/>
        <v>293.33333333333451</v>
      </c>
      <c r="DT186" s="59">
        <f ca="1">AVERAGE(OFFSET($DS$3,0,0,'Données projet'!$E$14+1,1))-AVERAGE(OFFSET($H$3,0,0,'Données projet'!$E$14+1,1))</f>
        <v>156.63226020379989</v>
      </c>
      <c r="DU186" s="59">
        <f t="shared" si="152"/>
        <v>196.0481096619543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0.12465610362414681</v>
      </c>
      <c r="EC186" s="21">
        <f>EXP(-LN(2)/2)*EC185+(1-EXP(-LN(2)/2))/(LN(2)/2)*DW186*DZ186*VLOOKUP('Données projet'!$B$14,Paramètres!$A$1:$I$89,3,0)*0.475*44/12</f>
        <v>8.4913897994201067E-23</v>
      </c>
      <c r="ED186" s="22">
        <f t="shared" si="178"/>
        <v>0.12465610362414681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-5.6843418860808015E-13</v>
      </c>
      <c r="EK186" s="17">
        <f>EJ186*VLOOKUP('Données projet'!$B$15,Paramètres!$A$1:$I$89,3,0)*VLOOKUP('Données projet'!$B$15,Paramètres!$A$1:$I$89,5,0)</f>
        <v>-6.1186256061773743E-13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211.18501783767226</v>
      </c>
      <c r="EP186" s="59">
        <f t="shared" si="154"/>
        <v>147.98306963466246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498</v>
      </c>
      <c r="FF186" s="17">
        <f>FE186*VLOOKUP('Données projet'!$B$16,Paramètres!$A$1:$I$89,3,0)*VLOOKUP('Données projet'!$B$16,Paramètres!$A$1:$I$89,5,0)</f>
        <v>297.80400000000003</v>
      </c>
      <c r="FG186" s="13">
        <f t="shared" si="182"/>
        <v>70.715900863123025</v>
      </c>
      <c r="FH186" s="20">
        <f t="shared" si="183"/>
        <v>641.83882733660596</v>
      </c>
      <c r="FI186" s="59">
        <f t="shared" si="131"/>
        <v>935.17216066993933</v>
      </c>
      <c r="FJ186" s="59">
        <f ca="1">AVERAGE(OFFSET($FI$3,0,0,'Données projet'!$E$16+1,1))-AVERAGE(OFFSET($H$3,0,0,'Données projet'!$E$16+1,1))</f>
        <v>232.26937455765062</v>
      </c>
      <c r="FK186" s="59">
        <f t="shared" si="156"/>
        <v>115.80853281120301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0.10693075169189735</v>
      </c>
      <c r="FR186" s="21">
        <f>EXP(-LN(2)/25)*FR185+(1-EXP(-LN(2)/25))/(LN(2)/25)*Calculateur!FM186*Calculateur!FO186*VLOOKUP('Données projet'!$B$16,Paramètres!$A$1:$I$89,3,0)*0.475*44/12</f>
        <v>6.3393803268182725E-2</v>
      </c>
      <c r="FS186" s="21">
        <f>EXP(-LN(2)/2)*FS185+(1-EXP(-LN(2)/2))/(LN(2)/2)*FM186*FP186*VLOOKUP('Données projet'!$B$16,Paramètres!$A$1:$I$89,3,0)*0.475*44/12</f>
        <v>7.8571264042002555E-23</v>
      </c>
      <c r="FT186" s="22">
        <f t="shared" si="184"/>
        <v>0.17032455496008009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5.6843418860808015E-14</v>
      </c>
      <c r="GA186" s="17">
        <f>FZ186*VLOOKUP('Données projet'!$B$17,Paramètres!$A$1:$I$89,3,0)*VLOOKUP('Données projet'!$B$17,Paramètres!$A$1:$I$89,5,0)</f>
        <v>4.5224624045658861E-14</v>
      </c>
      <c r="GB186" s="13">
        <f t="shared" si="185"/>
        <v>7.4514601661523691E-13</v>
      </c>
      <c r="GC186" s="20">
        <f t="shared" si="186"/>
        <v>1.3765621991510601E-12</v>
      </c>
      <c r="GD186" s="59">
        <f t="shared" si="134"/>
        <v>293.33333333333468</v>
      </c>
      <c r="GE186" s="59">
        <f ca="1">AVERAGE(OFFSET($GD$3,0,0,'Données projet'!$E$17+1,1))-AVERAGE(OFFSET($H$3,0,0,'Données projet'!$E$17+1,1))</f>
        <v>199.58763537752952</v>
      </c>
      <c r="GF186" s="59">
        <f t="shared" si="158"/>
        <v>242.62852778451929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0.14784793685654593</v>
      </c>
      <c r="GN186" s="21">
        <f>EXP(-LN(2)/2)*GN185+(1-EXP(-LN(2)/2))/(LN(2)/2)*GH186*GK186*VLOOKUP('Données projet'!$B$17,Paramètres!$A$1:$I$89,3,0)*0.475*44/12</f>
        <v>1.007118325047502E-22</v>
      </c>
      <c r="GO186" s="21">
        <f t="shared" si="187"/>
        <v>0.14784793685654593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-5.1431925385259092E-13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153.45079678708987</v>
      </c>
      <c r="T187" s="59">
        <f t="shared" si="142"/>
        <v>115.4217868409637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-5.6843418860808015E-13</v>
      </c>
      <c r="AJ187" s="13">
        <f>AI187*VLOOKUP('Données projet'!$B$10,Paramètres!$A$1:$I$89,3,0)*VLOOKUP('Données projet'!$B$10,Paramètres!$A$1:$I$89,5,0)</f>
        <v>-5.763922672485933E-13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190.21499310415584</v>
      </c>
      <c r="AO187" s="59">
        <f t="shared" si="144"/>
        <v>136.15730566500173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497</v>
      </c>
      <c r="BE187" s="13">
        <f>BD187*VLOOKUP('Données projet'!$B$11,Paramètres!$A$1:$I$89,3,0)*VLOOKUP('Données projet'!$B$11,Paramètres!$A$1:$I$89,5,0)</f>
        <v>297.20600000000002</v>
      </c>
      <c r="BF187" s="13">
        <f t="shared" si="167"/>
        <v>70.590415164571112</v>
      </c>
      <c r="BG187" s="20">
        <f t="shared" si="168"/>
        <v>640.57875641162809</v>
      </c>
      <c r="BH187" s="59">
        <f t="shared" si="116"/>
        <v>933.91208974496135</v>
      </c>
      <c r="BI187" s="59">
        <f ca="1">AVERAGE(OFFSET($BH$3,0,0,'Données projet'!$E$11+1,1))-AVERAGE(OFFSET($H$3,0,0,'Données projet'!$E$11+1,1))</f>
        <v>270.30888762640245</v>
      </c>
      <c r="BJ187" s="59">
        <f t="shared" si="146"/>
        <v>202.23783851977691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0.1014521660056816</v>
      </c>
      <c r="BQ187" s="21">
        <f>EXP(-LN(2)/25)*BQ186+(1-EXP(-LN(2)/25))/(LN(2)/25)*Calculateur!BL187*Calculateur!BN187*VLOOKUP('Données projet'!$B$11,Paramètres!$A$1:$I$89,3,0)*0.475*44/12</f>
        <v>0.17194561822553067</v>
      </c>
      <c r="BR187" s="21">
        <f>EXP(-LN(2)/2)*BR186+(1-EXP(-LN(2)/2))/(LN(2)/2)*BL187*BO187*VLOOKUP('Données projet'!$B$11,Paramètres!$A$1:$I$89,3,0)*0.475*44/12</f>
        <v>1.22373818386028E-22</v>
      </c>
      <c r="BS187" s="22">
        <f t="shared" si="169"/>
        <v>0.2733977842312123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497</v>
      </c>
      <c r="BZ187" s="13">
        <f>BY187*VLOOKUP('Données projet'!$B$12,Paramètres!$A$1:$I$89,3,0)*VLOOKUP('Données projet'!$B$12,Paramètres!$A$1:$I$89,5,0)</f>
        <v>297.20600000000002</v>
      </c>
      <c r="CA187" s="13">
        <f t="shared" si="170"/>
        <v>70.590415164571112</v>
      </c>
      <c r="CB187" s="20">
        <f t="shared" si="171"/>
        <v>640.57875641162809</v>
      </c>
      <c r="CC187" s="59">
        <f t="shared" si="119"/>
        <v>933.91208974496135</v>
      </c>
      <c r="CD187" s="59">
        <f ca="1">AVERAGE(OFFSET($CC$3,0,0,'Données projet'!$E$12+1,1))-AVERAGE(OFFSET($H$3,0,0,'Données projet'!$E$12+1,1))</f>
        <v>270.30888762640245</v>
      </c>
      <c r="CE187" s="59">
        <f t="shared" si="148"/>
        <v>202.23783851977691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0.1014521660056816</v>
      </c>
      <c r="CL187" s="21">
        <f>EXP(-LN(2)/25)*CL186+(1-EXP(-LN(2)/25))/(LN(2)/25)*Calculateur!CG187*Calculateur!CI187*VLOOKUP('Données projet'!$B$12,Paramètres!$A$1:$I$89,3,0)*0.475*44/12</f>
        <v>0.17194561822553067</v>
      </c>
      <c r="CM187" s="21">
        <f>EXP(-LN(2)/2)*CM186+(1-EXP(-LN(2)/2))/(LN(2)/2)*CG187*CJ187*VLOOKUP('Données projet'!$B$12,Paramètres!$A$1:$I$89,3,0)*0.475*44/12</f>
        <v>1.22373818386028E-22</v>
      </c>
      <c r="CN187" s="22">
        <f t="shared" si="172"/>
        <v>0.2733977842312123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3.4106051316484809E-13</v>
      </c>
      <c r="CU187" s="17">
        <f>CT187*VLOOKUP('Données projet'!$B$13,Paramètres!$A$1:$I$89,3,0)*VLOOKUP('Données projet'!$B$13,Paramètres!$A$1:$I$89,5,0)</f>
        <v>1.5961632016114892E-13</v>
      </c>
      <c r="CV187" s="13">
        <f t="shared" si="173"/>
        <v>2.2708641912150958E-12</v>
      </c>
      <c r="CW187" s="20">
        <f t="shared" si="174"/>
        <v>4.2330868906469593E-12</v>
      </c>
      <c r="CX187" s="59">
        <f t="shared" si="122"/>
        <v>293.33333333333752</v>
      </c>
      <c r="CY187" s="59">
        <f ca="1">AVERAGE(OFFSET($CX$3,0,0,'Données projet'!$E$13+1,1))-AVERAGE(OFFSET($H$3,0,0,'Données projet'!$E$13+1,1))</f>
        <v>158.58786357608489</v>
      </c>
      <c r="CZ187" s="59">
        <f t="shared" si="150"/>
        <v>163.20074068819849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3.813056537183002E-14</v>
      </c>
      <c r="DQ187" s="13">
        <f t="shared" si="176"/>
        <v>6.4086286045526829E-13</v>
      </c>
      <c r="DR187" s="20">
        <f t="shared" si="177"/>
        <v>1.1825802166488628E-12</v>
      </c>
      <c r="DS187" s="59">
        <f t="shared" si="125"/>
        <v>293.33333333333451</v>
      </c>
      <c r="DT187" s="59">
        <f ca="1">AVERAGE(OFFSET($DS$3,0,0,'Données projet'!$E$14+1,1))-AVERAGE(OFFSET($H$3,0,0,'Données projet'!$E$14+1,1))</f>
        <v>156.63226020379989</v>
      </c>
      <c r="DU187" s="59">
        <f t="shared" si="152"/>
        <v>196.0481096619543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0.12124737591516493</v>
      </c>
      <c r="EC187" s="21">
        <f>EXP(-LN(2)/2)*EC186+(1-EXP(-LN(2)/2))/(LN(2)/2)*DW187*DZ187*VLOOKUP('Données projet'!$B$14,Paramètres!$A$1:$I$89,3,0)*0.475*44/12</f>
        <v>6.004319308868235E-23</v>
      </c>
      <c r="ED187" s="22">
        <f t="shared" si="178"/>
        <v>0.12124737591516493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-5.6843418860808015E-13</v>
      </c>
      <c r="EK187" s="17">
        <f>EJ187*VLOOKUP('Données projet'!$B$15,Paramètres!$A$1:$I$89,3,0)*VLOOKUP('Données projet'!$B$15,Paramètres!$A$1:$I$89,5,0)</f>
        <v>-6.1186256061773743E-13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211.18501783767226</v>
      </c>
      <c r="EP187" s="59">
        <f t="shared" si="154"/>
        <v>147.98306963466246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498</v>
      </c>
      <c r="FF187" s="17">
        <f>FE187*VLOOKUP('Données projet'!$B$16,Paramètres!$A$1:$I$89,3,0)*VLOOKUP('Données projet'!$B$16,Paramètres!$A$1:$I$89,5,0)</f>
        <v>297.80400000000003</v>
      </c>
      <c r="FG187" s="13">
        <f t="shared" si="182"/>
        <v>70.715900863123025</v>
      </c>
      <c r="FH187" s="20">
        <f t="shared" si="183"/>
        <v>641.83882733660596</v>
      </c>
      <c r="FI187" s="59">
        <f t="shared" si="131"/>
        <v>935.17216066993933</v>
      </c>
      <c r="FJ187" s="59">
        <f ca="1">AVERAGE(OFFSET($FI$3,0,0,'Données projet'!$E$16+1,1))-AVERAGE(OFFSET($H$3,0,0,'Données projet'!$E$16+1,1))</f>
        <v>232.26937455765062</v>
      </c>
      <c r="FK187" s="59">
        <f t="shared" si="156"/>
        <v>115.80853281120301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0.1048339048725377</v>
      </c>
      <c r="FR187" s="21">
        <f>EXP(-LN(2)/25)*FR186+(1-EXP(-LN(2)/25))/(LN(2)/25)*Calculateur!FM187*Calculateur!FO187*VLOOKUP('Données projet'!$B$16,Paramètres!$A$1:$I$89,3,0)*0.475*44/12</f>
        <v>6.1660296384079043E-2</v>
      </c>
      <c r="FS187" s="21">
        <f>EXP(-LN(2)/2)*FS186+(1-EXP(-LN(2)/2))/(LN(2)/2)*FM187*FP187*VLOOKUP('Données projet'!$B$16,Paramètres!$A$1:$I$89,3,0)*0.475*44/12</f>
        <v>5.5558273610498749E-23</v>
      </c>
      <c r="FT187" s="22">
        <f t="shared" si="184"/>
        <v>0.16649420125661674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5.6843418860808015E-14</v>
      </c>
      <c r="GA187" s="17">
        <f>FZ187*VLOOKUP('Données projet'!$B$17,Paramètres!$A$1:$I$89,3,0)*VLOOKUP('Données projet'!$B$17,Paramètres!$A$1:$I$89,5,0)</f>
        <v>4.5224624045658861E-14</v>
      </c>
      <c r="GB187" s="13">
        <f t="shared" si="185"/>
        <v>7.4514601661523691E-13</v>
      </c>
      <c r="GC187" s="20">
        <f t="shared" si="186"/>
        <v>1.3765621991510601E-12</v>
      </c>
      <c r="GD187" s="59">
        <f t="shared" si="134"/>
        <v>293.33333333333468</v>
      </c>
      <c r="GE187" s="59">
        <f ca="1">AVERAGE(OFFSET($GD$3,0,0,'Données projet'!$E$17+1,1))-AVERAGE(OFFSET($H$3,0,0,'Données projet'!$E$17+1,1))</f>
        <v>199.58763537752952</v>
      </c>
      <c r="GF187" s="59">
        <f t="shared" si="158"/>
        <v>242.62852778451929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0.14380502724821859</v>
      </c>
      <c r="GN187" s="21">
        <f>EXP(-LN(2)/2)*GN186+(1-EXP(-LN(2)/2))/(LN(2)/2)*GH187*GK187*VLOOKUP('Données projet'!$B$17,Paramètres!$A$1:$I$89,3,0)*0.475*44/12</f>
        <v>7.1214019709832622E-23</v>
      </c>
      <c r="GO187" s="21">
        <f t="shared" si="187"/>
        <v>0.14380502724821859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-5.1431925385259092E-13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153.45079678708987</v>
      </c>
      <c r="T188" s="59">
        <f t="shared" si="142"/>
        <v>115.4217868409637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-5.6843418860808015E-13</v>
      </c>
      <c r="AJ188" s="13">
        <f>AI188*VLOOKUP('Données projet'!$B$10,Paramètres!$A$1:$I$89,3,0)*VLOOKUP('Données projet'!$B$10,Paramètres!$A$1:$I$89,5,0)</f>
        <v>-5.763922672485933E-13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190.21499310415584</v>
      </c>
      <c r="AO188" s="59">
        <f t="shared" si="144"/>
        <v>136.15730566500173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497</v>
      </c>
      <c r="BE188" s="13">
        <f>BD188*VLOOKUP('Données projet'!$B$11,Paramètres!$A$1:$I$89,3,0)*VLOOKUP('Données projet'!$B$11,Paramètres!$A$1:$I$89,5,0)</f>
        <v>297.20600000000002</v>
      </c>
      <c r="BF188" s="13">
        <f t="shared" si="167"/>
        <v>70.590415164571112</v>
      </c>
      <c r="BG188" s="20">
        <f t="shared" si="168"/>
        <v>640.57875641162809</v>
      </c>
      <c r="BH188" s="59">
        <f t="shared" si="116"/>
        <v>933.91208974496135</v>
      </c>
      <c r="BI188" s="59">
        <f ca="1">AVERAGE(OFFSET($BH$3,0,0,'Données projet'!$E$11+1,1))-AVERAGE(OFFSET($H$3,0,0,'Données projet'!$E$11+1,1))</f>
        <v>270.30888762640245</v>
      </c>
      <c r="BJ188" s="59">
        <f t="shared" si="146"/>
        <v>202.23783851977691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9.9462750910021339E-2</v>
      </c>
      <c r="BQ188" s="21">
        <f>EXP(-LN(2)/25)*BQ187+(1-EXP(-LN(2)/25))/(LN(2)/25)*Calculateur!BL188*Calculateur!BN188*VLOOKUP('Données projet'!$B$11,Paramètres!$A$1:$I$89,3,0)*0.475*44/12</f>
        <v>0.16724375625292645</v>
      </c>
      <c r="BR188" s="21">
        <f>EXP(-LN(2)/2)*BR187+(1-EXP(-LN(2)/2))/(LN(2)/2)*BL188*BO188*VLOOKUP('Données projet'!$B$11,Paramètres!$A$1:$I$89,3,0)*0.475*44/12</f>
        <v>8.6531356820451405E-23</v>
      </c>
      <c r="BS188" s="22">
        <f t="shared" si="169"/>
        <v>0.2667065071629478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497</v>
      </c>
      <c r="BZ188" s="13">
        <f>BY188*VLOOKUP('Données projet'!$B$12,Paramètres!$A$1:$I$89,3,0)*VLOOKUP('Données projet'!$B$12,Paramètres!$A$1:$I$89,5,0)</f>
        <v>297.20600000000002</v>
      </c>
      <c r="CA188" s="13">
        <f t="shared" si="170"/>
        <v>70.590415164571112</v>
      </c>
      <c r="CB188" s="20">
        <f t="shared" si="171"/>
        <v>640.57875641162809</v>
      </c>
      <c r="CC188" s="59">
        <f t="shared" si="119"/>
        <v>933.91208974496135</v>
      </c>
      <c r="CD188" s="59">
        <f ca="1">AVERAGE(OFFSET($CC$3,0,0,'Données projet'!$E$12+1,1))-AVERAGE(OFFSET($H$3,0,0,'Données projet'!$E$12+1,1))</f>
        <v>270.30888762640245</v>
      </c>
      <c r="CE188" s="59">
        <f t="shared" si="148"/>
        <v>202.23783851977691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9.9462750910021339E-2</v>
      </c>
      <c r="CL188" s="21">
        <f>EXP(-LN(2)/25)*CL187+(1-EXP(-LN(2)/25))/(LN(2)/25)*Calculateur!CG188*Calculateur!CI188*VLOOKUP('Données projet'!$B$12,Paramètres!$A$1:$I$89,3,0)*0.475*44/12</f>
        <v>0.16724375625292645</v>
      </c>
      <c r="CM188" s="21">
        <f>EXP(-LN(2)/2)*CM187+(1-EXP(-LN(2)/2))/(LN(2)/2)*CG188*CJ188*VLOOKUP('Données projet'!$B$12,Paramètres!$A$1:$I$89,3,0)*0.475*44/12</f>
        <v>8.6531356820451405E-23</v>
      </c>
      <c r="CN188" s="22">
        <f t="shared" si="172"/>
        <v>0.2667065071629478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3.4106051316484809E-13</v>
      </c>
      <c r="CU188" s="17">
        <f>CT188*VLOOKUP('Données projet'!$B$13,Paramètres!$A$1:$I$89,3,0)*VLOOKUP('Données projet'!$B$13,Paramètres!$A$1:$I$89,5,0)</f>
        <v>1.5961632016114892E-13</v>
      </c>
      <c r="CV188" s="13">
        <f t="shared" si="173"/>
        <v>2.2708641912150958E-12</v>
      </c>
      <c r="CW188" s="20">
        <f t="shared" si="174"/>
        <v>4.2330868906469593E-12</v>
      </c>
      <c r="CX188" s="59">
        <f t="shared" si="122"/>
        <v>293.33333333333752</v>
      </c>
      <c r="CY188" s="59">
        <f ca="1">AVERAGE(OFFSET($CX$3,0,0,'Données projet'!$E$13+1,1))-AVERAGE(OFFSET($H$3,0,0,'Données projet'!$E$13+1,1))</f>
        <v>158.58786357608489</v>
      </c>
      <c r="CZ188" s="59">
        <f t="shared" si="150"/>
        <v>163.20074068819849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3.813056537183002E-14</v>
      </c>
      <c r="DQ188" s="13">
        <f t="shared" si="176"/>
        <v>6.4086286045526829E-13</v>
      </c>
      <c r="DR188" s="20">
        <f t="shared" si="177"/>
        <v>1.1825802166488628E-12</v>
      </c>
      <c r="DS188" s="59">
        <f t="shared" si="125"/>
        <v>293.33333333333451</v>
      </c>
      <c r="DT188" s="59">
        <f ca="1">AVERAGE(OFFSET($DS$3,0,0,'Données projet'!$E$14+1,1))-AVERAGE(OFFSET($H$3,0,0,'Données projet'!$E$14+1,1))</f>
        <v>156.63226020379989</v>
      </c>
      <c r="DU188" s="59">
        <f t="shared" si="152"/>
        <v>196.0481096619543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0.11793186004464236</v>
      </c>
      <c r="EC188" s="21">
        <f>EXP(-LN(2)/2)*EC187+(1-EXP(-LN(2)/2))/(LN(2)/2)*DW188*DZ188*VLOOKUP('Données projet'!$B$14,Paramètres!$A$1:$I$89,3,0)*0.475*44/12</f>
        <v>4.2456948997100533E-23</v>
      </c>
      <c r="ED188" s="22">
        <f t="shared" si="178"/>
        <v>0.11793186004464236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-5.6843418860808015E-13</v>
      </c>
      <c r="EK188" s="17">
        <f>EJ188*VLOOKUP('Données projet'!$B$15,Paramètres!$A$1:$I$89,3,0)*VLOOKUP('Données projet'!$B$15,Paramètres!$A$1:$I$89,5,0)</f>
        <v>-6.1186256061773743E-13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211.18501783767226</v>
      </c>
      <c r="EP188" s="59">
        <f t="shared" si="154"/>
        <v>147.98306963466246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498</v>
      </c>
      <c r="FF188" s="17">
        <f>FE188*VLOOKUP('Données projet'!$B$16,Paramètres!$A$1:$I$89,3,0)*VLOOKUP('Données projet'!$B$16,Paramètres!$A$1:$I$89,5,0)</f>
        <v>297.80400000000003</v>
      </c>
      <c r="FG188" s="13">
        <f t="shared" si="182"/>
        <v>70.715900863123025</v>
      </c>
      <c r="FH188" s="20">
        <f t="shared" si="183"/>
        <v>641.83882733660596</v>
      </c>
      <c r="FI188" s="59">
        <f t="shared" si="131"/>
        <v>935.17216066993933</v>
      </c>
      <c r="FJ188" s="59">
        <f ca="1">AVERAGE(OFFSET($FI$3,0,0,'Données projet'!$E$16+1,1))-AVERAGE(OFFSET($H$3,0,0,'Données projet'!$E$16+1,1))</f>
        <v>232.26937455765062</v>
      </c>
      <c r="FK188" s="59">
        <f t="shared" si="156"/>
        <v>115.80853281120301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0.10277817594035542</v>
      </c>
      <c r="FR188" s="21">
        <f>EXP(-LN(2)/25)*FR187+(1-EXP(-LN(2)/25))/(LN(2)/25)*Calculateur!FM188*Calculateur!FO188*VLOOKUP('Données projet'!$B$16,Paramètres!$A$1:$I$89,3,0)*0.475*44/12</f>
        <v>5.9974192336882344E-2</v>
      </c>
      <c r="FS188" s="21">
        <f>EXP(-LN(2)/2)*FS187+(1-EXP(-LN(2)/2))/(LN(2)/2)*FM188*FP188*VLOOKUP('Données projet'!$B$16,Paramètres!$A$1:$I$89,3,0)*0.475*44/12</f>
        <v>3.9285632021001278E-23</v>
      </c>
      <c r="FT188" s="22">
        <f t="shared" si="184"/>
        <v>0.16275236827723777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5.6843418860808015E-14</v>
      </c>
      <c r="GA188" s="17">
        <f>FZ188*VLOOKUP('Données projet'!$B$17,Paramètres!$A$1:$I$89,3,0)*VLOOKUP('Données projet'!$B$17,Paramètres!$A$1:$I$89,5,0)</f>
        <v>4.5224624045658861E-14</v>
      </c>
      <c r="GB188" s="13">
        <f t="shared" si="185"/>
        <v>7.4514601661523691E-13</v>
      </c>
      <c r="GC188" s="20">
        <f t="shared" si="186"/>
        <v>1.3765621991510601E-12</v>
      </c>
      <c r="GD188" s="59">
        <f t="shared" si="134"/>
        <v>293.33333333333468</v>
      </c>
      <c r="GE188" s="59">
        <f ca="1">AVERAGE(OFFSET($GD$3,0,0,'Données projet'!$E$17+1,1))-AVERAGE(OFFSET($H$3,0,0,'Données projet'!$E$17+1,1))</f>
        <v>199.58763537752952</v>
      </c>
      <c r="GF188" s="59">
        <f t="shared" si="158"/>
        <v>242.62852778451929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0.13987267121573835</v>
      </c>
      <c r="GN188" s="21">
        <f>EXP(-LN(2)/2)*GN187+(1-EXP(-LN(2)/2))/(LN(2)/2)*GH188*GK188*VLOOKUP('Données projet'!$B$17,Paramètres!$A$1:$I$89,3,0)*0.475*44/12</f>
        <v>5.0355916252375099E-23</v>
      </c>
      <c r="GO188" s="21">
        <f t="shared" si="187"/>
        <v>0.13987267121573835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-5.1431925385259092E-13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153.45079678708987</v>
      </c>
      <c r="T189" s="59">
        <f t="shared" si="142"/>
        <v>115.4217868409637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-5.6843418860808015E-13</v>
      </c>
      <c r="AJ189" s="13">
        <f>AI189*VLOOKUP('Données projet'!$B$10,Paramètres!$A$1:$I$89,3,0)*VLOOKUP('Données projet'!$B$10,Paramètres!$A$1:$I$89,5,0)</f>
        <v>-5.763922672485933E-13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190.21499310415584</v>
      </c>
      <c r="AO189" s="59">
        <f t="shared" si="144"/>
        <v>136.15730566500173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497</v>
      </c>
      <c r="BE189" s="13">
        <f>BD189*VLOOKUP('Données projet'!$B$11,Paramètres!$A$1:$I$89,3,0)*VLOOKUP('Données projet'!$B$11,Paramètres!$A$1:$I$89,5,0)</f>
        <v>297.20600000000002</v>
      </c>
      <c r="BF189" s="13">
        <f t="shared" si="167"/>
        <v>70.590415164571112</v>
      </c>
      <c r="BG189" s="20">
        <f t="shared" si="168"/>
        <v>640.57875641162809</v>
      </c>
      <c r="BH189" s="59">
        <f t="shared" si="116"/>
        <v>933.91208974496135</v>
      </c>
      <c r="BI189" s="59">
        <f ca="1">AVERAGE(OFFSET($BH$3,0,0,'Données projet'!$E$11+1,1))-AVERAGE(OFFSET($H$3,0,0,'Données projet'!$E$11+1,1))</f>
        <v>270.30888762640245</v>
      </c>
      <c r="BJ189" s="59">
        <f t="shared" si="146"/>
        <v>202.23783851977691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9.7512347030963578E-2</v>
      </c>
      <c r="BQ189" s="21">
        <f>EXP(-LN(2)/25)*BQ188+(1-EXP(-LN(2)/25))/(LN(2)/25)*Calculateur!BL189*Calculateur!BN189*VLOOKUP('Données projet'!$B$11,Paramètres!$A$1:$I$89,3,0)*0.475*44/12</f>
        <v>0.16267046694322326</v>
      </c>
      <c r="BR189" s="21">
        <f>EXP(-LN(2)/2)*BR188+(1-EXP(-LN(2)/2))/(LN(2)/2)*BL189*BO189*VLOOKUP('Données projet'!$B$11,Paramètres!$A$1:$I$89,3,0)*0.475*44/12</f>
        <v>6.1186909193013998E-23</v>
      </c>
      <c r="BS189" s="22">
        <f t="shared" si="169"/>
        <v>0.26018281397418686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497</v>
      </c>
      <c r="BZ189" s="13">
        <f>BY189*VLOOKUP('Données projet'!$B$12,Paramètres!$A$1:$I$89,3,0)*VLOOKUP('Données projet'!$B$12,Paramètres!$A$1:$I$89,5,0)</f>
        <v>297.20600000000002</v>
      </c>
      <c r="CA189" s="13">
        <f t="shared" si="170"/>
        <v>70.590415164571112</v>
      </c>
      <c r="CB189" s="20">
        <f t="shared" si="171"/>
        <v>640.57875641162809</v>
      </c>
      <c r="CC189" s="59">
        <f t="shared" si="119"/>
        <v>933.91208974496135</v>
      </c>
      <c r="CD189" s="59">
        <f ca="1">AVERAGE(OFFSET($CC$3,0,0,'Données projet'!$E$12+1,1))-AVERAGE(OFFSET($H$3,0,0,'Données projet'!$E$12+1,1))</f>
        <v>270.30888762640245</v>
      </c>
      <c r="CE189" s="59">
        <f t="shared" si="148"/>
        <v>202.23783851977691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9.7512347030963578E-2</v>
      </c>
      <c r="CL189" s="21">
        <f>EXP(-LN(2)/25)*CL188+(1-EXP(-LN(2)/25))/(LN(2)/25)*Calculateur!CG189*Calculateur!CI189*VLOOKUP('Données projet'!$B$12,Paramètres!$A$1:$I$89,3,0)*0.475*44/12</f>
        <v>0.16267046694322326</v>
      </c>
      <c r="CM189" s="21">
        <f>EXP(-LN(2)/2)*CM188+(1-EXP(-LN(2)/2))/(LN(2)/2)*CG189*CJ189*VLOOKUP('Données projet'!$B$12,Paramètres!$A$1:$I$89,3,0)*0.475*44/12</f>
        <v>6.1186909193013998E-23</v>
      </c>
      <c r="CN189" s="22">
        <f t="shared" si="172"/>
        <v>0.26018281397418686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3.4106051316484809E-13</v>
      </c>
      <c r="CU189" s="17">
        <f>CT189*VLOOKUP('Données projet'!$B$13,Paramètres!$A$1:$I$89,3,0)*VLOOKUP('Données projet'!$B$13,Paramètres!$A$1:$I$89,5,0)</f>
        <v>1.5961632016114892E-13</v>
      </c>
      <c r="CV189" s="13">
        <f t="shared" si="173"/>
        <v>2.2708641912150958E-12</v>
      </c>
      <c r="CW189" s="20">
        <f t="shared" si="174"/>
        <v>4.2330868906469593E-12</v>
      </c>
      <c r="CX189" s="59">
        <f t="shared" si="122"/>
        <v>293.33333333333752</v>
      </c>
      <c r="CY189" s="59">
        <f ca="1">AVERAGE(OFFSET($CX$3,0,0,'Données projet'!$E$13+1,1))-AVERAGE(OFFSET($H$3,0,0,'Données projet'!$E$13+1,1))</f>
        <v>158.58786357608489</v>
      </c>
      <c r="CZ189" s="59">
        <f t="shared" si="150"/>
        <v>163.20074068819849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3.813056537183002E-14</v>
      </c>
      <c r="DQ189" s="13">
        <f t="shared" si="176"/>
        <v>6.4086286045526829E-13</v>
      </c>
      <c r="DR189" s="20">
        <f t="shared" si="177"/>
        <v>1.1825802166488628E-12</v>
      </c>
      <c r="DS189" s="59">
        <f t="shared" si="125"/>
        <v>293.33333333333451</v>
      </c>
      <c r="DT189" s="59">
        <f ca="1">AVERAGE(OFFSET($DS$3,0,0,'Données projet'!$E$14+1,1))-AVERAGE(OFFSET($H$3,0,0,'Données projet'!$E$14+1,1))</f>
        <v>156.63226020379989</v>
      </c>
      <c r="DU189" s="59">
        <f t="shared" si="152"/>
        <v>196.0481096619543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0.11470700712995463</v>
      </c>
      <c r="EC189" s="21">
        <f>EXP(-LN(2)/2)*EC188+(1-EXP(-LN(2)/2))/(LN(2)/2)*DW189*DZ189*VLOOKUP('Données projet'!$B$14,Paramètres!$A$1:$I$89,3,0)*0.475*44/12</f>
        <v>3.0021596544341175E-23</v>
      </c>
      <c r="ED189" s="22">
        <f t="shared" si="178"/>
        <v>0.11470700712995463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-5.6843418860808015E-13</v>
      </c>
      <c r="EK189" s="17">
        <f>EJ189*VLOOKUP('Données projet'!$B$15,Paramètres!$A$1:$I$89,3,0)*VLOOKUP('Données projet'!$B$15,Paramètres!$A$1:$I$89,5,0)</f>
        <v>-6.1186256061773743E-13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211.18501783767226</v>
      </c>
      <c r="EP189" s="59">
        <f t="shared" si="154"/>
        <v>147.98306963466246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498</v>
      </c>
      <c r="FF189" s="17">
        <f>FE189*VLOOKUP('Données projet'!$B$16,Paramètres!$A$1:$I$89,3,0)*VLOOKUP('Données projet'!$B$16,Paramètres!$A$1:$I$89,5,0)</f>
        <v>297.80400000000003</v>
      </c>
      <c r="FG189" s="13">
        <f t="shared" si="182"/>
        <v>70.715900863123025</v>
      </c>
      <c r="FH189" s="20">
        <f t="shared" si="183"/>
        <v>641.83882733660596</v>
      </c>
      <c r="FI189" s="59">
        <f t="shared" si="131"/>
        <v>935.17216066993933</v>
      </c>
      <c r="FJ189" s="59">
        <f ca="1">AVERAGE(OFFSET($FI$3,0,0,'Données projet'!$E$16+1,1))-AVERAGE(OFFSET($H$3,0,0,'Données projet'!$E$16+1,1))</f>
        <v>232.26937455765062</v>
      </c>
      <c r="FK189" s="59">
        <f t="shared" si="156"/>
        <v>115.80853281120301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0.10076275859866239</v>
      </c>
      <c r="FR189" s="21">
        <f>EXP(-LN(2)/25)*FR188+(1-EXP(-LN(2)/25))/(LN(2)/25)*Calculateur!FM189*Calculateur!FO189*VLOOKUP('Données projet'!$B$16,Paramètres!$A$1:$I$89,3,0)*0.475*44/12</f>
        <v>5.8334194893524594E-2</v>
      </c>
      <c r="FS189" s="21">
        <f>EXP(-LN(2)/2)*FS188+(1-EXP(-LN(2)/2))/(LN(2)/2)*FM189*FP189*VLOOKUP('Données projet'!$B$16,Paramètres!$A$1:$I$89,3,0)*0.475*44/12</f>
        <v>2.7779136805249375E-23</v>
      </c>
      <c r="FT189" s="22">
        <f t="shared" si="184"/>
        <v>0.159096953492187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5.6843418860808015E-14</v>
      </c>
      <c r="GA189" s="17">
        <f>FZ189*VLOOKUP('Données projet'!$B$17,Paramètres!$A$1:$I$89,3,0)*VLOOKUP('Données projet'!$B$17,Paramètres!$A$1:$I$89,5,0)</f>
        <v>4.5224624045658861E-14</v>
      </c>
      <c r="GB189" s="13">
        <f t="shared" si="185"/>
        <v>7.4514601661523691E-13</v>
      </c>
      <c r="GC189" s="20">
        <f t="shared" si="186"/>
        <v>1.3765621991510601E-12</v>
      </c>
      <c r="GD189" s="59">
        <f t="shared" si="134"/>
        <v>293.33333333333468</v>
      </c>
      <c r="GE189" s="59">
        <f ca="1">AVERAGE(OFFSET($GD$3,0,0,'Données projet'!$E$17+1,1))-AVERAGE(OFFSET($H$3,0,0,'Données projet'!$E$17+1,1))</f>
        <v>199.58763537752952</v>
      </c>
      <c r="GF189" s="59">
        <f t="shared" si="158"/>
        <v>242.62852778451929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0.13604784566575989</v>
      </c>
      <c r="GN189" s="21">
        <f>EXP(-LN(2)/2)*GN188+(1-EXP(-LN(2)/2))/(LN(2)/2)*GH189*GK189*VLOOKUP('Données projet'!$B$17,Paramètres!$A$1:$I$89,3,0)*0.475*44/12</f>
        <v>3.5607009854916311E-23</v>
      </c>
      <c r="GO189" s="21">
        <f t="shared" si="187"/>
        <v>0.13604784566575989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-5.1431925385259092E-13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153.45079678708987</v>
      </c>
      <c r="T190" s="59">
        <f t="shared" si="142"/>
        <v>115.4217868409637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-5.6843418860808015E-13</v>
      </c>
      <c r="AJ190" s="13">
        <f>AI190*VLOOKUP('Données projet'!$B$10,Paramètres!$A$1:$I$89,3,0)*VLOOKUP('Données projet'!$B$10,Paramètres!$A$1:$I$89,5,0)</f>
        <v>-5.763922672485933E-13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190.21499310415584</v>
      </c>
      <c r="AO190" s="59">
        <f t="shared" si="144"/>
        <v>136.15730566500173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497</v>
      </c>
      <c r="BE190" s="13">
        <f>BD190*VLOOKUP('Données projet'!$B$11,Paramètres!$A$1:$I$89,3,0)*VLOOKUP('Données projet'!$B$11,Paramètres!$A$1:$I$89,5,0)</f>
        <v>297.20600000000002</v>
      </c>
      <c r="BF190" s="13">
        <f t="shared" si="167"/>
        <v>70.590415164571112</v>
      </c>
      <c r="BG190" s="20">
        <f t="shared" si="168"/>
        <v>640.57875641162809</v>
      </c>
      <c r="BH190" s="59">
        <f t="shared" si="116"/>
        <v>933.91208974496135</v>
      </c>
      <c r="BI190" s="59">
        <f ca="1">AVERAGE(OFFSET($BH$3,0,0,'Données projet'!$E$11+1,1))-AVERAGE(OFFSET($H$3,0,0,'Données projet'!$E$11+1,1))</f>
        <v>270.30888762640245</v>
      </c>
      <c r="BJ190" s="59">
        <f t="shared" si="146"/>
        <v>202.23783851977691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9.5600189382345241E-2</v>
      </c>
      <c r="BQ190" s="21">
        <f>EXP(-LN(2)/25)*BQ189+(1-EXP(-LN(2)/25))/(LN(2)/25)*Calculateur!BL190*Calculateur!BN190*VLOOKUP('Données projet'!$B$11,Paramètres!$A$1:$I$89,3,0)*0.475*44/12</f>
        <v>0.15822223447019276</v>
      </c>
      <c r="BR190" s="21">
        <f>EXP(-LN(2)/2)*BR189+(1-EXP(-LN(2)/2))/(LN(2)/2)*BL190*BO190*VLOOKUP('Données projet'!$B$11,Paramètres!$A$1:$I$89,3,0)*0.475*44/12</f>
        <v>4.3265678410225702E-23</v>
      </c>
      <c r="BS190" s="22">
        <f t="shared" si="169"/>
        <v>0.253822423852538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497</v>
      </c>
      <c r="BZ190" s="13">
        <f>BY190*VLOOKUP('Données projet'!$B$12,Paramètres!$A$1:$I$89,3,0)*VLOOKUP('Données projet'!$B$12,Paramètres!$A$1:$I$89,5,0)</f>
        <v>297.20600000000002</v>
      </c>
      <c r="CA190" s="13">
        <f t="shared" si="170"/>
        <v>70.590415164571112</v>
      </c>
      <c r="CB190" s="20">
        <f t="shared" si="171"/>
        <v>640.57875641162809</v>
      </c>
      <c r="CC190" s="59">
        <f t="shared" si="119"/>
        <v>933.91208974496135</v>
      </c>
      <c r="CD190" s="59">
        <f ca="1">AVERAGE(OFFSET($CC$3,0,0,'Données projet'!$E$12+1,1))-AVERAGE(OFFSET($H$3,0,0,'Données projet'!$E$12+1,1))</f>
        <v>270.30888762640245</v>
      </c>
      <c r="CE190" s="59">
        <f t="shared" si="148"/>
        <v>202.23783851977691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9.5600189382345241E-2</v>
      </c>
      <c r="CL190" s="21">
        <f>EXP(-LN(2)/25)*CL189+(1-EXP(-LN(2)/25))/(LN(2)/25)*Calculateur!CG190*Calculateur!CI190*VLOOKUP('Données projet'!$B$12,Paramètres!$A$1:$I$89,3,0)*0.475*44/12</f>
        <v>0.15822223447019276</v>
      </c>
      <c r="CM190" s="21">
        <f>EXP(-LN(2)/2)*CM189+(1-EXP(-LN(2)/2))/(LN(2)/2)*CG190*CJ190*VLOOKUP('Données projet'!$B$12,Paramètres!$A$1:$I$89,3,0)*0.475*44/12</f>
        <v>4.3265678410225702E-23</v>
      </c>
      <c r="CN190" s="22">
        <f t="shared" si="172"/>
        <v>0.253822423852538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3.4106051316484809E-13</v>
      </c>
      <c r="CU190" s="17">
        <f>CT190*VLOOKUP('Données projet'!$B$13,Paramètres!$A$1:$I$89,3,0)*VLOOKUP('Données projet'!$B$13,Paramètres!$A$1:$I$89,5,0)</f>
        <v>1.5961632016114892E-13</v>
      </c>
      <c r="CV190" s="13">
        <f t="shared" si="173"/>
        <v>2.2708641912150958E-12</v>
      </c>
      <c r="CW190" s="20">
        <f t="shared" si="174"/>
        <v>4.2330868906469593E-12</v>
      </c>
      <c r="CX190" s="59">
        <f t="shared" si="122"/>
        <v>293.33333333333752</v>
      </c>
      <c r="CY190" s="59">
        <f ca="1">AVERAGE(OFFSET($CX$3,0,0,'Données projet'!$E$13+1,1))-AVERAGE(OFFSET($H$3,0,0,'Données projet'!$E$13+1,1))</f>
        <v>158.58786357608489</v>
      </c>
      <c r="CZ190" s="59">
        <f t="shared" si="150"/>
        <v>163.20074068819849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3.813056537183002E-14</v>
      </c>
      <c r="DQ190" s="13">
        <f t="shared" si="176"/>
        <v>6.4086286045526829E-13</v>
      </c>
      <c r="DR190" s="20">
        <f t="shared" si="177"/>
        <v>1.1825802166488628E-12</v>
      </c>
      <c r="DS190" s="59">
        <f t="shared" si="125"/>
        <v>293.33333333333451</v>
      </c>
      <c r="DT190" s="59">
        <f ca="1">AVERAGE(OFFSET($DS$3,0,0,'Données projet'!$E$14+1,1))-AVERAGE(OFFSET($H$3,0,0,'Données projet'!$E$14+1,1))</f>
        <v>156.63226020379989</v>
      </c>
      <c r="DU190" s="59">
        <f t="shared" si="152"/>
        <v>196.0481096619543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0.11157033798780668</v>
      </c>
      <c r="EC190" s="21">
        <f>EXP(-LN(2)/2)*EC189+(1-EXP(-LN(2)/2))/(LN(2)/2)*DW190*DZ190*VLOOKUP('Données projet'!$B$14,Paramètres!$A$1:$I$89,3,0)*0.475*44/12</f>
        <v>2.1228474498550267E-23</v>
      </c>
      <c r="ED190" s="22">
        <f t="shared" si="178"/>
        <v>0.11157033798780668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-5.6843418860808015E-13</v>
      </c>
      <c r="EK190" s="17">
        <f>EJ190*VLOOKUP('Données projet'!$B$15,Paramètres!$A$1:$I$89,3,0)*VLOOKUP('Données projet'!$B$15,Paramètres!$A$1:$I$89,5,0)</f>
        <v>-6.1186256061773743E-13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211.18501783767226</v>
      </c>
      <c r="EP190" s="59">
        <f t="shared" si="154"/>
        <v>147.98306963466246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498</v>
      </c>
      <c r="FF190" s="17">
        <f>FE190*VLOOKUP('Données projet'!$B$16,Paramètres!$A$1:$I$89,3,0)*VLOOKUP('Données projet'!$B$16,Paramètres!$A$1:$I$89,5,0)</f>
        <v>297.80400000000003</v>
      </c>
      <c r="FG190" s="13">
        <f t="shared" si="182"/>
        <v>70.715900863123025</v>
      </c>
      <c r="FH190" s="20">
        <f t="shared" si="183"/>
        <v>641.83882733660596</v>
      </c>
      <c r="FI190" s="59">
        <f t="shared" si="131"/>
        <v>935.17216066993933</v>
      </c>
      <c r="FJ190" s="59">
        <f ca="1">AVERAGE(OFFSET($FI$3,0,0,'Données projet'!$E$16+1,1))-AVERAGE(OFFSET($H$3,0,0,'Données projet'!$E$16+1,1))</f>
        <v>232.26937455765062</v>
      </c>
      <c r="FK190" s="59">
        <f t="shared" si="156"/>
        <v>115.80853281120301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9.878686236175678E-2</v>
      </c>
      <c r="FR190" s="21">
        <f>EXP(-LN(2)/25)*FR189+(1-EXP(-LN(2)/25))/(LN(2)/25)*Calculateur!FM190*Calculateur!FO190*VLOOKUP('Données projet'!$B$16,Paramètres!$A$1:$I$89,3,0)*0.475*44/12</f>
        <v>5.673904326649918E-2</v>
      </c>
      <c r="FS190" s="21">
        <f>EXP(-LN(2)/2)*FS189+(1-EXP(-LN(2)/2))/(LN(2)/2)*FM190*FP190*VLOOKUP('Données projet'!$B$16,Paramètres!$A$1:$I$89,3,0)*0.475*44/12</f>
        <v>1.9642816010500639E-23</v>
      </c>
      <c r="FT190" s="22">
        <f t="shared" si="184"/>
        <v>0.15552590562825597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5.6843418860808015E-14</v>
      </c>
      <c r="GA190" s="17">
        <f>FZ190*VLOOKUP('Données projet'!$B$17,Paramètres!$A$1:$I$89,3,0)*VLOOKUP('Données projet'!$B$17,Paramètres!$A$1:$I$89,5,0)</f>
        <v>4.5224624045658861E-14</v>
      </c>
      <c r="GB190" s="13">
        <f t="shared" si="185"/>
        <v>7.4514601661523691E-13</v>
      </c>
      <c r="GC190" s="20">
        <f t="shared" si="186"/>
        <v>1.3765621991510601E-12</v>
      </c>
      <c r="GD190" s="59">
        <f t="shared" si="134"/>
        <v>293.33333333333468</v>
      </c>
      <c r="GE190" s="59">
        <f ca="1">AVERAGE(OFFSET($GD$3,0,0,'Données projet'!$E$17+1,1))-AVERAGE(OFFSET($H$3,0,0,'Données projet'!$E$17+1,1))</f>
        <v>199.58763537752952</v>
      </c>
      <c r="GF190" s="59">
        <f t="shared" si="158"/>
        <v>242.62852778451929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0.13232761017158443</v>
      </c>
      <c r="GN190" s="21">
        <f>EXP(-LN(2)/2)*GN189+(1-EXP(-LN(2)/2))/(LN(2)/2)*GH190*GK190*VLOOKUP('Données projet'!$B$17,Paramètres!$A$1:$I$89,3,0)*0.475*44/12</f>
        <v>2.517795812618755E-23</v>
      </c>
      <c r="GO190" s="21">
        <f t="shared" si="187"/>
        <v>0.13232761017158443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-5.1431925385259092E-13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153.45079678708987</v>
      </c>
      <c r="T191" s="59">
        <f t="shared" si="142"/>
        <v>115.4217868409637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-5.6843418860808015E-13</v>
      </c>
      <c r="AJ191" s="13">
        <f>AI191*VLOOKUP('Données projet'!$B$10,Paramètres!$A$1:$I$89,3,0)*VLOOKUP('Données projet'!$B$10,Paramètres!$A$1:$I$89,5,0)</f>
        <v>-5.763922672485933E-13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190.21499310415584</v>
      </c>
      <c r="AO191" s="59">
        <f t="shared" si="144"/>
        <v>136.15730566500173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497</v>
      </c>
      <c r="BE191" s="13">
        <f>BD191*VLOOKUP('Données projet'!$B$11,Paramètres!$A$1:$I$89,3,0)*VLOOKUP('Données projet'!$B$11,Paramètres!$A$1:$I$89,5,0)</f>
        <v>297.20600000000002</v>
      </c>
      <c r="BF191" s="13">
        <f t="shared" si="167"/>
        <v>70.590415164571112</v>
      </c>
      <c r="BG191" s="20">
        <f t="shared" si="168"/>
        <v>640.57875641162809</v>
      </c>
      <c r="BH191" s="59">
        <f t="shared" si="116"/>
        <v>933.91208974496135</v>
      </c>
      <c r="BI191" s="59">
        <f ca="1">AVERAGE(OFFSET($BH$3,0,0,'Données projet'!$E$11+1,1))-AVERAGE(OFFSET($H$3,0,0,'Données projet'!$E$11+1,1))</f>
        <v>270.30888762640245</v>
      </c>
      <c r="BJ191" s="59">
        <f t="shared" si="146"/>
        <v>202.23783851977691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9.3725527978915299E-2</v>
      </c>
      <c r="BQ191" s="21">
        <f>EXP(-LN(2)/25)*BQ190+(1-EXP(-LN(2)/25))/(LN(2)/25)*Calculateur!BL191*Calculateur!BN191*VLOOKUP('Données projet'!$B$11,Paramètres!$A$1:$I$89,3,0)*0.475*44/12</f>
        <v>0.15389563914805965</v>
      </c>
      <c r="BR191" s="21">
        <f>EXP(-LN(2)/2)*BR190+(1-EXP(-LN(2)/2))/(LN(2)/2)*BL191*BO191*VLOOKUP('Données projet'!$B$11,Paramètres!$A$1:$I$89,3,0)*0.475*44/12</f>
        <v>3.0593454596506999E-23</v>
      </c>
      <c r="BS191" s="22">
        <f t="shared" si="169"/>
        <v>0.24762116712697496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497</v>
      </c>
      <c r="BZ191" s="13">
        <f>BY191*VLOOKUP('Données projet'!$B$12,Paramètres!$A$1:$I$89,3,0)*VLOOKUP('Données projet'!$B$12,Paramètres!$A$1:$I$89,5,0)</f>
        <v>297.20600000000002</v>
      </c>
      <c r="CA191" s="13">
        <f t="shared" si="170"/>
        <v>70.590415164571112</v>
      </c>
      <c r="CB191" s="20">
        <f t="shared" si="171"/>
        <v>640.57875641162809</v>
      </c>
      <c r="CC191" s="59">
        <f t="shared" si="119"/>
        <v>933.91208974496135</v>
      </c>
      <c r="CD191" s="59">
        <f ca="1">AVERAGE(OFFSET($CC$3,0,0,'Données projet'!$E$12+1,1))-AVERAGE(OFFSET($H$3,0,0,'Données projet'!$E$12+1,1))</f>
        <v>270.30888762640245</v>
      </c>
      <c r="CE191" s="59">
        <f t="shared" si="148"/>
        <v>202.23783851977691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9.3725527978915299E-2</v>
      </c>
      <c r="CL191" s="21">
        <f>EXP(-LN(2)/25)*CL190+(1-EXP(-LN(2)/25))/(LN(2)/25)*Calculateur!CG191*Calculateur!CI191*VLOOKUP('Données projet'!$B$12,Paramètres!$A$1:$I$89,3,0)*0.475*44/12</f>
        <v>0.15389563914805965</v>
      </c>
      <c r="CM191" s="21">
        <f>EXP(-LN(2)/2)*CM190+(1-EXP(-LN(2)/2))/(LN(2)/2)*CG191*CJ191*VLOOKUP('Données projet'!$B$12,Paramètres!$A$1:$I$89,3,0)*0.475*44/12</f>
        <v>3.0593454596506999E-23</v>
      </c>
      <c r="CN191" s="22">
        <f t="shared" si="172"/>
        <v>0.24762116712697496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3.4106051316484809E-13</v>
      </c>
      <c r="CU191" s="17">
        <f>CT191*VLOOKUP('Données projet'!$B$13,Paramètres!$A$1:$I$89,3,0)*VLOOKUP('Données projet'!$B$13,Paramètres!$A$1:$I$89,5,0)</f>
        <v>1.5961632016114892E-13</v>
      </c>
      <c r="CV191" s="13">
        <f t="shared" si="173"/>
        <v>2.2708641912150958E-12</v>
      </c>
      <c r="CW191" s="20">
        <f t="shared" si="174"/>
        <v>4.2330868906469593E-12</v>
      </c>
      <c r="CX191" s="59">
        <f t="shared" si="122"/>
        <v>293.33333333333752</v>
      </c>
      <c r="CY191" s="59">
        <f ca="1">AVERAGE(OFFSET($CX$3,0,0,'Données projet'!$E$13+1,1))-AVERAGE(OFFSET($H$3,0,0,'Données projet'!$E$13+1,1))</f>
        <v>158.58786357608489</v>
      </c>
      <c r="CZ191" s="59">
        <f t="shared" si="150"/>
        <v>163.20074068819849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3.813056537183002E-14</v>
      </c>
      <c r="DQ191" s="13">
        <f t="shared" si="176"/>
        <v>6.4086286045526829E-13</v>
      </c>
      <c r="DR191" s="20">
        <f t="shared" si="177"/>
        <v>1.1825802166488628E-12</v>
      </c>
      <c r="DS191" s="59">
        <f t="shared" si="125"/>
        <v>293.33333333333451</v>
      </c>
      <c r="DT191" s="59">
        <f ca="1">AVERAGE(OFFSET($DS$3,0,0,'Données projet'!$E$14+1,1))-AVERAGE(OFFSET($H$3,0,0,'Données projet'!$E$14+1,1))</f>
        <v>156.63226020379989</v>
      </c>
      <c r="DU191" s="59">
        <f t="shared" si="152"/>
        <v>196.0481096619543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0.10851944122830103</v>
      </c>
      <c r="EC191" s="21">
        <f>EXP(-LN(2)/2)*EC190+(1-EXP(-LN(2)/2))/(LN(2)/2)*DW191*DZ191*VLOOKUP('Données projet'!$B$14,Paramètres!$A$1:$I$89,3,0)*0.475*44/12</f>
        <v>1.5010798272170588E-23</v>
      </c>
      <c r="ED191" s="22">
        <f t="shared" si="178"/>
        <v>0.10851944122830103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-5.6843418860808015E-13</v>
      </c>
      <c r="EK191" s="17">
        <f>EJ191*VLOOKUP('Données projet'!$B$15,Paramètres!$A$1:$I$89,3,0)*VLOOKUP('Données projet'!$B$15,Paramètres!$A$1:$I$89,5,0)</f>
        <v>-6.1186256061773743E-13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211.18501783767226</v>
      </c>
      <c r="EP191" s="59">
        <f t="shared" si="154"/>
        <v>147.98306963466246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498</v>
      </c>
      <c r="FF191" s="17">
        <f>FE191*VLOOKUP('Données projet'!$B$16,Paramètres!$A$1:$I$89,3,0)*VLOOKUP('Données projet'!$B$16,Paramètres!$A$1:$I$89,5,0)</f>
        <v>297.80400000000003</v>
      </c>
      <c r="FG191" s="13">
        <f t="shared" si="182"/>
        <v>70.715900863123025</v>
      </c>
      <c r="FH191" s="20">
        <f t="shared" si="183"/>
        <v>641.83882733660596</v>
      </c>
      <c r="FI191" s="59">
        <f t="shared" si="131"/>
        <v>935.17216066993933</v>
      </c>
      <c r="FJ191" s="59">
        <f ca="1">AVERAGE(OFFSET($FI$3,0,0,'Données projet'!$E$16+1,1))-AVERAGE(OFFSET($H$3,0,0,'Données projet'!$E$16+1,1))</f>
        <v>232.26937455765062</v>
      </c>
      <c r="FK191" s="59">
        <f t="shared" si="156"/>
        <v>115.80853281120301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9.6849712244879177E-2</v>
      </c>
      <c r="FR191" s="21">
        <f>EXP(-LN(2)/25)*FR190+(1-EXP(-LN(2)/25))/(LN(2)/25)*Calculateur!FM191*Calculateur!FO191*VLOOKUP('Données projet'!$B$16,Paramètres!$A$1:$I$89,3,0)*0.475*44/12</f>
        <v>5.5187511144600153E-2</v>
      </c>
      <c r="FS191" s="21">
        <f>EXP(-LN(2)/2)*FS190+(1-EXP(-LN(2)/2))/(LN(2)/2)*FM191*FP191*VLOOKUP('Données projet'!$B$16,Paramètres!$A$1:$I$89,3,0)*0.475*44/12</f>
        <v>1.3889568402624687E-23</v>
      </c>
      <c r="FT191" s="22">
        <f t="shared" si="184"/>
        <v>0.15203722338947934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5.6843418860808015E-14</v>
      </c>
      <c r="GA191" s="17">
        <f>FZ191*VLOOKUP('Données projet'!$B$17,Paramètres!$A$1:$I$89,3,0)*VLOOKUP('Données projet'!$B$17,Paramètres!$A$1:$I$89,5,0)</f>
        <v>4.5224624045658861E-14</v>
      </c>
      <c r="GB191" s="13">
        <f t="shared" si="185"/>
        <v>7.4514601661523691E-13</v>
      </c>
      <c r="GC191" s="20">
        <f t="shared" si="186"/>
        <v>1.3765621991510601E-12</v>
      </c>
      <c r="GD191" s="59">
        <f t="shared" si="134"/>
        <v>293.33333333333468</v>
      </c>
      <c r="GE191" s="59">
        <f ca="1">AVERAGE(OFFSET($GD$3,0,0,'Données projet'!$E$17+1,1))-AVERAGE(OFFSET($H$3,0,0,'Données projet'!$E$17+1,1))</f>
        <v>199.58763537752952</v>
      </c>
      <c r="GF191" s="59">
        <f t="shared" si="158"/>
        <v>242.62852778451929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0.12870910471263586</v>
      </c>
      <c r="GN191" s="21">
        <f>EXP(-LN(2)/2)*GN190+(1-EXP(-LN(2)/2))/(LN(2)/2)*GH191*GK191*VLOOKUP('Données projet'!$B$17,Paramètres!$A$1:$I$89,3,0)*0.475*44/12</f>
        <v>1.7803504927458156E-23</v>
      </c>
      <c r="GO191" s="21">
        <f t="shared" si="187"/>
        <v>0.12870910471263586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-5.1431925385259092E-13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153.45079678708987</v>
      </c>
      <c r="T192" s="59">
        <f t="shared" si="142"/>
        <v>115.4217868409637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-5.6843418860808015E-13</v>
      </c>
      <c r="AJ192" s="13">
        <f>AI192*VLOOKUP('Données projet'!$B$10,Paramètres!$A$1:$I$89,3,0)*VLOOKUP('Données projet'!$B$10,Paramètres!$A$1:$I$89,5,0)</f>
        <v>-5.763922672485933E-13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190.21499310415584</v>
      </c>
      <c r="AO192" s="59">
        <f t="shared" si="144"/>
        <v>136.15730566500173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497</v>
      </c>
      <c r="BE192" s="13">
        <f>BD192*VLOOKUP('Données projet'!$B$11,Paramètres!$A$1:$I$89,3,0)*VLOOKUP('Données projet'!$B$11,Paramètres!$A$1:$I$89,5,0)</f>
        <v>297.20600000000002</v>
      </c>
      <c r="BF192" s="13">
        <f t="shared" si="167"/>
        <v>70.590415164571112</v>
      </c>
      <c r="BG192" s="20">
        <f t="shared" si="168"/>
        <v>640.57875641162809</v>
      </c>
      <c r="BH192" s="59">
        <f t="shared" si="116"/>
        <v>933.91208974496135</v>
      </c>
      <c r="BI192" s="59">
        <f ca="1">AVERAGE(OFFSET($BH$3,0,0,'Données projet'!$E$11+1,1))-AVERAGE(OFFSET($H$3,0,0,'Données projet'!$E$11+1,1))</f>
        <v>270.30888762640245</v>
      </c>
      <c r="BJ192" s="59">
        <f t="shared" si="146"/>
        <v>202.23783851977691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9.1887627542176067E-2</v>
      </c>
      <c r="BQ192" s="21">
        <f>EXP(-LN(2)/25)*BQ191+(1-EXP(-LN(2)/25))/(LN(2)/25)*Calculateur!BL192*Calculateur!BN192*VLOOKUP('Données projet'!$B$11,Paramètres!$A$1:$I$89,3,0)*0.475*44/12</f>
        <v>0.14968735480253603</v>
      </c>
      <c r="BR192" s="21">
        <f>EXP(-LN(2)/2)*BR191+(1-EXP(-LN(2)/2))/(LN(2)/2)*BL192*BO192*VLOOKUP('Données projet'!$B$11,Paramètres!$A$1:$I$89,3,0)*0.475*44/12</f>
        <v>2.1632839205112851E-23</v>
      </c>
      <c r="BS192" s="22">
        <f t="shared" si="169"/>
        <v>0.24157498234471209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497</v>
      </c>
      <c r="BZ192" s="13">
        <f>BY192*VLOOKUP('Données projet'!$B$12,Paramètres!$A$1:$I$89,3,0)*VLOOKUP('Données projet'!$B$12,Paramètres!$A$1:$I$89,5,0)</f>
        <v>297.20600000000002</v>
      </c>
      <c r="CA192" s="13">
        <f t="shared" si="170"/>
        <v>70.590415164571112</v>
      </c>
      <c r="CB192" s="20">
        <f t="shared" si="171"/>
        <v>640.57875641162809</v>
      </c>
      <c r="CC192" s="59">
        <f t="shared" si="119"/>
        <v>933.91208974496135</v>
      </c>
      <c r="CD192" s="59">
        <f ca="1">AVERAGE(OFFSET($CC$3,0,0,'Données projet'!$E$12+1,1))-AVERAGE(OFFSET($H$3,0,0,'Données projet'!$E$12+1,1))</f>
        <v>270.30888762640245</v>
      </c>
      <c r="CE192" s="59">
        <f t="shared" si="148"/>
        <v>202.23783851977691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9.1887627542176067E-2</v>
      </c>
      <c r="CL192" s="21">
        <f>EXP(-LN(2)/25)*CL191+(1-EXP(-LN(2)/25))/(LN(2)/25)*Calculateur!CG192*Calculateur!CI192*VLOOKUP('Données projet'!$B$12,Paramètres!$A$1:$I$89,3,0)*0.475*44/12</f>
        <v>0.14968735480253603</v>
      </c>
      <c r="CM192" s="21">
        <f>EXP(-LN(2)/2)*CM191+(1-EXP(-LN(2)/2))/(LN(2)/2)*CG192*CJ192*VLOOKUP('Données projet'!$B$12,Paramètres!$A$1:$I$89,3,0)*0.475*44/12</f>
        <v>2.1632839205112851E-23</v>
      </c>
      <c r="CN192" s="22">
        <f t="shared" si="172"/>
        <v>0.24157498234471209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3.4106051316484809E-13</v>
      </c>
      <c r="CU192" s="17">
        <f>CT192*VLOOKUP('Données projet'!$B$13,Paramètres!$A$1:$I$89,3,0)*VLOOKUP('Données projet'!$B$13,Paramètres!$A$1:$I$89,5,0)</f>
        <v>1.5961632016114892E-13</v>
      </c>
      <c r="CV192" s="13">
        <f t="shared" si="173"/>
        <v>2.2708641912150958E-12</v>
      </c>
      <c r="CW192" s="20">
        <f t="shared" si="174"/>
        <v>4.2330868906469593E-12</v>
      </c>
      <c r="CX192" s="59">
        <f t="shared" si="122"/>
        <v>293.33333333333752</v>
      </c>
      <c r="CY192" s="59">
        <f ca="1">AVERAGE(OFFSET($CX$3,0,0,'Données projet'!$E$13+1,1))-AVERAGE(OFFSET($H$3,0,0,'Données projet'!$E$13+1,1))</f>
        <v>158.58786357608489</v>
      </c>
      <c r="CZ192" s="59">
        <f t="shared" si="150"/>
        <v>163.20074068819849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3.813056537183002E-14</v>
      </c>
      <c r="DQ192" s="13">
        <f t="shared" si="176"/>
        <v>6.4086286045526829E-13</v>
      </c>
      <c r="DR192" s="20">
        <f t="shared" si="177"/>
        <v>1.1825802166488628E-12</v>
      </c>
      <c r="DS192" s="59">
        <f t="shared" si="125"/>
        <v>293.33333333333451</v>
      </c>
      <c r="DT192" s="59">
        <f ca="1">AVERAGE(OFFSET($DS$3,0,0,'Données projet'!$E$14+1,1))-AVERAGE(OFFSET($H$3,0,0,'Données projet'!$E$14+1,1))</f>
        <v>156.63226020379989</v>
      </c>
      <c r="DU192" s="59">
        <f t="shared" si="152"/>
        <v>196.0481096619543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0.10555197140112374</v>
      </c>
      <c r="EC192" s="21">
        <f>EXP(-LN(2)/2)*EC191+(1-EXP(-LN(2)/2))/(LN(2)/2)*DW192*DZ192*VLOOKUP('Données projet'!$B$14,Paramètres!$A$1:$I$89,3,0)*0.475*44/12</f>
        <v>1.0614237249275133E-23</v>
      </c>
      <c r="ED192" s="22">
        <f t="shared" si="178"/>
        <v>0.10555197140112374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-5.6843418860808015E-13</v>
      </c>
      <c r="EK192" s="17">
        <f>EJ192*VLOOKUP('Données projet'!$B$15,Paramètres!$A$1:$I$89,3,0)*VLOOKUP('Données projet'!$B$15,Paramètres!$A$1:$I$89,5,0)</f>
        <v>-6.1186256061773743E-13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211.18501783767226</v>
      </c>
      <c r="EP192" s="59">
        <f t="shared" si="154"/>
        <v>147.98306963466246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498</v>
      </c>
      <c r="FF192" s="17">
        <f>FE192*VLOOKUP('Données projet'!$B$16,Paramètres!$A$1:$I$89,3,0)*VLOOKUP('Données projet'!$B$16,Paramètres!$A$1:$I$89,5,0)</f>
        <v>297.80400000000003</v>
      </c>
      <c r="FG192" s="13">
        <f t="shared" si="182"/>
        <v>70.715900863123025</v>
      </c>
      <c r="FH192" s="20">
        <f t="shared" si="183"/>
        <v>641.83882733660596</v>
      </c>
      <c r="FI192" s="59">
        <f t="shared" si="131"/>
        <v>935.17216066993933</v>
      </c>
      <c r="FJ192" s="59">
        <f ca="1">AVERAGE(OFFSET($FI$3,0,0,'Données projet'!$E$16+1,1))-AVERAGE(OFFSET($H$3,0,0,'Données projet'!$E$16+1,1))</f>
        <v>232.26937455765062</v>
      </c>
      <c r="FK192" s="59">
        <f t="shared" si="156"/>
        <v>115.80853281120301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9.495054846024864E-2</v>
      </c>
      <c r="FR192" s="21">
        <f>EXP(-LN(2)/25)*FR191+(1-EXP(-LN(2)/25))/(LN(2)/25)*Calculateur!FM192*Calculateur!FO192*VLOOKUP('Données projet'!$B$16,Paramètres!$A$1:$I$89,3,0)*0.475*44/12</f>
        <v>5.3678405750165983E-2</v>
      </c>
      <c r="FS192" s="21">
        <f>EXP(-LN(2)/2)*FS191+(1-EXP(-LN(2)/2))/(LN(2)/2)*FM192*FP192*VLOOKUP('Données projet'!$B$16,Paramètres!$A$1:$I$89,3,0)*0.475*44/12</f>
        <v>9.8214080052503194E-24</v>
      </c>
      <c r="FT192" s="22">
        <f t="shared" si="184"/>
        <v>0.14862895421041461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5.6843418860808015E-14</v>
      </c>
      <c r="GA192" s="17">
        <f>FZ192*VLOOKUP('Données projet'!$B$17,Paramètres!$A$1:$I$89,3,0)*VLOOKUP('Données projet'!$B$17,Paramètres!$A$1:$I$89,5,0)</f>
        <v>4.5224624045658861E-14</v>
      </c>
      <c r="GB192" s="13">
        <f t="shared" si="185"/>
        <v>7.4514601661523691E-13</v>
      </c>
      <c r="GC192" s="20">
        <f t="shared" si="186"/>
        <v>1.3765621991510601E-12</v>
      </c>
      <c r="GD192" s="59">
        <f t="shared" si="134"/>
        <v>293.33333333333468</v>
      </c>
      <c r="GE192" s="59">
        <f ca="1">AVERAGE(OFFSET($GD$3,0,0,'Données projet'!$E$17+1,1))-AVERAGE(OFFSET($H$3,0,0,'Données projet'!$E$17+1,1))</f>
        <v>199.58763537752952</v>
      </c>
      <c r="GF192" s="59">
        <f t="shared" si="158"/>
        <v>242.62852778451929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0.12518954747575117</v>
      </c>
      <c r="GN192" s="21">
        <f>EXP(-LN(2)/2)*GN191+(1-EXP(-LN(2)/2))/(LN(2)/2)*GH192*GK192*VLOOKUP('Données projet'!$B$17,Paramètres!$A$1:$I$89,3,0)*0.475*44/12</f>
        <v>1.2588979063093775E-23</v>
      </c>
      <c r="GO192" s="21">
        <f t="shared" si="187"/>
        <v>0.12518954747575117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-5.1431925385259092E-13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153.45079678708987</v>
      </c>
      <c r="T193" s="59">
        <f t="shared" si="142"/>
        <v>115.4217868409637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-5.6843418860808015E-13</v>
      </c>
      <c r="AJ193" s="13">
        <f>AI193*VLOOKUP('Données projet'!$B$10,Paramètres!$A$1:$I$89,3,0)*VLOOKUP('Données projet'!$B$10,Paramètres!$A$1:$I$89,5,0)</f>
        <v>-5.763922672485933E-13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190.21499310415584</v>
      </c>
      <c r="AO193" s="59">
        <f t="shared" si="144"/>
        <v>136.15730566500173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497</v>
      </c>
      <c r="BE193" s="13">
        <f>BD193*VLOOKUP('Données projet'!$B$11,Paramètres!$A$1:$I$89,3,0)*VLOOKUP('Données projet'!$B$11,Paramètres!$A$1:$I$89,5,0)</f>
        <v>297.20600000000002</v>
      </c>
      <c r="BF193" s="13">
        <f t="shared" si="167"/>
        <v>70.590415164571112</v>
      </c>
      <c r="BG193" s="20">
        <f t="shared" si="168"/>
        <v>640.57875641162809</v>
      </c>
      <c r="BH193" s="59">
        <f t="shared" si="116"/>
        <v>933.91208974496135</v>
      </c>
      <c r="BI193" s="59">
        <f ca="1">AVERAGE(OFFSET($BH$3,0,0,'Données projet'!$E$11+1,1))-AVERAGE(OFFSET($H$3,0,0,'Données projet'!$E$11+1,1))</f>
        <v>270.30888762640245</v>
      </c>
      <c r="BJ193" s="59">
        <f t="shared" si="146"/>
        <v>202.23783851977691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9.0085767211992726E-2</v>
      </c>
      <c r="BQ193" s="21">
        <f>EXP(-LN(2)/25)*BQ192+(1-EXP(-LN(2)/25))/(LN(2)/25)*Calculateur!BL193*Calculateur!BN193*VLOOKUP('Données projet'!$B$11,Paramètres!$A$1:$I$89,3,0)*0.475*44/12</f>
        <v>0.14559414621374481</v>
      </c>
      <c r="BR193" s="21">
        <f>EXP(-LN(2)/2)*BR192+(1-EXP(-LN(2)/2))/(LN(2)/2)*BL193*BO193*VLOOKUP('Données projet'!$B$11,Paramètres!$A$1:$I$89,3,0)*0.475*44/12</f>
        <v>1.5296727298253499E-23</v>
      </c>
      <c r="BS193" s="22">
        <f t="shared" si="169"/>
        <v>0.23567991342573752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497</v>
      </c>
      <c r="BZ193" s="13">
        <f>BY193*VLOOKUP('Données projet'!$B$12,Paramètres!$A$1:$I$89,3,0)*VLOOKUP('Données projet'!$B$12,Paramètres!$A$1:$I$89,5,0)</f>
        <v>297.20600000000002</v>
      </c>
      <c r="CA193" s="13">
        <f t="shared" si="170"/>
        <v>70.590415164571112</v>
      </c>
      <c r="CB193" s="20">
        <f t="shared" si="171"/>
        <v>640.57875641162809</v>
      </c>
      <c r="CC193" s="59">
        <f t="shared" si="119"/>
        <v>933.91208974496135</v>
      </c>
      <c r="CD193" s="59">
        <f ca="1">AVERAGE(OFFSET($CC$3,0,0,'Données projet'!$E$12+1,1))-AVERAGE(OFFSET($H$3,0,0,'Données projet'!$E$12+1,1))</f>
        <v>270.30888762640245</v>
      </c>
      <c r="CE193" s="59">
        <f t="shared" si="148"/>
        <v>202.23783851977691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9.0085767211992726E-2</v>
      </c>
      <c r="CL193" s="21">
        <f>EXP(-LN(2)/25)*CL192+(1-EXP(-LN(2)/25))/(LN(2)/25)*Calculateur!CG193*Calculateur!CI193*VLOOKUP('Données projet'!$B$12,Paramètres!$A$1:$I$89,3,0)*0.475*44/12</f>
        <v>0.14559414621374481</v>
      </c>
      <c r="CM193" s="21">
        <f>EXP(-LN(2)/2)*CM192+(1-EXP(-LN(2)/2))/(LN(2)/2)*CG193*CJ193*VLOOKUP('Données projet'!$B$12,Paramètres!$A$1:$I$89,3,0)*0.475*44/12</f>
        <v>1.5296727298253499E-23</v>
      </c>
      <c r="CN193" s="22">
        <f t="shared" si="172"/>
        <v>0.23567991342573752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3.4106051316484809E-13</v>
      </c>
      <c r="CU193" s="17">
        <f>CT193*VLOOKUP('Données projet'!$B$13,Paramètres!$A$1:$I$89,3,0)*VLOOKUP('Données projet'!$B$13,Paramètres!$A$1:$I$89,5,0)</f>
        <v>1.5961632016114892E-13</v>
      </c>
      <c r="CV193" s="13">
        <f t="shared" si="173"/>
        <v>2.2708641912150958E-12</v>
      </c>
      <c r="CW193" s="20">
        <f t="shared" si="174"/>
        <v>4.2330868906469593E-12</v>
      </c>
      <c r="CX193" s="59">
        <f t="shared" si="122"/>
        <v>293.33333333333752</v>
      </c>
      <c r="CY193" s="59">
        <f ca="1">AVERAGE(OFFSET($CX$3,0,0,'Données projet'!$E$13+1,1))-AVERAGE(OFFSET($H$3,0,0,'Données projet'!$E$13+1,1))</f>
        <v>158.58786357608489</v>
      </c>
      <c r="CZ193" s="59">
        <f t="shared" si="150"/>
        <v>163.20074068819849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3.813056537183002E-14</v>
      </c>
      <c r="DQ193" s="13">
        <f t="shared" si="176"/>
        <v>6.4086286045526829E-13</v>
      </c>
      <c r="DR193" s="20">
        <f t="shared" si="177"/>
        <v>1.1825802166488628E-12</v>
      </c>
      <c r="DS193" s="59">
        <f t="shared" si="125"/>
        <v>293.33333333333451</v>
      </c>
      <c r="DT193" s="59">
        <f ca="1">AVERAGE(OFFSET($DS$3,0,0,'Données projet'!$E$14+1,1))-AVERAGE(OFFSET($H$3,0,0,'Données projet'!$E$14+1,1))</f>
        <v>156.63226020379989</v>
      </c>
      <c r="DU193" s="59">
        <f t="shared" si="152"/>
        <v>196.0481096619543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0.10266564719242308</v>
      </c>
      <c r="EC193" s="21">
        <f>EXP(-LN(2)/2)*EC192+(1-EXP(-LN(2)/2))/(LN(2)/2)*DW193*DZ193*VLOOKUP('Données projet'!$B$14,Paramètres!$A$1:$I$89,3,0)*0.475*44/12</f>
        <v>7.5053991360852938E-24</v>
      </c>
      <c r="ED193" s="22">
        <f t="shared" si="178"/>
        <v>0.10266564719242308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-5.6843418860808015E-13</v>
      </c>
      <c r="EK193" s="17">
        <f>EJ193*VLOOKUP('Données projet'!$B$15,Paramètres!$A$1:$I$89,3,0)*VLOOKUP('Données projet'!$B$15,Paramètres!$A$1:$I$89,5,0)</f>
        <v>-6.1186256061773743E-13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211.18501783767226</v>
      </c>
      <c r="EP193" s="59">
        <f t="shared" si="154"/>
        <v>147.98306963466246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498</v>
      </c>
      <c r="FF193" s="17">
        <f>FE193*VLOOKUP('Données projet'!$B$16,Paramètres!$A$1:$I$89,3,0)*VLOOKUP('Données projet'!$B$16,Paramètres!$A$1:$I$89,5,0)</f>
        <v>297.80400000000003</v>
      </c>
      <c r="FG193" s="13">
        <f t="shared" si="182"/>
        <v>70.715900863123025</v>
      </c>
      <c r="FH193" s="20">
        <f t="shared" si="183"/>
        <v>641.83882733660596</v>
      </c>
      <c r="FI193" s="59">
        <f t="shared" si="131"/>
        <v>935.17216066993933</v>
      </c>
      <c r="FJ193" s="59">
        <f ca="1">AVERAGE(OFFSET($FI$3,0,0,'Données projet'!$E$16+1,1))-AVERAGE(OFFSET($H$3,0,0,'Données projet'!$E$16+1,1))</f>
        <v>232.26937455765062</v>
      </c>
      <c r="FK193" s="59">
        <f t="shared" si="156"/>
        <v>115.80853281120301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9.3088626119059187E-2</v>
      </c>
      <c r="FR193" s="21">
        <f>EXP(-LN(2)/25)*FR192+(1-EXP(-LN(2)/25))/(LN(2)/25)*Calculateur!FM193*Calculateur!FO193*VLOOKUP('Données projet'!$B$16,Paramètres!$A$1:$I$89,3,0)*0.475*44/12</f>
        <v>5.2210566922103019E-2</v>
      </c>
      <c r="FS193" s="21">
        <f>EXP(-LN(2)/2)*FS192+(1-EXP(-LN(2)/2))/(LN(2)/2)*FM193*FP193*VLOOKUP('Données projet'!$B$16,Paramètres!$A$1:$I$89,3,0)*0.475*44/12</f>
        <v>6.9447842013123437E-24</v>
      </c>
      <c r="FT193" s="22">
        <f t="shared" si="184"/>
        <v>0.14529919304116221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5.6843418860808015E-14</v>
      </c>
      <c r="GA193" s="17">
        <f>FZ193*VLOOKUP('Données projet'!$B$17,Paramètres!$A$1:$I$89,3,0)*VLOOKUP('Données projet'!$B$17,Paramètres!$A$1:$I$89,5,0)</f>
        <v>4.5224624045658861E-14</v>
      </c>
      <c r="GB193" s="13">
        <f t="shared" si="185"/>
        <v>7.4514601661523691E-13</v>
      </c>
      <c r="GC193" s="20">
        <f t="shared" si="186"/>
        <v>1.3765621991510601E-12</v>
      </c>
      <c r="GD193" s="59">
        <f t="shared" si="134"/>
        <v>293.33333333333468</v>
      </c>
      <c r="GE193" s="59">
        <f ca="1">AVERAGE(OFFSET($GD$3,0,0,'Données projet'!$E$17+1,1))-AVERAGE(OFFSET($H$3,0,0,'Données projet'!$E$17+1,1))</f>
        <v>199.58763537752952</v>
      </c>
      <c r="GF193" s="59">
        <f t="shared" si="158"/>
        <v>242.62852778451929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0.12176623271659458</v>
      </c>
      <c r="GN193" s="21">
        <f>EXP(-LN(2)/2)*GN192+(1-EXP(-LN(2)/2))/(LN(2)/2)*GH193*GK193*VLOOKUP('Données projet'!$B$17,Paramètres!$A$1:$I$89,3,0)*0.475*44/12</f>
        <v>8.9017524637290778E-24</v>
      </c>
      <c r="GO193" s="21">
        <f t="shared" si="187"/>
        <v>0.12176623271659458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-5.1431925385259092E-13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153.45079678708987</v>
      </c>
      <c r="T194" s="59">
        <f t="shared" si="142"/>
        <v>115.4217868409637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-5.6843418860808015E-13</v>
      </c>
      <c r="AJ194" s="13">
        <f>AI194*VLOOKUP('Données projet'!$B$10,Paramètres!$A$1:$I$89,3,0)*VLOOKUP('Données projet'!$B$10,Paramètres!$A$1:$I$89,5,0)</f>
        <v>-5.763922672485933E-13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190.21499310415584</v>
      </c>
      <c r="AO194" s="59">
        <f t="shared" si="144"/>
        <v>136.15730566500173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497</v>
      </c>
      <c r="BE194" s="13">
        <f>BD194*VLOOKUP('Données projet'!$B$11,Paramètres!$A$1:$I$89,3,0)*VLOOKUP('Données projet'!$B$11,Paramètres!$A$1:$I$89,5,0)</f>
        <v>297.20600000000002</v>
      </c>
      <c r="BF194" s="13">
        <f t="shared" si="167"/>
        <v>70.590415164571112</v>
      </c>
      <c r="BG194" s="20">
        <f t="shared" si="168"/>
        <v>640.57875641162809</v>
      </c>
      <c r="BH194" s="59">
        <f t="shared" si="116"/>
        <v>933.91208974496135</v>
      </c>
      <c r="BI194" s="59">
        <f ca="1">AVERAGE(OFFSET($BH$3,0,0,'Données projet'!$E$11+1,1))-AVERAGE(OFFSET($H$3,0,0,'Données projet'!$E$11+1,1))</f>
        <v>270.30888762640245</v>
      </c>
      <c r="BJ194" s="59">
        <f t="shared" si="146"/>
        <v>202.23783851977691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8.8319240263857998E-2</v>
      </c>
      <c r="BQ194" s="21">
        <f>EXP(-LN(2)/25)*BQ193+(1-EXP(-LN(2)/25))/(LN(2)/25)*Calculateur!BL194*Calculateur!BN194*VLOOKUP('Données projet'!$B$11,Paramètres!$A$1:$I$89,3,0)*0.475*44/12</f>
        <v>0.14161286662906655</v>
      </c>
      <c r="BR194" s="21">
        <f>EXP(-LN(2)/2)*BR193+(1-EXP(-LN(2)/2))/(LN(2)/2)*BL194*BO194*VLOOKUP('Données projet'!$B$11,Paramètres!$A$1:$I$89,3,0)*0.475*44/12</f>
        <v>1.0816419602556426E-23</v>
      </c>
      <c r="BS194" s="22">
        <f t="shared" si="169"/>
        <v>0.22993210689292454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497</v>
      </c>
      <c r="BZ194" s="13">
        <f>BY194*VLOOKUP('Données projet'!$B$12,Paramètres!$A$1:$I$89,3,0)*VLOOKUP('Données projet'!$B$12,Paramètres!$A$1:$I$89,5,0)</f>
        <v>297.20600000000002</v>
      </c>
      <c r="CA194" s="13">
        <f t="shared" si="170"/>
        <v>70.590415164571112</v>
      </c>
      <c r="CB194" s="20">
        <f t="shared" si="171"/>
        <v>640.57875641162809</v>
      </c>
      <c r="CC194" s="59">
        <f t="shared" si="119"/>
        <v>933.91208974496135</v>
      </c>
      <c r="CD194" s="59">
        <f ca="1">AVERAGE(OFFSET($CC$3,0,0,'Données projet'!$E$12+1,1))-AVERAGE(OFFSET($H$3,0,0,'Données projet'!$E$12+1,1))</f>
        <v>270.30888762640245</v>
      </c>
      <c r="CE194" s="59">
        <f t="shared" si="148"/>
        <v>202.23783851977691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8.8319240263857998E-2</v>
      </c>
      <c r="CL194" s="21">
        <f>EXP(-LN(2)/25)*CL193+(1-EXP(-LN(2)/25))/(LN(2)/25)*Calculateur!CG194*Calculateur!CI194*VLOOKUP('Données projet'!$B$12,Paramètres!$A$1:$I$89,3,0)*0.475*44/12</f>
        <v>0.14161286662906655</v>
      </c>
      <c r="CM194" s="21">
        <f>EXP(-LN(2)/2)*CM193+(1-EXP(-LN(2)/2))/(LN(2)/2)*CG194*CJ194*VLOOKUP('Données projet'!$B$12,Paramètres!$A$1:$I$89,3,0)*0.475*44/12</f>
        <v>1.0816419602556426E-23</v>
      </c>
      <c r="CN194" s="22">
        <f t="shared" si="172"/>
        <v>0.22993210689292454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3.4106051316484809E-13</v>
      </c>
      <c r="CU194" s="17">
        <f>CT194*VLOOKUP('Données projet'!$B$13,Paramètres!$A$1:$I$89,3,0)*VLOOKUP('Données projet'!$B$13,Paramètres!$A$1:$I$89,5,0)</f>
        <v>1.5961632016114892E-13</v>
      </c>
      <c r="CV194" s="13">
        <f t="shared" si="173"/>
        <v>2.2708641912150958E-12</v>
      </c>
      <c r="CW194" s="20">
        <f t="shared" si="174"/>
        <v>4.2330868906469593E-12</v>
      </c>
      <c r="CX194" s="59">
        <f t="shared" si="122"/>
        <v>293.33333333333752</v>
      </c>
      <c r="CY194" s="59">
        <f ca="1">AVERAGE(OFFSET($CX$3,0,0,'Données projet'!$E$13+1,1))-AVERAGE(OFFSET($H$3,0,0,'Données projet'!$E$13+1,1))</f>
        <v>158.58786357608489</v>
      </c>
      <c r="CZ194" s="59">
        <f t="shared" si="150"/>
        <v>163.20074068819849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3.813056537183002E-14</v>
      </c>
      <c r="DQ194" s="13">
        <f t="shared" si="176"/>
        <v>6.4086286045526829E-13</v>
      </c>
      <c r="DR194" s="20">
        <f t="shared" si="177"/>
        <v>1.1825802166488628E-12</v>
      </c>
      <c r="DS194" s="59">
        <f t="shared" si="125"/>
        <v>293.33333333333451</v>
      </c>
      <c r="DT194" s="59">
        <f ca="1">AVERAGE(OFFSET($DS$3,0,0,'Données projet'!$E$14+1,1))-AVERAGE(OFFSET($H$3,0,0,'Données projet'!$E$14+1,1))</f>
        <v>156.63226020379989</v>
      </c>
      <c r="DU194" s="59">
        <f t="shared" si="152"/>
        <v>196.0481096619543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9.985824967099452E-2</v>
      </c>
      <c r="EC194" s="21">
        <f>EXP(-LN(2)/2)*EC193+(1-EXP(-LN(2)/2))/(LN(2)/2)*DW194*DZ194*VLOOKUP('Données projet'!$B$14,Paramètres!$A$1:$I$89,3,0)*0.475*44/12</f>
        <v>5.3071186246375667E-24</v>
      </c>
      <c r="ED194" s="22">
        <f t="shared" si="178"/>
        <v>9.985824967099452E-2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-5.6843418860808015E-13</v>
      </c>
      <c r="EK194" s="17">
        <f>EJ194*VLOOKUP('Données projet'!$B$15,Paramètres!$A$1:$I$89,3,0)*VLOOKUP('Données projet'!$B$15,Paramètres!$A$1:$I$89,5,0)</f>
        <v>-6.1186256061773743E-13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211.18501783767226</v>
      </c>
      <c r="EP194" s="59">
        <f t="shared" si="154"/>
        <v>147.98306963466246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498</v>
      </c>
      <c r="FF194" s="17">
        <f>FE194*VLOOKUP('Données projet'!$B$16,Paramètres!$A$1:$I$89,3,0)*VLOOKUP('Données projet'!$B$16,Paramètres!$A$1:$I$89,5,0)</f>
        <v>297.80400000000003</v>
      </c>
      <c r="FG194" s="13">
        <f t="shared" si="182"/>
        <v>70.715900863123025</v>
      </c>
      <c r="FH194" s="20">
        <f t="shared" si="183"/>
        <v>641.83882733660596</v>
      </c>
      <c r="FI194" s="59">
        <f t="shared" si="131"/>
        <v>935.17216066993933</v>
      </c>
      <c r="FJ194" s="59">
        <f ca="1">AVERAGE(OFFSET($FI$3,0,0,'Données projet'!$E$16+1,1))-AVERAGE(OFFSET($H$3,0,0,'Données projet'!$E$16+1,1))</f>
        <v>232.26937455765062</v>
      </c>
      <c r="FK194" s="59">
        <f t="shared" si="156"/>
        <v>115.80853281120301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9.1263214939319964E-2</v>
      </c>
      <c r="FR194" s="21">
        <f>EXP(-LN(2)/25)*FR193+(1-EXP(-LN(2)/25))/(LN(2)/25)*Calculateur!FM194*Calculateur!FO194*VLOOKUP('Données projet'!$B$16,Paramètres!$A$1:$I$89,3,0)*0.475*44/12</f>
        <v>5.0782866223983723E-2</v>
      </c>
      <c r="FS194" s="21">
        <f>EXP(-LN(2)/2)*FS193+(1-EXP(-LN(2)/2))/(LN(2)/2)*FM194*FP194*VLOOKUP('Données projet'!$B$16,Paramètres!$A$1:$I$89,3,0)*0.475*44/12</f>
        <v>4.9107040026251597E-24</v>
      </c>
      <c r="FT194" s="22">
        <f t="shared" si="184"/>
        <v>0.14204608116330369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5.6843418860808015E-14</v>
      </c>
      <c r="GA194" s="17">
        <f>FZ194*VLOOKUP('Données projet'!$B$17,Paramètres!$A$1:$I$89,3,0)*VLOOKUP('Données projet'!$B$17,Paramètres!$A$1:$I$89,5,0)</f>
        <v>4.5224624045658861E-14</v>
      </c>
      <c r="GB194" s="13">
        <f t="shared" si="185"/>
        <v>7.4514601661523691E-13</v>
      </c>
      <c r="GC194" s="20">
        <f t="shared" si="186"/>
        <v>1.3765621991510601E-12</v>
      </c>
      <c r="GD194" s="59">
        <f t="shared" si="134"/>
        <v>293.33333333333468</v>
      </c>
      <c r="GE194" s="59">
        <f ca="1">AVERAGE(OFFSET($GD$3,0,0,'Données projet'!$E$17+1,1))-AVERAGE(OFFSET($H$3,0,0,'Données projet'!$E$17+1,1))</f>
        <v>199.58763537752952</v>
      </c>
      <c r="GF194" s="59">
        <f t="shared" si="158"/>
        <v>242.62852778451929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0.11843652867955141</v>
      </c>
      <c r="GN194" s="21">
        <f>EXP(-LN(2)/2)*GN193+(1-EXP(-LN(2)/2))/(LN(2)/2)*GH194*GK194*VLOOKUP('Données projet'!$B$17,Paramètres!$A$1:$I$89,3,0)*0.475*44/12</f>
        <v>6.2944895315468874E-24</v>
      </c>
      <c r="GO194" s="21">
        <f t="shared" si="187"/>
        <v>0.11843652867955141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-5.1431925385259092E-13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153.45079678708987</v>
      </c>
      <c r="T195" s="59">
        <f t="shared" si="142"/>
        <v>115.4217868409637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-5.6843418860808015E-13</v>
      </c>
      <c r="AJ195" s="13">
        <f>AI195*VLOOKUP('Données projet'!$B$10,Paramètres!$A$1:$I$89,3,0)*VLOOKUP('Données projet'!$B$10,Paramètres!$A$1:$I$89,5,0)</f>
        <v>-5.763922672485933E-13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190.21499310415584</v>
      </c>
      <c r="AO195" s="59">
        <f t="shared" si="144"/>
        <v>136.15730566500173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497</v>
      </c>
      <c r="BE195" s="13">
        <f>BD195*VLOOKUP('Données projet'!$B$11,Paramètres!$A$1:$I$89,3,0)*VLOOKUP('Données projet'!$B$11,Paramètres!$A$1:$I$89,5,0)</f>
        <v>297.20600000000002</v>
      </c>
      <c r="BF195" s="13">
        <f t="shared" si="167"/>
        <v>70.590415164571112</v>
      </c>
      <c r="BG195" s="20">
        <f t="shared" si="168"/>
        <v>640.57875641162809</v>
      </c>
      <c r="BH195" s="59">
        <f t="shared" si="116"/>
        <v>933.91208974496135</v>
      </c>
      <c r="BI195" s="59">
        <f ca="1">AVERAGE(OFFSET($BH$3,0,0,'Données projet'!$E$11+1,1))-AVERAGE(OFFSET($H$3,0,0,'Données projet'!$E$11+1,1))</f>
        <v>270.30888762640245</v>
      </c>
      <c r="BJ195" s="59">
        <f t="shared" si="146"/>
        <v>202.23783851977691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8.6587353831701144E-2</v>
      </c>
      <c r="BQ195" s="21">
        <f>EXP(-LN(2)/25)*BQ194+(1-EXP(-LN(2)/25))/(LN(2)/25)*Calculateur!BL195*Calculateur!BN195*VLOOKUP('Données projet'!$B$11,Paramètres!$A$1:$I$89,3,0)*0.475*44/12</f>
        <v>0.13774045534399773</v>
      </c>
      <c r="BR195" s="21">
        <f>EXP(-LN(2)/2)*BR194+(1-EXP(-LN(2)/2))/(LN(2)/2)*BL195*BO195*VLOOKUP('Données projet'!$B$11,Paramètres!$A$1:$I$89,3,0)*0.475*44/12</f>
        <v>7.6483636491267497E-24</v>
      </c>
      <c r="BS195" s="22">
        <f t="shared" si="169"/>
        <v>0.22432780917569889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497</v>
      </c>
      <c r="BZ195" s="13">
        <f>BY195*VLOOKUP('Données projet'!$B$12,Paramètres!$A$1:$I$89,3,0)*VLOOKUP('Données projet'!$B$12,Paramètres!$A$1:$I$89,5,0)</f>
        <v>297.20600000000002</v>
      </c>
      <c r="CA195" s="13">
        <f t="shared" si="170"/>
        <v>70.590415164571112</v>
      </c>
      <c r="CB195" s="20">
        <f t="shared" si="171"/>
        <v>640.57875641162809</v>
      </c>
      <c r="CC195" s="59">
        <f t="shared" si="119"/>
        <v>933.91208974496135</v>
      </c>
      <c r="CD195" s="59">
        <f ca="1">AVERAGE(OFFSET($CC$3,0,0,'Données projet'!$E$12+1,1))-AVERAGE(OFFSET($H$3,0,0,'Données projet'!$E$12+1,1))</f>
        <v>270.30888762640245</v>
      </c>
      <c r="CE195" s="59">
        <f t="shared" si="148"/>
        <v>202.23783851977691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8.6587353831701144E-2</v>
      </c>
      <c r="CL195" s="21">
        <f>EXP(-LN(2)/25)*CL194+(1-EXP(-LN(2)/25))/(LN(2)/25)*Calculateur!CG195*Calculateur!CI195*VLOOKUP('Données projet'!$B$12,Paramètres!$A$1:$I$89,3,0)*0.475*44/12</f>
        <v>0.13774045534399773</v>
      </c>
      <c r="CM195" s="21">
        <f>EXP(-LN(2)/2)*CM194+(1-EXP(-LN(2)/2))/(LN(2)/2)*CG195*CJ195*VLOOKUP('Données projet'!$B$12,Paramètres!$A$1:$I$89,3,0)*0.475*44/12</f>
        <v>7.6483636491267497E-24</v>
      </c>
      <c r="CN195" s="22">
        <f t="shared" si="172"/>
        <v>0.22432780917569889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3.4106051316484809E-13</v>
      </c>
      <c r="CU195" s="17">
        <f>CT195*VLOOKUP('Données projet'!$B$13,Paramètres!$A$1:$I$89,3,0)*VLOOKUP('Données projet'!$B$13,Paramètres!$A$1:$I$89,5,0)</f>
        <v>1.5961632016114892E-13</v>
      </c>
      <c r="CV195" s="13">
        <f t="shared" si="173"/>
        <v>2.2708641912150958E-12</v>
      </c>
      <c r="CW195" s="20">
        <f t="shared" si="174"/>
        <v>4.2330868906469593E-12</v>
      </c>
      <c r="CX195" s="59">
        <f t="shared" si="122"/>
        <v>293.33333333333752</v>
      </c>
      <c r="CY195" s="59">
        <f ca="1">AVERAGE(OFFSET($CX$3,0,0,'Données projet'!$E$13+1,1))-AVERAGE(OFFSET($H$3,0,0,'Données projet'!$E$13+1,1))</f>
        <v>158.58786357608489</v>
      </c>
      <c r="CZ195" s="59">
        <f t="shared" si="150"/>
        <v>163.20074068819849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3.813056537183002E-14</v>
      </c>
      <c r="DQ195" s="13">
        <f t="shared" si="176"/>
        <v>6.4086286045526829E-13</v>
      </c>
      <c r="DR195" s="20">
        <f t="shared" si="177"/>
        <v>1.1825802166488628E-12</v>
      </c>
      <c r="DS195" s="59">
        <f t="shared" si="125"/>
        <v>293.33333333333451</v>
      </c>
      <c r="DT195" s="59">
        <f ca="1">AVERAGE(OFFSET($DS$3,0,0,'Données projet'!$E$14+1,1))-AVERAGE(OFFSET($H$3,0,0,'Données projet'!$E$14+1,1))</f>
        <v>156.63226020379989</v>
      </c>
      <c r="DU195" s="59">
        <f t="shared" si="152"/>
        <v>196.0481096619543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9.7127620582424051E-2</v>
      </c>
      <c r="EC195" s="21">
        <f>EXP(-LN(2)/2)*EC194+(1-EXP(-LN(2)/2))/(LN(2)/2)*DW195*DZ195*VLOOKUP('Données projet'!$B$14,Paramètres!$A$1:$I$89,3,0)*0.475*44/12</f>
        <v>3.7526995680426469E-24</v>
      </c>
      <c r="ED195" s="22">
        <f t="shared" si="178"/>
        <v>9.7127620582424051E-2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-5.6843418860808015E-13</v>
      </c>
      <c r="EK195" s="17">
        <f>EJ195*VLOOKUP('Données projet'!$B$15,Paramètres!$A$1:$I$89,3,0)*VLOOKUP('Données projet'!$B$15,Paramètres!$A$1:$I$89,5,0)</f>
        <v>-6.1186256061773743E-13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211.18501783767226</v>
      </c>
      <c r="EP195" s="59">
        <f t="shared" si="154"/>
        <v>147.98306963466246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498</v>
      </c>
      <c r="FF195" s="17">
        <f>FE195*VLOOKUP('Données projet'!$B$16,Paramètres!$A$1:$I$89,3,0)*VLOOKUP('Données projet'!$B$16,Paramètres!$A$1:$I$89,5,0)</f>
        <v>297.80400000000003</v>
      </c>
      <c r="FG195" s="13">
        <f t="shared" si="182"/>
        <v>70.715900863123025</v>
      </c>
      <c r="FH195" s="20">
        <f t="shared" si="183"/>
        <v>641.83882733660596</v>
      </c>
      <c r="FI195" s="59">
        <f t="shared" si="131"/>
        <v>935.17216066993933</v>
      </c>
      <c r="FJ195" s="59">
        <f ca="1">AVERAGE(OFFSET($FI$3,0,0,'Données projet'!$E$16+1,1))-AVERAGE(OFFSET($H$3,0,0,'Données projet'!$E$16+1,1))</f>
        <v>232.26937455765062</v>
      </c>
      <c r="FK195" s="59">
        <f t="shared" si="156"/>
        <v>115.80853281120301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8.9473598959424541E-2</v>
      </c>
      <c r="FR195" s="21">
        <f>EXP(-LN(2)/25)*FR194+(1-EXP(-LN(2)/25))/(LN(2)/25)*Calculateur!FM195*Calculateur!FO195*VLOOKUP('Données projet'!$B$16,Paramètres!$A$1:$I$89,3,0)*0.475*44/12</f>
        <v>4.9394206076534018E-2</v>
      </c>
      <c r="FS195" s="21">
        <f>EXP(-LN(2)/2)*FS194+(1-EXP(-LN(2)/2))/(LN(2)/2)*FM195*FP195*VLOOKUP('Données projet'!$B$16,Paramètres!$A$1:$I$89,3,0)*0.475*44/12</f>
        <v>3.4723921006561718E-24</v>
      </c>
      <c r="FT195" s="22">
        <f t="shared" si="184"/>
        <v>0.13886780503595855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5.6843418860808015E-14</v>
      </c>
      <c r="GA195" s="17">
        <f>FZ195*VLOOKUP('Données projet'!$B$17,Paramètres!$A$1:$I$89,3,0)*VLOOKUP('Données projet'!$B$17,Paramètres!$A$1:$I$89,5,0)</f>
        <v>4.5224624045658861E-14</v>
      </c>
      <c r="GB195" s="13">
        <f t="shared" si="185"/>
        <v>7.4514601661523691E-13</v>
      </c>
      <c r="GC195" s="20">
        <f t="shared" si="186"/>
        <v>1.3765621991510601E-12</v>
      </c>
      <c r="GD195" s="59">
        <f t="shared" si="134"/>
        <v>293.33333333333468</v>
      </c>
      <c r="GE195" s="59">
        <f ca="1">AVERAGE(OFFSET($GD$3,0,0,'Données projet'!$E$17+1,1))-AVERAGE(OFFSET($H$3,0,0,'Données projet'!$E$17+1,1))</f>
        <v>199.58763537752952</v>
      </c>
      <c r="GF195" s="59">
        <f t="shared" si="158"/>
        <v>242.62852778451929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0.11519787557450273</v>
      </c>
      <c r="GN195" s="21">
        <f>EXP(-LN(2)/2)*GN194+(1-EXP(-LN(2)/2))/(LN(2)/2)*GH195*GK195*VLOOKUP('Données projet'!$B$17,Paramètres!$A$1:$I$89,3,0)*0.475*44/12</f>
        <v>4.4508762318645389E-24</v>
      </c>
      <c r="GO195" s="21">
        <f t="shared" si="187"/>
        <v>0.11519787557450273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-5.1431925385259092E-13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153.45079678708987</v>
      </c>
      <c r="T196" s="59">
        <f t="shared" si="142"/>
        <v>115.4217868409637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-5.6843418860808015E-13</v>
      </c>
      <c r="AJ196" s="13">
        <f>AI196*VLOOKUP('Données projet'!$B$10,Paramètres!$A$1:$I$89,3,0)*VLOOKUP('Données projet'!$B$10,Paramètres!$A$1:$I$89,5,0)</f>
        <v>-5.763922672485933E-13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190.21499310415584</v>
      </c>
      <c r="AO196" s="59">
        <f t="shared" si="144"/>
        <v>136.15730566500173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497</v>
      </c>
      <c r="BE196" s="13">
        <f>BD196*VLOOKUP('Données projet'!$B$11,Paramètres!$A$1:$I$89,3,0)*VLOOKUP('Données projet'!$B$11,Paramètres!$A$1:$I$89,5,0)</f>
        <v>297.20600000000002</v>
      </c>
      <c r="BF196" s="13">
        <f t="shared" si="167"/>
        <v>70.590415164571112</v>
      </c>
      <c r="BG196" s="20">
        <f t="shared" si="168"/>
        <v>640.57875641162809</v>
      </c>
      <c r="BH196" s="59">
        <f t="shared" ref="BH196:BH203" si="194">BG196+(AY196+AZ196)*44/12</f>
        <v>933.91208974496135</v>
      </c>
      <c r="BI196" s="59">
        <f ca="1">AVERAGE(OFFSET($BH$3,0,0,'Données projet'!$E$11+1,1))-AVERAGE(OFFSET($H$3,0,0,'Données projet'!$E$11+1,1))</f>
        <v>270.30888762640245</v>
      </c>
      <c r="BJ196" s="59">
        <f t="shared" si="146"/>
        <v>202.23783851977691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8.4889428636132469E-2</v>
      </c>
      <c r="BQ196" s="21">
        <f>EXP(-LN(2)/25)*BQ195+(1-EXP(-LN(2)/25))/(LN(2)/25)*Calculateur!BL196*Calculateur!BN196*VLOOKUP('Données projet'!$B$11,Paramètres!$A$1:$I$89,3,0)*0.475*44/12</f>
        <v>0.13397393534916038</v>
      </c>
      <c r="BR196" s="21">
        <f>EXP(-LN(2)/2)*BR195+(1-EXP(-LN(2)/2))/(LN(2)/2)*BL196*BO196*VLOOKUP('Données projet'!$B$11,Paramètres!$A$1:$I$89,3,0)*0.475*44/12</f>
        <v>5.4082098012782128E-24</v>
      </c>
      <c r="BS196" s="22">
        <f t="shared" si="169"/>
        <v>0.21886336398529285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497</v>
      </c>
      <c r="BZ196" s="13">
        <f>BY196*VLOOKUP('Données projet'!$B$12,Paramètres!$A$1:$I$89,3,0)*VLOOKUP('Données projet'!$B$12,Paramètres!$A$1:$I$89,5,0)</f>
        <v>297.20600000000002</v>
      </c>
      <c r="CA196" s="13">
        <f t="shared" si="170"/>
        <v>70.590415164571112</v>
      </c>
      <c r="CB196" s="20">
        <f t="shared" si="171"/>
        <v>640.57875641162809</v>
      </c>
      <c r="CC196" s="59">
        <f t="shared" ref="CC196:CC203" si="195">CB196+(BT196+BU196)*44/12</f>
        <v>933.91208974496135</v>
      </c>
      <c r="CD196" s="59">
        <f ca="1">AVERAGE(OFFSET($CC$3,0,0,'Données projet'!$E$12+1,1))-AVERAGE(OFFSET($H$3,0,0,'Données projet'!$E$12+1,1))</f>
        <v>270.30888762640245</v>
      </c>
      <c r="CE196" s="59">
        <f t="shared" si="148"/>
        <v>202.23783851977691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8.4889428636132469E-2</v>
      </c>
      <c r="CL196" s="21">
        <f>EXP(-LN(2)/25)*CL195+(1-EXP(-LN(2)/25))/(LN(2)/25)*Calculateur!CG196*Calculateur!CI196*VLOOKUP('Données projet'!$B$12,Paramètres!$A$1:$I$89,3,0)*0.475*44/12</f>
        <v>0.13397393534916038</v>
      </c>
      <c r="CM196" s="21">
        <f>EXP(-LN(2)/2)*CM195+(1-EXP(-LN(2)/2))/(LN(2)/2)*CG196*CJ196*VLOOKUP('Données projet'!$B$12,Paramètres!$A$1:$I$89,3,0)*0.475*44/12</f>
        <v>5.4082098012782128E-24</v>
      </c>
      <c r="CN196" s="22">
        <f t="shared" si="172"/>
        <v>0.21886336398529285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3.4106051316484809E-13</v>
      </c>
      <c r="CU196" s="17">
        <f>CT196*VLOOKUP('Données projet'!$B$13,Paramètres!$A$1:$I$89,3,0)*VLOOKUP('Données projet'!$B$13,Paramètres!$A$1:$I$89,5,0)</f>
        <v>1.5961632016114892E-13</v>
      </c>
      <c r="CV196" s="13">
        <f t="shared" si="173"/>
        <v>2.2708641912150958E-12</v>
      </c>
      <c r="CW196" s="20">
        <f t="shared" si="174"/>
        <v>4.2330868906469593E-12</v>
      </c>
      <c r="CX196" s="59">
        <f t="shared" ref="CX196:CX203" si="196">CW196+(CO196+CP196)*44/12</f>
        <v>293.33333333333752</v>
      </c>
      <c r="CY196" s="59">
        <f ca="1">AVERAGE(OFFSET($CX$3,0,0,'Données projet'!$E$13+1,1))-AVERAGE(OFFSET($H$3,0,0,'Données projet'!$E$13+1,1))</f>
        <v>158.58786357608489</v>
      </c>
      <c r="CZ196" s="59">
        <f t="shared" si="150"/>
        <v>163.20074068819849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3.813056537183002E-14</v>
      </c>
      <c r="DQ196" s="13">
        <f t="shared" si="176"/>
        <v>6.4086286045526829E-13</v>
      </c>
      <c r="DR196" s="20">
        <f t="shared" si="177"/>
        <v>1.1825802166488628E-12</v>
      </c>
      <c r="DS196" s="59">
        <f t="shared" ref="DS196:DS203" si="197">DR196+(DJ196+DK196)*44/12</f>
        <v>293.33333333333451</v>
      </c>
      <c r="DT196" s="59">
        <f ca="1">AVERAGE(OFFSET($DS$3,0,0,'Données projet'!$E$14+1,1))-AVERAGE(OFFSET($H$3,0,0,'Données projet'!$E$14+1,1))</f>
        <v>156.63226020379989</v>
      </c>
      <c r="DU196" s="59">
        <f t="shared" si="152"/>
        <v>196.0481096619543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9.4471660689878084E-2</v>
      </c>
      <c r="EC196" s="21">
        <f>EXP(-LN(2)/2)*EC195+(1-EXP(-LN(2)/2))/(LN(2)/2)*DW196*DZ196*VLOOKUP('Données projet'!$B$14,Paramètres!$A$1:$I$89,3,0)*0.475*44/12</f>
        <v>2.6535593123187833E-24</v>
      </c>
      <c r="ED196" s="22">
        <f t="shared" si="178"/>
        <v>9.4471660689878084E-2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-5.6843418860808015E-13</v>
      </c>
      <c r="EK196" s="17">
        <f>EJ196*VLOOKUP('Données projet'!$B$15,Paramètres!$A$1:$I$89,3,0)*VLOOKUP('Données projet'!$B$15,Paramètres!$A$1:$I$89,5,0)</f>
        <v>-6.1186256061773743E-13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211.18501783767226</v>
      </c>
      <c r="EP196" s="59">
        <f t="shared" si="154"/>
        <v>147.98306963466246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498</v>
      </c>
      <c r="FF196" s="17">
        <f>FE196*VLOOKUP('Données projet'!$B$16,Paramètres!$A$1:$I$89,3,0)*VLOOKUP('Données projet'!$B$16,Paramètres!$A$1:$I$89,5,0)</f>
        <v>297.80400000000003</v>
      </c>
      <c r="FG196" s="13">
        <f t="shared" si="182"/>
        <v>70.715900863123025</v>
      </c>
      <c r="FH196" s="20">
        <f t="shared" si="183"/>
        <v>641.83882733660596</v>
      </c>
      <c r="FI196" s="59">
        <f t="shared" ref="FI196:FI203" si="199">FH196+(EZ196+FA196)*44/12</f>
        <v>935.17216066993933</v>
      </c>
      <c r="FJ196" s="59">
        <f ca="1">AVERAGE(OFFSET($FI$3,0,0,'Données projet'!$E$16+1,1))-AVERAGE(OFFSET($H$3,0,0,'Données projet'!$E$16+1,1))</f>
        <v>232.26937455765062</v>
      </c>
      <c r="FK196" s="59">
        <f t="shared" si="156"/>
        <v>115.80853281120301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8.7719076257336909E-2</v>
      </c>
      <c r="FR196" s="21">
        <f>EXP(-LN(2)/25)*FR195+(1-EXP(-LN(2)/25))/(LN(2)/25)*Calculateur!FM196*Calculateur!FO196*VLOOKUP('Données projet'!$B$16,Paramètres!$A$1:$I$89,3,0)*0.475*44/12</f>
        <v>4.8043518913842786E-2</v>
      </c>
      <c r="FS196" s="21">
        <f>EXP(-LN(2)/2)*FS195+(1-EXP(-LN(2)/2))/(LN(2)/2)*FM196*FP196*VLOOKUP('Données projet'!$B$16,Paramètres!$A$1:$I$89,3,0)*0.475*44/12</f>
        <v>2.4553520013125798E-24</v>
      </c>
      <c r="FT196" s="22">
        <f t="shared" si="184"/>
        <v>0.1357625951711797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5.6843418860808015E-14</v>
      </c>
      <c r="GA196" s="17">
        <f>FZ196*VLOOKUP('Données projet'!$B$17,Paramètres!$A$1:$I$89,3,0)*VLOOKUP('Données projet'!$B$17,Paramètres!$A$1:$I$89,5,0)</f>
        <v>4.5224624045658861E-14</v>
      </c>
      <c r="GB196" s="13">
        <f t="shared" si="185"/>
        <v>7.4514601661523691E-13</v>
      </c>
      <c r="GC196" s="20">
        <f t="shared" si="186"/>
        <v>1.3765621991510601E-12</v>
      </c>
      <c r="GD196" s="59">
        <f t="shared" ref="GD196:GD203" si="200">GC196+(FU196+FV196)*44/12</f>
        <v>293.33333333333468</v>
      </c>
      <c r="GE196" s="59">
        <f ca="1">AVERAGE(OFFSET($GD$3,0,0,'Données projet'!$E$17+1,1))-AVERAGE(OFFSET($H$3,0,0,'Données projet'!$E$17+1,1))</f>
        <v>199.58763537752952</v>
      </c>
      <c r="GF196" s="59">
        <f t="shared" si="158"/>
        <v>242.62852778451929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0.11204778360892496</v>
      </c>
      <c r="GN196" s="21">
        <f>EXP(-LN(2)/2)*GN195+(1-EXP(-LN(2)/2))/(LN(2)/2)*GH196*GK196*VLOOKUP('Données projet'!$B$17,Paramètres!$A$1:$I$89,3,0)*0.475*44/12</f>
        <v>3.1472447657734437E-24</v>
      </c>
      <c r="GO196" s="21">
        <f t="shared" si="187"/>
        <v>0.11204778360892496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-5.1431925385259092E-13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153.45079678708987</v>
      </c>
      <c r="T197" s="59">
        <f t="shared" ref="T197:T203" si="204">$T$3</f>
        <v>115.4217868409637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-5.6843418860808015E-13</v>
      </c>
      <c r="AJ197" s="13">
        <f>AI197*VLOOKUP('Données projet'!$B$10,Paramètres!$A$1:$I$89,3,0)*VLOOKUP('Données projet'!$B$10,Paramètres!$A$1:$I$89,5,0)</f>
        <v>-5.763922672485933E-13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190.21499310415584</v>
      </c>
      <c r="AO197" s="59">
        <f t="shared" ref="AO197:AO203" si="205">$AO$3</f>
        <v>136.15730566500173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497</v>
      </c>
      <c r="BE197" s="13">
        <f>BD197*VLOOKUP('Données projet'!$B$11,Paramètres!$A$1:$I$89,3,0)*VLOOKUP('Données projet'!$B$11,Paramètres!$A$1:$I$89,5,0)</f>
        <v>297.20600000000002</v>
      </c>
      <c r="BF197" s="13">
        <f t="shared" si="167"/>
        <v>70.590415164571112</v>
      </c>
      <c r="BG197" s="20">
        <f t="shared" si="168"/>
        <v>640.57875641162809</v>
      </c>
      <c r="BH197" s="59">
        <f t="shared" si="194"/>
        <v>933.91208974496135</v>
      </c>
      <c r="BI197" s="59">
        <f ca="1">AVERAGE(OFFSET($BH$3,0,0,'Données projet'!$E$11+1,1))-AVERAGE(OFFSET($H$3,0,0,'Données projet'!$E$11+1,1))</f>
        <v>270.30888762640245</v>
      </c>
      <c r="BJ197" s="59">
        <f t="shared" ref="BJ197:BJ203" si="206">$BJ$3</f>
        <v>202.23783851977691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8.3224798718016788E-2</v>
      </c>
      <c r="BQ197" s="21">
        <f>EXP(-LN(2)/25)*BQ196+(1-EXP(-LN(2)/25))/(LN(2)/25)*Calculateur!BL197*Calculateur!BN197*VLOOKUP('Données projet'!$B$11,Paramètres!$A$1:$I$89,3,0)*0.475*44/12</f>
        <v>0.13031041104165453</v>
      </c>
      <c r="BR197" s="21">
        <f>EXP(-LN(2)/2)*BR196+(1-EXP(-LN(2)/2))/(LN(2)/2)*BL197*BO197*VLOOKUP('Données projet'!$B$11,Paramètres!$A$1:$I$89,3,0)*0.475*44/12</f>
        <v>3.8241818245633749E-24</v>
      </c>
      <c r="BS197" s="22">
        <f t="shared" si="169"/>
        <v>0.21353520975967133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497</v>
      </c>
      <c r="BZ197" s="13">
        <f>BY197*VLOOKUP('Données projet'!$B$12,Paramètres!$A$1:$I$89,3,0)*VLOOKUP('Données projet'!$B$12,Paramètres!$A$1:$I$89,5,0)</f>
        <v>297.20600000000002</v>
      </c>
      <c r="CA197" s="13">
        <f t="shared" si="170"/>
        <v>70.590415164571112</v>
      </c>
      <c r="CB197" s="20">
        <f t="shared" si="171"/>
        <v>640.57875641162809</v>
      </c>
      <c r="CC197" s="59">
        <f t="shared" si="195"/>
        <v>933.91208974496135</v>
      </c>
      <c r="CD197" s="59">
        <f ca="1">AVERAGE(OFFSET($CC$3,0,0,'Données projet'!$E$12+1,1))-AVERAGE(OFFSET($H$3,0,0,'Données projet'!$E$12+1,1))</f>
        <v>270.30888762640245</v>
      </c>
      <c r="CE197" s="59">
        <f t="shared" ref="CE197:CE203" si="207">$CE$3</f>
        <v>202.23783851977691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8.3224798718016788E-2</v>
      </c>
      <c r="CL197" s="21">
        <f>EXP(-LN(2)/25)*CL196+(1-EXP(-LN(2)/25))/(LN(2)/25)*Calculateur!CG197*Calculateur!CI197*VLOOKUP('Données projet'!$B$12,Paramètres!$A$1:$I$89,3,0)*0.475*44/12</f>
        <v>0.13031041104165453</v>
      </c>
      <c r="CM197" s="21">
        <f>EXP(-LN(2)/2)*CM196+(1-EXP(-LN(2)/2))/(LN(2)/2)*CG197*CJ197*VLOOKUP('Données projet'!$B$12,Paramètres!$A$1:$I$89,3,0)*0.475*44/12</f>
        <v>3.8241818245633749E-24</v>
      </c>
      <c r="CN197" s="22">
        <f t="shared" si="172"/>
        <v>0.21353520975967133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3.4106051316484809E-13</v>
      </c>
      <c r="CU197" s="17">
        <f>CT197*VLOOKUP('Données projet'!$B$13,Paramètres!$A$1:$I$89,3,0)*VLOOKUP('Données projet'!$B$13,Paramètres!$A$1:$I$89,5,0)</f>
        <v>1.5961632016114892E-13</v>
      </c>
      <c r="CV197" s="13">
        <f t="shared" si="173"/>
        <v>2.2708641912150958E-12</v>
      </c>
      <c r="CW197" s="20">
        <f t="shared" si="174"/>
        <v>4.2330868906469593E-12</v>
      </c>
      <c r="CX197" s="59">
        <f t="shared" si="196"/>
        <v>293.33333333333752</v>
      </c>
      <c r="CY197" s="59">
        <f ca="1">AVERAGE(OFFSET($CX$3,0,0,'Données projet'!$E$13+1,1))-AVERAGE(OFFSET($H$3,0,0,'Données projet'!$E$13+1,1))</f>
        <v>158.58786357608489</v>
      </c>
      <c r="CZ197" s="59">
        <f t="shared" ref="CZ197:CZ203" si="208">$CZ$3</f>
        <v>163.20074068819849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3.813056537183002E-14</v>
      </c>
      <c r="DQ197" s="13">
        <f t="shared" si="176"/>
        <v>6.4086286045526829E-13</v>
      </c>
      <c r="DR197" s="20">
        <f t="shared" si="177"/>
        <v>1.1825802166488628E-12</v>
      </c>
      <c r="DS197" s="59">
        <f t="shared" si="197"/>
        <v>293.33333333333451</v>
      </c>
      <c r="DT197" s="59">
        <f ca="1">AVERAGE(OFFSET($DS$3,0,0,'Données projet'!$E$14+1,1))-AVERAGE(OFFSET($H$3,0,0,'Données projet'!$E$14+1,1))</f>
        <v>156.63226020379989</v>
      </c>
      <c r="DU197" s="59">
        <f t="shared" ref="DU197:DU203" si="209">$DU$3</f>
        <v>196.0481096619543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9.1888328160264654E-2</v>
      </c>
      <c r="EC197" s="21">
        <f>EXP(-LN(2)/2)*EC196+(1-EXP(-LN(2)/2))/(LN(2)/2)*DW197*DZ197*VLOOKUP('Données projet'!$B$14,Paramètres!$A$1:$I$89,3,0)*0.475*44/12</f>
        <v>1.8763497840213234E-24</v>
      </c>
      <c r="ED197" s="22">
        <f t="shared" si="178"/>
        <v>9.1888328160264654E-2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-5.6843418860808015E-13</v>
      </c>
      <c r="EK197" s="17">
        <f>EJ197*VLOOKUP('Données projet'!$B$15,Paramètres!$A$1:$I$89,3,0)*VLOOKUP('Données projet'!$B$15,Paramètres!$A$1:$I$89,5,0)</f>
        <v>-6.1186256061773743E-13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211.18501783767226</v>
      </c>
      <c r="EP197" s="59">
        <f t="shared" ref="EP197:EP203" si="210">$EP$3</f>
        <v>147.98306963466246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498</v>
      </c>
      <c r="FF197" s="17">
        <f>FE197*VLOOKUP('Données projet'!$B$16,Paramètres!$A$1:$I$89,3,0)*VLOOKUP('Données projet'!$B$16,Paramètres!$A$1:$I$89,5,0)</f>
        <v>297.80400000000003</v>
      </c>
      <c r="FG197" s="13">
        <f t="shared" si="182"/>
        <v>70.715900863123025</v>
      </c>
      <c r="FH197" s="20">
        <f t="shared" si="183"/>
        <v>641.83882733660596</v>
      </c>
      <c r="FI197" s="59">
        <f t="shared" si="199"/>
        <v>935.17216066993933</v>
      </c>
      <c r="FJ197" s="59">
        <f ca="1">AVERAGE(OFFSET($FI$3,0,0,'Données projet'!$E$16+1,1))-AVERAGE(OFFSET($H$3,0,0,'Données projet'!$E$16+1,1))</f>
        <v>232.26937455765062</v>
      </c>
      <c r="FK197" s="59">
        <f t="shared" ref="FK197:FK203" si="211">$FK$3</f>
        <v>115.80853281120301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8.5998958675284037E-2</v>
      </c>
      <c r="FR197" s="21">
        <f>EXP(-LN(2)/25)*FR196+(1-EXP(-LN(2)/25))/(LN(2)/25)*Calculateur!FM197*Calculateur!FO197*VLOOKUP('Données projet'!$B$16,Paramètres!$A$1:$I$89,3,0)*0.475*44/12</f>
        <v>4.6729766362644899E-2</v>
      </c>
      <c r="FS197" s="21">
        <f>EXP(-LN(2)/2)*FS196+(1-EXP(-LN(2)/2))/(LN(2)/2)*FM197*FP197*VLOOKUP('Données projet'!$B$16,Paramètres!$A$1:$I$89,3,0)*0.475*44/12</f>
        <v>1.7361960503280859E-24</v>
      </c>
      <c r="FT197" s="22">
        <f t="shared" si="184"/>
        <v>0.13272872503792893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5.6843418860808015E-14</v>
      </c>
      <c r="GA197" s="17">
        <f>FZ197*VLOOKUP('Données projet'!$B$17,Paramètres!$A$1:$I$89,3,0)*VLOOKUP('Données projet'!$B$17,Paramètres!$A$1:$I$89,5,0)</f>
        <v>4.5224624045658861E-14</v>
      </c>
      <c r="GB197" s="13">
        <f t="shared" si="185"/>
        <v>7.4514601661523691E-13</v>
      </c>
      <c r="GC197" s="20">
        <f t="shared" si="186"/>
        <v>1.3765621991510601E-12</v>
      </c>
      <c r="GD197" s="59">
        <f t="shared" si="200"/>
        <v>293.33333333333468</v>
      </c>
      <c r="GE197" s="59">
        <f ca="1">AVERAGE(OFFSET($GD$3,0,0,'Données projet'!$E$17+1,1))-AVERAGE(OFFSET($H$3,0,0,'Données projet'!$E$17+1,1))</f>
        <v>199.58763537752952</v>
      </c>
      <c r="GF197" s="59">
        <f t="shared" ref="GF197:GF203" si="212">$GF$3</f>
        <v>242.62852778451929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0.10898383107380206</v>
      </c>
      <c r="GN197" s="21">
        <f>EXP(-LN(2)/2)*GN196+(1-EXP(-LN(2)/2))/(LN(2)/2)*GH197*GK197*VLOOKUP('Données projet'!$B$17,Paramètres!$A$1:$I$89,3,0)*0.475*44/12</f>
        <v>2.2254381159322694E-24</v>
      </c>
      <c r="GO197" s="21">
        <f t="shared" si="187"/>
        <v>0.10898383107380206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-5.1431925385259092E-13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153.45079678708987</v>
      </c>
      <c r="T198" s="59">
        <f t="shared" si="204"/>
        <v>115.4217868409637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-5.6843418860808015E-13</v>
      </c>
      <c r="AJ198" s="13">
        <f>AI198*VLOOKUP('Données projet'!$B$10,Paramètres!$A$1:$I$89,3,0)*VLOOKUP('Données projet'!$B$10,Paramètres!$A$1:$I$89,5,0)</f>
        <v>-5.763922672485933E-13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190.21499310415584</v>
      </c>
      <c r="AO198" s="59">
        <f t="shared" si="205"/>
        <v>136.15730566500173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497</v>
      </c>
      <c r="BE198" s="13">
        <f>BD198*VLOOKUP('Données projet'!$B$11,Paramètres!$A$1:$I$89,3,0)*VLOOKUP('Données projet'!$B$11,Paramètres!$A$1:$I$89,5,0)</f>
        <v>297.20600000000002</v>
      </c>
      <c r="BF198" s="13">
        <f t="shared" si="167"/>
        <v>70.590415164571112</v>
      </c>
      <c r="BG198" s="20">
        <f t="shared" si="168"/>
        <v>640.57875641162809</v>
      </c>
      <c r="BH198" s="59">
        <f t="shared" si="194"/>
        <v>933.91208974496135</v>
      </c>
      <c r="BI198" s="59">
        <f ca="1">AVERAGE(OFFSET($BH$3,0,0,'Données projet'!$E$11+1,1))-AVERAGE(OFFSET($H$3,0,0,'Données projet'!$E$11+1,1))</f>
        <v>270.30888762640245</v>
      </c>
      <c r="BJ198" s="59">
        <f t="shared" si="206"/>
        <v>202.23783851977691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8.1592811177271352E-2</v>
      </c>
      <c r="BQ198" s="21">
        <f>EXP(-LN(2)/25)*BQ197+(1-EXP(-LN(2)/25))/(LN(2)/25)*Calculateur!BL198*Calculateur!BN198*VLOOKUP('Données projet'!$B$11,Paramètres!$A$1:$I$89,3,0)*0.475*44/12</f>
        <v>0.1267470659989938</v>
      </c>
      <c r="BR198" s="21">
        <f>EXP(-LN(2)/2)*BR197+(1-EXP(-LN(2)/2))/(LN(2)/2)*BL198*BO198*VLOOKUP('Données projet'!$B$11,Paramètres!$A$1:$I$89,3,0)*0.475*44/12</f>
        <v>2.7041049006391064E-24</v>
      </c>
      <c r="BS198" s="22">
        <f t="shared" si="169"/>
        <v>0.20833987717626515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497</v>
      </c>
      <c r="BZ198" s="13">
        <f>BY198*VLOOKUP('Données projet'!$B$12,Paramètres!$A$1:$I$89,3,0)*VLOOKUP('Données projet'!$B$12,Paramètres!$A$1:$I$89,5,0)</f>
        <v>297.20600000000002</v>
      </c>
      <c r="CA198" s="13">
        <f t="shared" si="170"/>
        <v>70.590415164571112</v>
      </c>
      <c r="CB198" s="20">
        <f t="shared" si="171"/>
        <v>640.57875641162809</v>
      </c>
      <c r="CC198" s="59">
        <f t="shared" si="195"/>
        <v>933.91208974496135</v>
      </c>
      <c r="CD198" s="59">
        <f ca="1">AVERAGE(OFFSET($CC$3,0,0,'Données projet'!$E$12+1,1))-AVERAGE(OFFSET($H$3,0,0,'Données projet'!$E$12+1,1))</f>
        <v>270.30888762640245</v>
      </c>
      <c r="CE198" s="59">
        <f t="shared" si="207"/>
        <v>202.23783851977691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8.1592811177271352E-2</v>
      </c>
      <c r="CL198" s="21">
        <f>EXP(-LN(2)/25)*CL197+(1-EXP(-LN(2)/25))/(LN(2)/25)*Calculateur!CG198*Calculateur!CI198*VLOOKUP('Données projet'!$B$12,Paramètres!$A$1:$I$89,3,0)*0.475*44/12</f>
        <v>0.1267470659989938</v>
      </c>
      <c r="CM198" s="21">
        <f>EXP(-LN(2)/2)*CM197+(1-EXP(-LN(2)/2))/(LN(2)/2)*CG198*CJ198*VLOOKUP('Données projet'!$B$12,Paramètres!$A$1:$I$89,3,0)*0.475*44/12</f>
        <v>2.7041049006391064E-24</v>
      </c>
      <c r="CN198" s="22">
        <f t="shared" si="172"/>
        <v>0.20833987717626515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3.4106051316484809E-13</v>
      </c>
      <c r="CU198" s="17">
        <f>CT198*VLOOKUP('Données projet'!$B$13,Paramètres!$A$1:$I$89,3,0)*VLOOKUP('Données projet'!$B$13,Paramètres!$A$1:$I$89,5,0)</f>
        <v>1.5961632016114892E-13</v>
      </c>
      <c r="CV198" s="13">
        <f t="shared" si="173"/>
        <v>2.2708641912150958E-12</v>
      </c>
      <c r="CW198" s="20">
        <f t="shared" si="174"/>
        <v>4.2330868906469593E-12</v>
      </c>
      <c r="CX198" s="59">
        <f t="shared" si="196"/>
        <v>293.33333333333752</v>
      </c>
      <c r="CY198" s="59">
        <f ca="1">AVERAGE(OFFSET($CX$3,0,0,'Données projet'!$E$13+1,1))-AVERAGE(OFFSET($H$3,0,0,'Données projet'!$E$13+1,1))</f>
        <v>158.58786357608489</v>
      </c>
      <c r="CZ198" s="59">
        <f t="shared" si="208"/>
        <v>163.20074068819849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3.813056537183002E-14</v>
      </c>
      <c r="DQ198" s="13">
        <f t="shared" si="176"/>
        <v>6.4086286045526829E-13</v>
      </c>
      <c r="DR198" s="20">
        <f t="shared" si="177"/>
        <v>1.1825802166488628E-12</v>
      </c>
      <c r="DS198" s="59">
        <f t="shared" si="197"/>
        <v>293.33333333333451</v>
      </c>
      <c r="DT198" s="59">
        <f ca="1">AVERAGE(OFFSET($DS$3,0,0,'Données projet'!$E$14+1,1))-AVERAGE(OFFSET($H$3,0,0,'Données projet'!$E$14+1,1))</f>
        <v>156.63226020379989</v>
      </c>
      <c r="DU198" s="59">
        <f t="shared" si="209"/>
        <v>196.0481096619543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8.9375636994525054E-2</v>
      </c>
      <c r="EC198" s="21">
        <f>EXP(-LN(2)/2)*EC197+(1-EXP(-LN(2)/2))/(LN(2)/2)*DW198*DZ198*VLOOKUP('Données projet'!$B$14,Paramètres!$A$1:$I$89,3,0)*0.475*44/12</f>
        <v>1.3267796561593917E-24</v>
      </c>
      <c r="ED198" s="22">
        <f t="shared" si="178"/>
        <v>8.9375636994525054E-2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-5.6843418860808015E-13</v>
      </c>
      <c r="EK198" s="17">
        <f>EJ198*VLOOKUP('Données projet'!$B$15,Paramètres!$A$1:$I$89,3,0)*VLOOKUP('Données projet'!$B$15,Paramètres!$A$1:$I$89,5,0)</f>
        <v>-6.1186256061773743E-13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211.18501783767226</v>
      </c>
      <c r="EP198" s="59">
        <f t="shared" si="210"/>
        <v>147.98306963466246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498</v>
      </c>
      <c r="FF198" s="17">
        <f>FE198*VLOOKUP('Données projet'!$B$16,Paramètres!$A$1:$I$89,3,0)*VLOOKUP('Données projet'!$B$16,Paramètres!$A$1:$I$89,5,0)</f>
        <v>297.80400000000003</v>
      </c>
      <c r="FG198" s="13">
        <f t="shared" si="182"/>
        <v>70.715900863123025</v>
      </c>
      <c r="FH198" s="20">
        <f t="shared" si="183"/>
        <v>641.83882733660596</v>
      </c>
      <c r="FI198" s="59">
        <f t="shared" si="199"/>
        <v>935.17216066993933</v>
      </c>
      <c r="FJ198" s="59">
        <f ca="1">AVERAGE(OFFSET($FI$3,0,0,'Données projet'!$E$16+1,1))-AVERAGE(OFFSET($H$3,0,0,'Données projet'!$E$16+1,1))</f>
        <v>232.26937455765062</v>
      </c>
      <c r="FK198" s="59">
        <f t="shared" si="211"/>
        <v>115.80853281120301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8.4312571549847087E-2</v>
      </c>
      <c r="FR198" s="21">
        <f>EXP(-LN(2)/25)*FR197+(1-EXP(-LN(2)/25))/(LN(2)/25)*Calculateur!FM198*Calculateur!FO198*VLOOKUP('Données projet'!$B$16,Paramètres!$A$1:$I$89,3,0)*0.475*44/12</f>
        <v>4.5451938444046762E-2</v>
      </c>
      <c r="FS198" s="21">
        <f>EXP(-LN(2)/2)*FS197+(1-EXP(-LN(2)/2))/(LN(2)/2)*FM198*FP198*VLOOKUP('Données projet'!$B$16,Paramètres!$A$1:$I$89,3,0)*0.475*44/12</f>
        <v>1.2276760006562899E-24</v>
      </c>
      <c r="FT198" s="22">
        <f t="shared" si="184"/>
        <v>0.12976450999389386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5.6843418860808015E-14</v>
      </c>
      <c r="GA198" s="17">
        <f>FZ198*VLOOKUP('Données projet'!$B$17,Paramètres!$A$1:$I$89,3,0)*VLOOKUP('Données projet'!$B$17,Paramètres!$A$1:$I$89,5,0)</f>
        <v>4.5224624045658861E-14</v>
      </c>
      <c r="GB198" s="13">
        <f t="shared" si="185"/>
        <v>7.4514601661523691E-13</v>
      </c>
      <c r="GC198" s="20">
        <f t="shared" si="186"/>
        <v>1.3765621991510601E-12</v>
      </c>
      <c r="GD198" s="59">
        <f t="shared" si="200"/>
        <v>293.33333333333468</v>
      </c>
      <c r="GE198" s="59">
        <f ca="1">AVERAGE(OFFSET($GD$3,0,0,'Données projet'!$E$17+1,1))-AVERAGE(OFFSET($H$3,0,0,'Données projet'!$E$17+1,1))</f>
        <v>199.58763537752952</v>
      </c>
      <c r="GF198" s="59">
        <f t="shared" si="212"/>
        <v>242.62852778451929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0.10600366248187836</v>
      </c>
      <c r="GN198" s="21">
        <f>EXP(-LN(2)/2)*GN197+(1-EXP(-LN(2)/2))/(LN(2)/2)*GH198*GK198*VLOOKUP('Données projet'!$B$17,Paramètres!$A$1:$I$89,3,0)*0.475*44/12</f>
        <v>1.5736223828867218E-24</v>
      </c>
      <c r="GO198" s="21">
        <f t="shared" si="187"/>
        <v>0.10600366248187836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-5.1431925385259092E-13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153.45079678708987</v>
      </c>
      <c r="T199" s="59">
        <f t="shared" si="204"/>
        <v>115.4217868409637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-5.6843418860808015E-13</v>
      </c>
      <c r="AJ199" s="13">
        <f>AI199*VLOOKUP('Données projet'!$B$10,Paramètres!$A$1:$I$89,3,0)*VLOOKUP('Données projet'!$B$10,Paramètres!$A$1:$I$89,5,0)</f>
        <v>-5.763922672485933E-13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190.21499310415584</v>
      </c>
      <c r="AO199" s="59">
        <f t="shared" si="205"/>
        <v>136.15730566500173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497</v>
      </c>
      <c r="BE199" s="13">
        <f>BD199*VLOOKUP('Données projet'!$B$11,Paramètres!$A$1:$I$89,3,0)*VLOOKUP('Données projet'!$B$11,Paramètres!$A$1:$I$89,5,0)</f>
        <v>297.20600000000002</v>
      </c>
      <c r="BF199" s="13">
        <f t="shared" si="167"/>
        <v>70.590415164571112</v>
      </c>
      <c r="BG199" s="20">
        <f t="shared" si="168"/>
        <v>640.57875641162809</v>
      </c>
      <c r="BH199" s="59">
        <f t="shared" si="194"/>
        <v>933.91208974496135</v>
      </c>
      <c r="BI199" s="59">
        <f ca="1">AVERAGE(OFFSET($BH$3,0,0,'Données projet'!$E$11+1,1))-AVERAGE(OFFSET($H$3,0,0,'Données projet'!$E$11+1,1))</f>
        <v>270.30888762640245</v>
      </c>
      <c r="BJ199" s="59">
        <f t="shared" si="206"/>
        <v>202.23783851977691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7.9992825916785831E-2</v>
      </c>
      <c r="BQ199" s="21">
        <f>EXP(-LN(2)/25)*BQ198+(1-EXP(-LN(2)/25))/(LN(2)/25)*Calculateur!BL199*Calculateur!BN199*VLOOKUP('Données projet'!$B$11,Paramètres!$A$1:$I$89,3,0)*0.475*44/12</f>
        <v>0.1232811608139128</v>
      </c>
      <c r="BR199" s="21">
        <f>EXP(-LN(2)/2)*BR198+(1-EXP(-LN(2)/2))/(LN(2)/2)*BL199*BO199*VLOOKUP('Données projet'!$B$11,Paramètres!$A$1:$I$89,3,0)*0.475*44/12</f>
        <v>1.9120909122816874E-24</v>
      </c>
      <c r="BS199" s="22">
        <f t="shared" si="169"/>
        <v>0.20327398673069863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497</v>
      </c>
      <c r="BZ199" s="13">
        <f>BY199*VLOOKUP('Données projet'!$B$12,Paramètres!$A$1:$I$89,3,0)*VLOOKUP('Données projet'!$B$12,Paramètres!$A$1:$I$89,5,0)</f>
        <v>297.20600000000002</v>
      </c>
      <c r="CA199" s="13">
        <f t="shared" si="170"/>
        <v>70.590415164571112</v>
      </c>
      <c r="CB199" s="20">
        <f t="shared" si="171"/>
        <v>640.57875641162809</v>
      </c>
      <c r="CC199" s="59">
        <f t="shared" si="195"/>
        <v>933.91208974496135</v>
      </c>
      <c r="CD199" s="59">
        <f ca="1">AVERAGE(OFFSET($CC$3,0,0,'Données projet'!$E$12+1,1))-AVERAGE(OFFSET($H$3,0,0,'Données projet'!$E$12+1,1))</f>
        <v>270.30888762640245</v>
      </c>
      <c r="CE199" s="59">
        <f t="shared" si="207"/>
        <v>202.23783851977691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7.9992825916785831E-2</v>
      </c>
      <c r="CL199" s="21">
        <f>EXP(-LN(2)/25)*CL198+(1-EXP(-LN(2)/25))/(LN(2)/25)*Calculateur!CG199*Calculateur!CI199*VLOOKUP('Données projet'!$B$12,Paramètres!$A$1:$I$89,3,0)*0.475*44/12</f>
        <v>0.1232811608139128</v>
      </c>
      <c r="CM199" s="21">
        <f>EXP(-LN(2)/2)*CM198+(1-EXP(-LN(2)/2))/(LN(2)/2)*CG199*CJ199*VLOOKUP('Données projet'!$B$12,Paramètres!$A$1:$I$89,3,0)*0.475*44/12</f>
        <v>1.9120909122816874E-24</v>
      </c>
      <c r="CN199" s="22">
        <f t="shared" si="172"/>
        <v>0.20327398673069863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3.4106051316484809E-13</v>
      </c>
      <c r="CU199" s="17">
        <f>CT199*VLOOKUP('Données projet'!$B$13,Paramètres!$A$1:$I$89,3,0)*VLOOKUP('Données projet'!$B$13,Paramètres!$A$1:$I$89,5,0)</f>
        <v>1.5961632016114892E-13</v>
      </c>
      <c r="CV199" s="13">
        <f t="shared" si="173"/>
        <v>2.2708641912150958E-12</v>
      </c>
      <c r="CW199" s="20">
        <f t="shared" si="174"/>
        <v>4.2330868906469593E-12</v>
      </c>
      <c r="CX199" s="59">
        <f t="shared" si="196"/>
        <v>293.33333333333752</v>
      </c>
      <c r="CY199" s="59">
        <f ca="1">AVERAGE(OFFSET($CX$3,0,0,'Données projet'!$E$13+1,1))-AVERAGE(OFFSET($H$3,0,0,'Données projet'!$E$13+1,1))</f>
        <v>158.58786357608489</v>
      </c>
      <c r="CZ199" s="59">
        <f t="shared" si="208"/>
        <v>163.20074068819849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3.813056537183002E-14</v>
      </c>
      <c r="DQ199" s="13">
        <f t="shared" si="176"/>
        <v>6.4086286045526829E-13</v>
      </c>
      <c r="DR199" s="20">
        <f t="shared" si="177"/>
        <v>1.1825802166488628E-12</v>
      </c>
      <c r="DS199" s="59">
        <f t="shared" si="197"/>
        <v>293.33333333333451</v>
      </c>
      <c r="DT199" s="59">
        <f ca="1">AVERAGE(OFFSET($DS$3,0,0,'Données projet'!$E$14+1,1))-AVERAGE(OFFSET($H$3,0,0,'Données projet'!$E$14+1,1))</f>
        <v>156.63226020379989</v>
      </c>
      <c r="DU199" s="59">
        <f t="shared" si="209"/>
        <v>196.0481096619543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8.6931655500849289E-2</v>
      </c>
      <c r="EC199" s="21">
        <f>EXP(-LN(2)/2)*EC198+(1-EXP(-LN(2)/2))/(LN(2)/2)*DW199*DZ199*VLOOKUP('Données projet'!$B$14,Paramètres!$A$1:$I$89,3,0)*0.475*44/12</f>
        <v>9.3817489201066172E-25</v>
      </c>
      <c r="ED199" s="22">
        <f t="shared" si="178"/>
        <v>8.6931655500849289E-2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-5.6843418860808015E-13</v>
      </c>
      <c r="EK199" s="17">
        <f>EJ199*VLOOKUP('Données projet'!$B$15,Paramètres!$A$1:$I$89,3,0)*VLOOKUP('Données projet'!$B$15,Paramètres!$A$1:$I$89,5,0)</f>
        <v>-6.1186256061773743E-13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211.18501783767226</v>
      </c>
      <c r="EP199" s="59">
        <f t="shared" si="210"/>
        <v>147.98306963466246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498</v>
      </c>
      <c r="FF199" s="17">
        <f>FE199*VLOOKUP('Données projet'!$B$16,Paramètres!$A$1:$I$89,3,0)*VLOOKUP('Données projet'!$B$16,Paramètres!$A$1:$I$89,5,0)</f>
        <v>297.80400000000003</v>
      </c>
      <c r="FG199" s="13">
        <f t="shared" si="182"/>
        <v>70.715900863123025</v>
      </c>
      <c r="FH199" s="20">
        <f t="shared" si="183"/>
        <v>641.83882733660596</v>
      </c>
      <c r="FI199" s="59">
        <f t="shared" si="199"/>
        <v>935.17216066993933</v>
      </c>
      <c r="FJ199" s="59">
        <f ca="1">AVERAGE(OFFSET($FI$3,0,0,'Données projet'!$E$16+1,1))-AVERAGE(OFFSET($H$3,0,0,'Données projet'!$E$16+1,1))</f>
        <v>232.26937455765062</v>
      </c>
      <c r="FK199" s="59">
        <f t="shared" si="211"/>
        <v>115.80853281120301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8.2659253447345371E-2</v>
      </c>
      <c r="FR199" s="21">
        <f>EXP(-LN(2)/25)*FR198+(1-EXP(-LN(2)/25))/(LN(2)/25)*Calculateur!FM199*Calculateur!FO199*VLOOKUP('Données projet'!$B$16,Paramètres!$A$1:$I$89,3,0)*0.475*44/12</f>
        <v>4.420905279708074E-2</v>
      </c>
      <c r="FS199" s="21">
        <f>EXP(-LN(2)/2)*FS198+(1-EXP(-LN(2)/2))/(LN(2)/2)*FM199*FP199*VLOOKUP('Données projet'!$B$16,Paramètres!$A$1:$I$89,3,0)*0.475*44/12</f>
        <v>8.6809802516404296E-25</v>
      </c>
      <c r="FT199" s="22">
        <f t="shared" si="184"/>
        <v>0.1268683062444261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5.6843418860808015E-14</v>
      </c>
      <c r="GA199" s="17">
        <f>FZ199*VLOOKUP('Données projet'!$B$17,Paramètres!$A$1:$I$89,3,0)*VLOOKUP('Données projet'!$B$17,Paramètres!$A$1:$I$89,5,0)</f>
        <v>4.5224624045658861E-14</v>
      </c>
      <c r="GB199" s="13">
        <f t="shared" si="185"/>
        <v>7.4514601661523691E-13</v>
      </c>
      <c r="GC199" s="20">
        <f t="shared" si="186"/>
        <v>1.3765621991510601E-12</v>
      </c>
      <c r="GD199" s="59">
        <f t="shared" si="200"/>
        <v>293.33333333333468</v>
      </c>
      <c r="GE199" s="59">
        <f ca="1">AVERAGE(OFFSET($GD$3,0,0,'Données projet'!$E$17+1,1))-AVERAGE(OFFSET($H$3,0,0,'Données projet'!$E$17+1,1))</f>
        <v>199.58763537752952</v>
      </c>
      <c r="GF199" s="59">
        <f t="shared" si="212"/>
        <v>242.62852778451929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0.10310498675682106</v>
      </c>
      <c r="GN199" s="21">
        <f>EXP(-LN(2)/2)*GN198+(1-EXP(-LN(2)/2))/(LN(2)/2)*GH199*GK199*VLOOKUP('Données projet'!$B$17,Paramètres!$A$1:$I$89,3,0)*0.475*44/12</f>
        <v>1.1127190579661347E-24</v>
      </c>
      <c r="GO199" s="21">
        <f t="shared" si="187"/>
        <v>0.10310498675682106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-5.1431925385259092E-13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153.45079678708987</v>
      </c>
      <c r="T200" s="59">
        <f t="shared" si="204"/>
        <v>115.4217868409637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-5.6843418860808015E-13</v>
      </c>
      <c r="AJ200" s="13">
        <f>AI200*VLOOKUP('Données projet'!$B$10,Paramètres!$A$1:$I$89,3,0)*VLOOKUP('Données projet'!$B$10,Paramètres!$A$1:$I$89,5,0)</f>
        <v>-5.763922672485933E-13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190.21499310415584</v>
      </c>
      <c r="AO200" s="59">
        <f t="shared" si="205"/>
        <v>136.15730566500173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497</v>
      </c>
      <c r="BE200" s="13">
        <f>BD200*VLOOKUP('Données projet'!$B$11,Paramètres!$A$1:$I$89,3,0)*VLOOKUP('Données projet'!$B$11,Paramètres!$A$1:$I$89,5,0)</f>
        <v>297.20600000000002</v>
      </c>
      <c r="BF200" s="13">
        <f t="shared" si="167"/>
        <v>70.590415164571112</v>
      </c>
      <c r="BG200" s="20">
        <f t="shared" si="168"/>
        <v>640.57875641162809</v>
      </c>
      <c r="BH200" s="59">
        <f t="shared" si="194"/>
        <v>933.91208974496135</v>
      </c>
      <c r="BI200" s="59">
        <f ca="1">AVERAGE(OFFSET($BH$3,0,0,'Données projet'!$E$11+1,1))-AVERAGE(OFFSET($H$3,0,0,'Données projet'!$E$11+1,1))</f>
        <v>270.30888762640245</v>
      </c>
      <c r="BJ200" s="59">
        <f t="shared" si="206"/>
        <v>202.23783851977691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7.842421539136378E-2</v>
      </c>
      <c r="BQ200" s="21">
        <f>EXP(-LN(2)/25)*BQ199+(1-EXP(-LN(2)/25))/(LN(2)/25)*Calculateur!BL200*Calculateur!BN200*VLOOKUP('Données projet'!$B$11,Paramètres!$A$1:$I$89,3,0)*0.475*44/12</f>
        <v>0.11991003098838186</v>
      </c>
      <c r="BR200" s="21">
        <f>EXP(-LN(2)/2)*BR199+(1-EXP(-LN(2)/2))/(LN(2)/2)*BL200*BO200*VLOOKUP('Données projet'!$B$11,Paramètres!$A$1:$I$89,3,0)*0.475*44/12</f>
        <v>1.3520524503195532E-24</v>
      </c>
      <c r="BS200" s="22">
        <f t="shared" si="169"/>
        <v>0.19833424637974564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497</v>
      </c>
      <c r="BZ200" s="13">
        <f>BY200*VLOOKUP('Données projet'!$B$12,Paramètres!$A$1:$I$89,3,0)*VLOOKUP('Données projet'!$B$12,Paramètres!$A$1:$I$89,5,0)</f>
        <v>297.20600000000002</v>
      </c>
      <c r="CA200" s="13">
        <f t="shared" si="170"/>
        <v>70.590415164571112</v>
      </c>
      <c r="CB200" s="20">
        <f t="shared" si="171"/>
        <v>640.57875641162809</v>
      </c>
      <c r="CC200" s="59">
        <f t="shared" si="195"/>
        <v>933.91208974496135</v>
      </c>
      <c r="CD200" s="59">
        <f ca="1">AVERAGE(OFFSET($CC$3,0,0,'Données projet'!$E$12+1,1))-AVERAGE(OFFSET($H$3,0,0,'Données projet'!$E$12+1,1))</f>
        <v>270.30888762640245</v>
      </c>
      <c r="CE200" s="59">
        <f t="shared" si="207"/>
        <v>202.23783851977691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7.842421539136378E-2</v>
      </c>
      <c r="CL200" s="21">
        <f>EXP(-LN(2)/25)*CL199+(1-EXP(-LN(2)/25))/(LN(2)/25)*Calculateur!CG200*Calculateur!CI200*VLOOKUP('Données projet'!$B$12,Paramètres!$A$1:$I$89,3,0)*0.475*44/12</f>
        <v>0.11991003098838186</v>
      </c>
      <c r="CM200" s="21">
        <f>EXP(-LN(2)/2)*CM199+(1-EXP(-LN(2)/2))/(LN(2)/2)*CG200*CJ200*VLOOKUP('Données projet'!$B$12,Paramètres!$A$1:$I$89,3,0)*0.475*44/12</f>
        <v>1.3520524503195532E-24</v>
      </c>
      <c r="CN200" s="22">
        <f t="shared" si="172"/>
        <v>0.19833424637974564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3.4106051316484809E-13</v>
      </c>
      <c r="CU200" s="17">
        <f>CT200*VLOOKUP('Données projet'!$B$13,Paramètres!$A$1:$I$89,3,0)*VLOOKUP('Données projet'!$B$13,Paramètres!$A$1:$I$89,5,0)</f>
        <v>1.5961632016114892E-13</v>
      </c>
      <c r="CV200" s="13">
        <f t="shared" si="173"/>
        <v>2.2708641912150958E-12</v>
      </c>
      <c r="CW200" s="20">
        <f t="shared" si="174"/>
        <v>4.2330868906469593E-12</v>
      </c>
      <c r="CX200" s="59">
        <f t="shared" si="196"/>
        <v>293.33333333333752</v>
      </c>
      <c r="CY200" s="59">
        <f ca="1">AVERAGE(OFFSET($CX$3,0,0,'Données projet'!$E$13+1,1))-AVERAGE(OFFSET($H$3,0,0,'Données projet'!$E$13+1,1))</f>
        <v>158.58786357608489</v>
      </c>
      <c r="CZ200" s="59">
        <f t="shared" si="208"/>
        <v>163.20074068819849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3.813056537183002E-14</v>
      </c>
      <c r="DQ200" s="13">
        <f t="shared" si="176"/>
        <v>6.4086286045526829E-13</v>
      </c>
      <c r="DR200" s="20">
        <f t="shared" si="177"/>
        <v>1.1825802166488628E-12</v>
      </c>
      <c r="DS200" s="59">
        <f t="shared" si="197"/>
        <v>293.33333333333451</v>
      </c>
      <c r="DT200" s="59">
        <f ca="1">AVERAGE(OFFSET($DS$3,0,0,'Données projet'!$E$14+1,1))-AVERAGE(OFFSET($H$3,0,0,'Données projet'!$E$14+1,1))</f>
        <v>156.63226020379989</v>
      </c>
      <c r="DU200" s="59">
        <f t="shared" si="209"/>
        <v>196.0481096619543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8.4554504809641481E-2</v>
      </c>
      <c r="EC200" s="21">
        <f>EXP(-LN(2)/2)*EC199+(1-EXP(-LN(2)/2))/(LN(2)/2)*DW200*DZ200*VLOOKUP('Données projet'!$B$14,Paramètres!$A$1:$I$89,3,0)*0.475*44/12</f>
        <v>6.6338982807969583E-25</v>
      </c>
      <c r="ED200" s="22">
        <f t="shared" si="178"/>
        <v>8.4554504809641481E-2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-5.6843418860808015E-13</v>
      </c>
      <c r="EK200" s="17">
        <f>EJ200*VLOOKUP('Données projet'!$B$15,Paramètres!$A$1:$I$89,3,0)*VLOOKUP('Données projet'!$B$15,Paramètres!$A$1:$I$89,5,0)</f>
        <v>-6.1186256061773743E-13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211.18501783767226</v>
      </c>
      <c r="EP200" s="59">
        <f t="shared" si="210"/>
        <v>147.98306963466246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498</v>
      </c>
      <c r="FF200" s="17">
        <f>FE200*VLOOKUP('Données projet'!$B$16,Paramètres!$A$1:$I$89,3,0)*VLOOKUP('Données projet'!$B$16,Paramètres!$A$1:$I$89,5,0)</f>
        <v>297.80400000000003</v>
      </c>
      <c r="FG200" s="13">
        <f t="shared" si="182"/>
        <v>70.715900863123025</v>
      </c>
      <c r="FH200" s="20">
        <f t="shared" si="183"/>
        <v>641.83882733660596</v>
      </c>
      <c r="FI200" s="59">
        <f t="shared" si="199"/>
        <v>935.17216066993933</v>
      </c>
      <c r="FJ200" s="59">
        <f ca="1">AVERAGE(OFFSET($FI$3,0,0,'Données projet'!$E$16+1,1))-AVERAGE(OFFSET($H$3,0,0,'Données projet'!$E$16+1,1))</f>
        <v>232.26937455765062</v>
      </c>
      <c r="FK200" s="59">
        <f t="shared" si="211"/>
        <v>115.80853281120301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8.1038355904409248E-2</v>
      </c>
      <c r="FR200" s="21">
        <f>EXP(-LN(2)/25)*FR199+(1-EXP(-LN(2)/25))/(LN(2)/25)*Calculateur!FM200*Calculateur!FO200*VLOOKUP('Données projet'!$B$16,Paramètres!$A$1:$I$89,3,0)*0.475*44/12</f>
        <v>4.3000153923491519E-2</v>
      </c>
      <c r="FS200" s="21">
        <f>EXP(-LN(2)/2)*FS199+(1-EXP(-LN(2)/2))/(LN(2)/2)*FM200*FP200*VLOOKUP('Données projet'!$B$16,Paramètres!$A$1:$I$89,3,0)*0.475*44/12</f>
        <v>6.1383800032814496E-25</v>
      </c>
      <c r="FT200" s="22">
        <f t="shared" si="184"/>
        <v>0.12403850982790077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5.6843418860808015E-14</v>
      </c>
      <c r="GA200" s="17">
        <f>FZ200*VLOOKUP('Données projet'!$B$17,Paramètres!$A$1:$I$89,3,0)*VLOOKUP('Données projet'!$B$17,Paramètres!$A$1:$I$89,5,0)</f>
        <v>4.5224624045658861E-14</v>
      </c>
      <c r="GB200" s="13">
        <f t="shared" si="185"/>
        <v>7.4514601661523691E-13</v>
      </c>
      <c r="GC200" s="20">
        <f t="shared" si="186"/>
        <v>1.3765621991510601E-12</v>
      </c>
      <c r="GD200" s="59">
        <f t="shared" si="200"/>
        <v>293.33333333333468</v>
      </c>
      <c r="GE200" s="59">
        <f ca="1">AVERAGE(OFFSET($GD$3,0,0,'Données projet'!$E$17+1,1))-AVERAGE(OFFSET($H$3,0,0,'Données projet'!$E$17+1,1))</f>
        <v>199.58763537752952</v>
      </c>
      <c r="GF200" s="59">
        <f t="shared" si="212"/>
        <v>242.62852778451929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0.10028557547190019</v>
      </c>
      <c r="GN200" s="21">
        <f>EXP(-LN(2)/2)*GN199+(1-EXP(-LN(2)/2))/(LN(2)/2)*GH200*GK200*VLOOKUP('Données projet'!$B$17,Paramètres!$A$1:$I$89,3,0)*0.475*44/12</f>
        <v>7.8681119144336092E-25</v>
      </c>
      <c r="GO200" s="21">
        <f t="shared" si="187"/>
        <v>0.10028557547190019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-5.1431925385259092E-13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153.45079678708987</v>
      </c>
      <c r="T201" s="59">
        <f t="shared" si="204"/>
        <v>115.4217868409637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-5.6843418860808015E-13</v>
      </c>
      <c r="AJ201" s="13">
        <f>AI201*VLOOKUP('Données projet'!$B$10,Paramètres!$A$1:$I$89,3,0)*VLOOKUP('Données projet'!$B$10,Paramètres!$A$1:$I$89,5,0)</f>
        <v>-5.763922672485933E-13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190.21499310415584</v>
      </c>
      <c r="AO201" s="59">
        <f t="shared" si="205"/>
        <v>136.15730566500173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497</v>
      </c>
      <c r="BE201" s="13">
        <f>BD201*VLOOKUP('Données projet'!$B$11,Paramètres!$A$1:$I$89,3,0)*VLOOKUP('Données projet'!$B$11,Paramètres!$A$1:$I$89,5,0)</f>
        <v>297.20600000000002</v>
      </c>
      <c r="BF201" s="13">
        <f t="shared" si="167"/>
        <v>70.590415164571112</v>
      </c>
      <c r="BG201" s="20">
        <f t="shared" si="168"/>
        <v>640.57875641162809</v>
      </c>
      <c r="BH201" s="59">
        <f t="shared" si="194"/>
        <v>933.91208974496135</v>
      </c>
      <c r="BI201" s="59">
        <f ca="1">AVERAGE(OFFSET($BH$3,0,0,'Données projet'!$E$11+1,1))-AVERAGE(OFFSET($H$3,0,0,'Données projet'!$E$11+1,1))</f>
        <v>270.30888762640245</v>
      </c>
      <c r="BJ201" s="59">
        <f t="shared" si="206"/>
        <v>202.23783851977691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7.68863643615873E-2</v>
      </c>
      <c r="BQ201" s="21">
        <f>EXP(-LN(2)/25)*BQ200+(1-EXP(-LN(2)/25))/(LN(2)/25)*Calculateur!BL201*Calculateur!BN201*VLOOKUP('Données projet'!$B$11,Paramètres!$A$1:$I$89,3,0)*0.475*44/12</f>
        <v>0.1166310848852101</v>
      </c>
      <c r="BR201" s="21">
        <f>EXP(-LN(2)/2)*BR200+(1-EXP(-LN(2)/2))/(LN(2)/2)*BL201*BO201*VLOOKUP('Données projet'!$B$11,Paramètres!$A$1:$I$89,3,0)*0.475*44/12</f>
        <v>9.5604545614084372E-25</v>
      </c>
      <c r="BS201" s="22">
        <f t="shared" si="169"/>
        <v>0.1935174492467974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497</v>
      </c>
      <c r="BZ201" s="13">
        <f>BY201*VLOOKUP('Données projet'!$B$12,Paramètres!$A$1:$I$89,3,0)*VLOOKUP('Données projet'!$B$12,Paramètres!$A$1:$I$89,5,0)</f>
        <v>297.20600000000002</v>
      </c>
      <c r="CA201" s="13">
        <f t="shared" si="170"/>
        <v>70.590415164571112</v>
      </c>
      <c r="CB201" s="20">
        <f t="shared" si="171"/>
        <v>640.57875641162809</v>
      </c>
      <c r="CC201" s="59">
        <f t="shared" si="195"/>
        <v>933.91208974496135</v>
      </c>
      <c r="CD201" s="59">
        <f ca="1">AVERAGE(OFFSET($CC$3,0,0,'Données projet'!$E$12+1,1))-AVERAGE(OFFSET($H$3,0,0,'Données projet'!$E$12+1,1))</f>
        <v>270.30888762640245</v>
      </c>
      <c r="CE201" s="59">
        <f t="shared" si="207"/>
        <v>202.23783851977691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7.68863643615873E-2</v>
      </c>
      <c r="CL201" s="21">
        <f>EXP(-LN(2)/25)*CL200+(1-EXP(-LN(2)/25))/(LN(2)/25)*Calculateur!CG201*Calculateur!CI201*VLOOKUP('Données projet'!$B$12,Paramètres!$A$1:$I$89,3,0)*0.475*44/12</f>
        <v>0.1166310848852101</v>
      </c>
      <c r="CM201" s="21">
        <f>EXP(-LN(2)/2)*CM200+(1-EXP(-LN(2)/2))/(LN(2)/2)*CG201*CJ201*VLOOKUP('Données projet'!$B$12,Paramètres!$A$1:$I$89,3,0)*0.475*44/12</f>
        <v>9.5604545614084372E-25</v>
      </c>
      <c r="CN201" s="22">
        <f t="shared" si="172"/>
        <v>0.1935174492467974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3.4106051316484809E-13</v>
      </c>
      <c r="CU201" s="17">
        <f>CT201*VLOOKUP('Données projet'!$B$13,Paramètres!$A$1:$I$89,3,0)*VLOOKUP('Données projet'!$B$13,Paramètres!$A$1:$I$89,5,0)</f>
        <v>1.5961632016114892E-13</v>
      </c>
      <c r="CV201" s="13">
        <f t="shared" si="173"/>
        <v>2.2708641912150958E-12</v>
      </c>
      <c r="CW201" s="20">
        <f t="shared" si="174"/>
        <v>4.2330868906469593E-12</v>
      </c>
      <c r="CX201" s="59">
        <f t="shared" si="196"/>
        <v>293.33333333333752</v>
      </c>
      <c r="CY201" s="59">
        <f ca="1">AVERAGE(OFFSET($CX$3,0,0,'Données projet'!$E$13+1,1))-AVERAGE(OFFSET($H$3,0,0,'Données projet'!$E$13+1,1))</f>
        <v>158.58786357608489</v>
      </c>
      <c r="CZ201" s="59">
        <f t="shared" si="208"/>
        <v>163.20074068819849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3.813056537183002E-14</v>
      </c>
      <c r="DQ201" s="13">
        <f t="shared" si="176"/>
        <v>6.4086286045526829E-13</v>
      </c>
      <c r="DR201" s="20">
        <f t="shared" si="177"/>
        <v>1.1825802166488628E-12</v>
      </c>
      <c r="DS201" s="59">
        <f t="shared" si="197"/>
        <v>293.33333333333451</v>
      </c>
      <c r="DT201" s="59">
        <f ca="1">AVERAGE(OFFSET($DS$3,0,0,'Données projet'!$E$14+1,1))-AVERAGE(OFFSET($H$3,0,0,'Données projet'!$E$14+1,1))</f>
        <v>156.63226020379989</v>
      </c>
      <c r="DU201" s="59">
        <f t="shared" si="209"/>
        <v>196.0481096619543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8.2242357429093679E-2</v>
      </c>
      <c r="EC201" s="21">
        <f>EXP(-LN(2)/2)*EC200+(1-EXP(-LN(2)/2))/(LN(2)/2)*DW201*DZ201*VLOOKUP('Données projet'!$B$14,Paramètres!$A$1:$I$89,3,0)*0.475*44/12</f>
        <v>4.6908744600533086E-25</v>
      </c>
      <c r="ED201" s="22">
        <f t="shared" si="178"/>
        <v>8.2242357429093679E-2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-5.6843418860808015E-13</v>
      </c>
      <c r="EK201" s="17">
        <f>EJ201*VLOOKUP('Données projet'!$B$15,Paramètres!$A$1:$I$89,3,0)*VLOOKUP('Données projet'!$B$15,Paramètres!$A$1:$I$89,5,0)</f>
        <v>-6.1186256061773743E-13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211.18501783767226</v>
      </c>
      <c r="EP201" s="59">
        <f t="shared" si="210"/>
        <v>147.98306963466246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498</v>
      </c>
      <c r="FF201" s="17">
        <f>FE201*VLOOKUP('Données projet'!$B$16,Paramètres!$A$1:$I$89,3,0)*VLOOKUP('Données projet'!$B$16,Paramètres!$A$1:$I$89,5,0)</f>
        <v>297.80400000000003</v>
      </c>
      <c r="FG201" s="13">
        <f t="shared" si="182"/>
        <v>70.715900863123025</v>
      </c>
      <c r="FH201" s="20">
        <f t="shared" si="183"/>
        <v>641.83882733660596</v>
      </c>
      <c r="FI201" s="59">
        <f t="shared" si="199"/>
        <v>935.17216066993933</v>
      </c>
      <c r="FJ201" s="59">
        <f ca="1">AVERAGE(OFFSET($FI$3,0,0,'Données projet'!$E$16+1,1))-AVERAGE(OFFSET($H$3,0,0,'Données projet'!$E$16+1,1))</f>
        <v>232.26937455765062</v>
      </c>
      <c r="FK201" s="59">
        <f t="shared" si="211"/>
        <v>115.80853281120301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7.944924317364023E-2</v>
      </c>
      <c r="FR201" s="21">
        <f>EXP(-LN(2)/25)*FR200+(1-EXP(-LN(2)/25))/(LN(2)/25)*Calculateur!FM201*Calculateur!FO201*VLOOKUP('Données projet'!$B$16,Paramètres!$A$1:$I$89,3,0)*0.475*44/12</f>
        <v>4.1824312453173827E-2</v>
      </c>
      <c r="FS201" s="21">
        <f>EXP(-LN(2)/2)*FS200+(1-EXP(-LN(2)/2))/(LN(2)/2)*FM201*FP201*VLOOKUP('Données projet'!$B$16,Paramètres!$A$1:$I$89,3,0)*0.475*44/12</f>
        <v>4.3404901258202148E-25</v>
      </c>
      <c r="FT201" s="22">
        <f t="shared" si="184"/>
        <v>0.12127355562681405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5.6843418860808015E-14</v>
      </c>
      <c r="GA201" s="17">
        <f>FZ201*VLOOKUP('Données projet'!$B$17,Paramètres!$A$1:$I$89,3,0)*VLOOKUP('Données projet'!$B$17,Paramètres!$A$1:$I$89,5,0)</f>
        <v>4.5224624045658861E-14</v>
      </c>
      <c r="GB201" s="13">
        <f t="shared" si="185"/>
        <v>7.4514601661523691E-13</v>
      </c>
      <c r="GC201" s="20">
        <f t="shared" si="186"/>
        <v>1.3765621991510601E-12</v>
      </c>
      <c r="GD201" s="59">
        <f t="shared" si="200"/>
        <v>293.33333333333468</v>
      </c>
      <c r="GE201" s="59">
        <f ca="1">AVERAGE(OFFSET($GD$3,0,0,'Données projet'!$E$17+1,1))-AVERAGE(OFFSET($H$3,0,0,'Données projet'!$E$17+1,1))</f>
        <v>199.58763537752952</v>
      </c>
      <c r="GF201" s="59">
        <f t="shared" si="212"/>
        <v>242.62852778451929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9.7543261136831871E-2</v>
      </c>
      <c r="GN201" s="21">
        <f>EXP(-LN(2)/2)*GN200+(1-EXP(-LN(2)/2))/(LN(2)/2)*GH201*GK201*VLOOKUP('Données projet'!$B$17,Paramètres!$A$1:$I$89,3,0)*0.475*44/12</f>
        <v>5.5635952898306736E-25</v>
      </c>
      <c r="GO201" s="21">
        <f t="shared" si="187"/>
        <v>9.7543261136831871E-2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-5.1431925385259092E-13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153.45079678708987</v>
      </c>
      <c r="T202" s="59">
        <f t="shared" si="204"/>
        <v>115.4217868409637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-5.6843418860808015E-13</v>
      </c>
      <c r="AJ202" s="13">
        <f>AI202*VLOOKUP('Données projet'!$B$10,Paramètres!$A$1:$I$89,3,0)*VLOOKUP('Données projet'!$B$10,Paramètres!$A$1:$I$89,5,0)</f>
        <v>-5.763922672485933E-13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190.21499310415584</v>
      </c>
      <c r="AO202" s="59">
        <f t="shared" si="205"/>
        <v>136.15730566500173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497</v>
      </c>
      <c r="BE202" s="13">
        <f>BD202*VLOOKUP('Données projet'!$B$11,Paramètres!$A$1:$I$89,3,0)*VLOOKUP('Données projet'!$B$11,Paramètres!$A$1:$I$89,5,0)</f>
        <v>297.20600000000002</v>
      </c>
      <c r="BF202" s="13">
        <f t="shared" si="167"/>
        <v>70.590415164571112</v>
      </c>
      <c r="BG202" s="20">
        <f t="shared" si="168"/>
        <v>640.57875641162809</v>
      </c>
      <c r="BH202" s="59">
        <f t="shared" si="194"/>
        <v>933.91208974496135</v>
      </c>
      <c r="BI202" s="59">
        <f ca="1">AVERAGE(OFFSET($BH$3,0,0,'Données projet'!$E$11+1,1))-AVERAGE(OFFSET($H$3,0,0,'Données projet'!$E$11+1,1))</f>
        <v>270.30888762640245</v>
      </c>
      <c r="BJ202" s="59">
        <f t="shared" si="206"/>
        <v>202.23783851977691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7.5378669652508237E-2</v>
      </c>
      <c r="BQ202" s="21">
        <f>EXP(-LN(2)/25)*BQ201+(1-EXP(-LN(2)/25))/(LN(2)/25)*Calculateur!BL202*Calculateur!BN202*VLOOKUP('Données projet'!$B$11,Paramètres!$A$1:$I$89,3,0)*0.475*44/12</f>
        <v>0.11344180173566183</v>
      </c>
      <c r="BR202" s="21">
        <f>EXP(-LN(2)/2)*BR201+(1-EXP(-LN(2)/2))/(LN(2)/2)*BL202*BO202*VLOOKUP('Données projet'!$B$11,Paramètres!$A$1:$I$89,3,0)*0.475*44/12</f>
        <v>6.760262251597766E-25</v>
      </c>
      <c r="BS202" s="22">
        <f t="shared" si="169"/>
        <v>0.18882047138817007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497</v>
      </c>
      <c r="BZ202" s="13">
        <f>BY202*VLOOKUP('Données projet'!$B$12,Paramètres!$A$1:$I$89,3,0)*VLOOKUP('Données projet'!$B$12,Paramètres!$A$1:$I$89,5,0)</f>
        <v>297.20600000000002</v>
      </c>
      <c r="CA202" s="13">
        <f t="shared" si="170"/>
        <v>70.590415164571112</v>
      </c>
      <c r="CB202" s="20">
        <f t="shared" si="171"/>
        <v>640.57875641162809</v>
      </c>
      <c r="CC202" s="59">
        <f t="shared" si="195"/>
        <v>933.91208974496135</v>
      </c>
      <c r="CD202" s="59">
        <f ca="1">AVERAGE(OFFSET($CC$3,0,0,'Données projet'!$E$12+1,1))-AVERAGE(OFFSET($H$3,0,0,'Données projet'!$E$12+1,1))</f>
        <v>270.30888762640245</v>
      </c>
      <c r="CE202" s="59">
        <f t="shared" si="207"/>
        <v>202.23783851977691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7.5378669652508237E-2</v>
      </c>
      <c r="CL202" s="21">
        <f>EXP(-LN(2)/25)*CL201+(1-EXP(-LN(2)/25))/(LN(2)/25)*Calculateur!CG202*Calculateur!CI202*VLOOKUP('Données projet'!$B$12,Paramètres!$A$1:$I$89,3,0)*0.475*44/12</f>
        <v>0.11344180173566183</v>
      </c>
      <c r="CM202" s="21">
        <f>EXP(-LN(2)/2)*CM201+(1-EXP(-LN(2)/2))/(LN(2)/2)*CG202*CJ202*VLOOKUP('Données projet'!$B$12,Paramètres!$A$1:$I$89,3,0)*0.475*44/12</f>
        <v>6.760262251597766E-25</v>
      </c>
      <c r="CN202" s="22">
        <f t="shared" si="172"/>
        <v>0.18882047138817007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3.4106051316484809E-13</v>
      </c>
      <c r="CU202" s="17">
        <f>CT202*VLOOKUP('Données projet'!$B$13,Paramètres!$A$1:$I$89,3,0)*VLOOKUP('Données projet'!$B$13,Paramètres!$A$1:$I$89,5,0)</f>
        <v>1.5961632016114892E-13</v>
      </c>
      <c r="CV202" s="13">
        <f t="shared" si="173"/>
        <v>2.2708641912150958E-12</v>
      </c>
      <c r="CW202" s="20">
        <f t="shared" si="174"/>
        <v>4.2330868906469593E-12</v>
      </c>
      <c r="CX202" s="59">
        <f t="shared" si="196"/>
        <v>293.33333333333752</v>
      </c>
      <c r="CY202" s="59">
        <f ca="1">AVERAGE(OFFSET($CX$3,0,0,'Données projet'!$E$13+1,1))-AVERAGE(OFFSET($H$3,0,0,'Données projet'!$E$13+1,1))</f>
        <v>158.58786357608489</v>
      </c>
      <c r="CZ202" s="59">
        <f t="shared" si="208"/>
        <v>163.20074068819849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3.813056537183002E-14</v>
      </c>
      <c r="DQ202" s="13">
        <f t="shared" si="176"/>
        <v>6.4086286045526829E-13</v>
      </c>
      <c r="DR202" s="20">
        <f t="shared" si="177"/>
        <v>1.1825802166488628E-12</v>
      </c>
      <c r="DS202" s="59">
        <f t="shared" si="197"/>
        <v>293.33333333333451</v>
      </c>
      <c r="DT202" s="59">
        <f ca="1">AVERAGE(OFFSET($DS$3,0,0,'Données projet'!$E$14+1,1))-AVERAGE(OFFSET($H$3,0,0,'Données projet'!$E$14+1,1))</f>
        <v>156.63226020379989</v>
      </c>
      <c r="DU202" s="59">
        <f t="shared" si="209"/>
        <v>196.0481096619543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7.9993435840257504E-2</v>
      </c>
      <c r="EC202" s="21">
        <f>EXP(-LN(2)/2)*EC201+(1-EXP(-LN(2)/2))/(LN(2)/2)*DW202*DZ202*VLOOKUP('Données projet'!$B$14,Paramètres!$A$1:$I$89,3,0)*0.475*44/12</f>
        <v>3.3169491403984792E-25</v>
      </c>
      <c r="ED202" s="22">
        <f t="shared" si="178"/>
        <v>7.9993435840257504E-2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-5.6843418860808015E-13</v>
      </c>
      <c r="EK202" s="17">
        <f>EJ202*VLOOKUP('Données projet'!$B$15,Paramètres!$A$1:$I$89,3,0)*VLOOKUP('Données projet'!$B$15,Paramètres!$A$1:$I$89,5,0)</f>
        <v>-6.1186256061773743E-13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211.18501783767226</v>
      </c>
      <c r="EP202" s="59">
        <f t="shared" si="210"/>
        <v>147.98306963466246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498</v>
      </c>
      <c r="FF202" s="17">
        <f>FE202*VLOOKUP('Données projet'!$B$16,Paramètres!$A$1:$I$89,3,0)*VLOOKUP('Données projet'!$B$16,Paramètres!$A$1:$I$89,5,0)</f>
        <v>297.80400000000003</v>
      </c>
      <c r="FG202" s="13">
        <f t="shared" si="182"/>
        <v>70.715900863123025</v>
      </c>
      <c r="FH202" s="20">
        <f t="shared" si="183"/>
        <v>641.83882733660596</v>
      </c>
      <c r="FI202" s="59">
        <f t="shared" si="199"/>
        <v>935.17216066993933</v>
      </c>
      <c r="FJ202" s="59">
        <f ca="1">AVERAGE(OFFSET($FI$3,0,0,'Données projet'!$E$16+1,1))-AVERAGE(OFFSET($H$3,0,0,'Données projet'!$E$16+1,1))</f>
        <v>232.26937455765062</v>
      </c>
      <c r="FK202" s="59">
        <f t="shared" si="211"/>
        <v>115.80853281120301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7.7891291974258522E-2</v>
      </c>
      <c r="FR202" s="21">
        <f>EXP(-LN(2)/25)*FR201+(1-EXP(-LN(2)/25))/(LN(2)/25)*Calculateur!FM202*Calculateur!FO202*VLOOKUP('Données projet'!$B$16,Paramètres!$A$1:$I$89,3,0)*0.475*44/12</f>
        <v>4.0680624429696791E-2</v>
      </c>
      <c r="FS202" s="21">
        <f>EXP(-LN(2)/2)*FS201+(1-EXP(-LN(2)/2))/(LN(2)/2)*FM202*FP202*VLOOKUP('Données projet'!$B$16,Paramètres!$A$1:$I$89,3,0)*0.475*44/12</f>
        <v>3.0691900016407248E-25</v>
      </c>
      <c r="FT202" s="22">
        <f t="shared" si="184"/>
        <v>0.11857191640395531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5.6843418860808015E-14</v>
      </c>
      <c r="GA202" s="17">
        <f>FZ202*VLOOKUP('Données projet'!$B$17,Paramètres!$A$1:$I$89,3,0)*VLOOKUP('Données projet'!$B$17,Paramètres!$A$1:$I$89,5,0)</f>
        <v>4.5224624045658861E-14</v>
      </c>
      <c r="GB202" s="13">
        <f t="shared" si="185"/>
        <v>7.4514601661523691E-13</v>
      </c>
      <c r="GC202" s="20">
        <f t="shared" si="186"/>
        <v>1.3765621991510601E-12</v>
      </c>
      <c r="GD202" s="59">
        <f t="shared" si="200"/>
        <v>293.33333333333468</v>
      </c>
      <c r="GE202" s="59">
        <f ca="1">AVERAGE(OFFSET($GD$3,0,0,'Données projet'!$E$17+1,1))-AVERAGE(OFFSET($H$3,0,0,'Données projet'!$E$17+1,1))</f>
        <v>199.58763537752952</v>
      </c>
      <c r="GF202" s="59">
        <f t="shared" si="212"/>
        <v>242.62852778451929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9.4875935531468045E-2</v>
      </c>
      <c r="GN202" s="21">
        <f>EXP(-LN(2)/2)*GN201+(1-EXP(-LN(2)/2))/(LN(2)/2)*GH202*GK202*VLOOKUP('Données projet'!$B$17,Paramètres!$A$1:$I$89,3,0)*0.475*44/12</f>
        <v>3.9340559572168046E-25</v>
      </c>
      <c r="GO202" s="21">
        <f t="shared" si="187"/>
        <v>9.4875935531468045E-2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-5.1431925385259092E-13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153.45079678708987</v>
      </c>
      <c r="T203" s="59">
        <f t="shared" si="204"/>
        <v>115.4217868409637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-5.6843418860808015E-13</v>
      </c>
      <c r="AJ203" s="13">
        <f>AI203*VLOOKUP('Données projet'!$B$10,Paramètres!$A$1:$I$89,3,0)*VLOOKUP('Données projet'!$B$10,Paramètres!$A$1:$I$89,5,0)</f>
        <v>-5.763922672485933E-13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190.21499310415584</v>
      </c>
      <c r="AO203" s="59">
        <f t="shared" si="205"/>
        <v>136.15730566500173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497</v>
      </c>
      <c r="BE203" s="13">
        <f>BD203*VLOOKUP('Données projet'!$B$11,Paramètres!$A$1:$I$89,3,0)*VLOOKUP('Données projet'!$B$11,Paramètres!$A$1:$I$89,5,0)</f>
        <v>297.20600000000002</v>
      </c>
      <c r="BF203" s="13">
        <f t="shared" si="167"/>
        <v>70.590415164571112</v>
      </c>
      <c r="BG203" s="20">
        <f t="shared" si="168"/>
        <v>640.57875641162809</v>
      </c>
      <c r="BH203" s="59">
        <f t="shared" si="194"/>
        <v>933.91208974496135</v>
      </c>
      <c r="BI203" s="59">
        <f ca="1">AVERAGE(OFFSET($BH$3,0,0,'Données projet'!$E$11+1,1))-AVERAGE(OFFSET($H$3,0,0,'Données projet'!$E$11+1,1))</f>
        <v>270.30888762640245</v>
      </c>
      <c r="BJ203" s="59">
        <f t="shared" si="206"/>
        <v>202.23783851977691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7.390053991707124E-2</v>
      </c>
      <c r="BQ203" s="21">
        <f>EXP(-LN(2)/25)*BQ202+(1-EXP(-LN(2)/25))/(LN(2)/25)*Calculateur!BL203*Calculateur!BN203*VLOOKUP('Données projet'!$B$11,Paramètres!$A$1:$I$89,3,0)*0.475*44/12</f>
        <v>0.11033972970155508</v>
      </c>
      <c r="BR203" s="21">
        <f>EXP(-LN(2)/2)*BR202+(1-EXP(-LN(2)/2))/(LN(2)/2)*BL203*BO203*VLOOKUP('Données projet'!$B$11,Paramètres!$A$1:$I$89,3,0)*0.475*44/12</f>
        <v>4.7802272807042186E-25</v>
      </c>
      <c r="BS203" s="22">
        <f t="shared" si="169"/>
        <v>0.18424026961862633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497</v>
      </c>
      <c r="BZ203" s="13">
        <f>BY203*VLOOKUP('Données projet'!$B$12,Paramètres!$A$1:$I$89,3,0)*VLOOKUP('Données projet'!$B$12,Paramètres!$A$1:$I$89,5,0)</f>
        <v>297.20600000000002</v>
      </c>
      <c r="CA203" s="13">
        <f t="shared" si="170"/>
        <v>70.590415164571112</v>
      </c>
      <c r="CB203" s="20">
        <f t="shared" si="171"/>
        <v>640.57875641162809</v>
      </c>
      <c r="CC203" s="59">
        <f t="shared" si="195"/>
        <v>933.91208974496135</v>
      </c>
      <c r="CD203" s="59">
        <f ca="1">AVERAGE(OFFSET($CC$3,0,0,'Données projet'!$E$12+1,1))-AVERAGE(OFFSET($H$3,0,0,'Données projet'!$E$12+1,1))</f>
        <v>270.30888762640245</v>
      </c>
      <c r="CE203" s="59">
        <f t="shared" si="207"/>
        <v>202.23783851977691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7.390053991707124E-2</v>
      </c>
      <c r="CL203" s="21">
        <f>EXP(-LN(2)/25)*CL202+(1-EXP(-LN(2)/25))/(LN(2)/25)*Calculateur!CG203*Calculateur!CI203*VLOOKUP('Données projet'!$B$12,Paramètres!$A$1:$I$89,3,0)*0.475*44/12</f>
        <v>0.11033972970155508</v>
      </c>
      <c r="CM203" s="21">
        <f>EXP(-LN(2)/2)*CM202+(1-EXP(-LN(2)/2))/(LN(2)/2)*CG203*CJ203*VLOOKUP('Données projet'!$B$12,Paramètres!$A$1:$I$89,3,0)*0.475*44/12</f>
        <v>4.7802272807042186E-25</v>
      </c>
      <c r="CN203" s="22">
        <f t="shared" si="172"/>
        <v>0.18424026961862633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3.4106051316484809E-13</v>
      </c>
      <c r="CU203" s="17">
        <f>CT203*VLOOKUP('Données projet'!$B$13,Paramètres!$A$1:$I$89,3,0)*VLOOKUP('Données projet'!$B$13,Paramètres!$A$1:$I$89,5,0)</f>
        <v>1.5961632016114892E-13</v>
      </c>
      <c r="CV203" s="13">
        <f t="shared" si="173"/>
        <v>2.2708641912150958E-12</v>
      </c>
      <c r="CW203" s="20">
        <f t="shared" si="174"/>
        <v>4.2330868906469593E-12</v>
      </c>
      <c r="CX203" s="59">
        <f t="shared" si="196"/>
        <v>293.33333333333752</v>
      </c>
      <c r="CY203" s="59">
        <f ca="1">AVERAGE(OFFSET($CX$3,0,0,'Données projet'!$E$13+1,1))-AVERAGE(OFFSET($H$3,0,0,'Données projet'!$E$13+1,1))</f>
        <v>158.58786357608489</v>
      </c>
      <c r="CZ203" s="59">
        <f t="shared" si="208"/>
        <v>163.20074068819849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3.813056537183002E-14</v>
      </c>
      <c r="DQ203" s="13">
        <f t="shared" si="176"/>
        <v>6.4086286045526829E-13</v>
      </c>
      <c r="DR203" s="20">
        <f t="shared" si="177"/>
        <v>1.1825802166488628E-12</v>
      </c>
      <c r="DS203" s="59">
        <f t="shared" si="197"/>
        <v>293.33333333333451</v>
      </c>
      <c r="DT203" s="59">
        <f ca="1">AVERAGE(OFFSET($DS$3,0,0,'Données projet'!$E$14+1,1))-AVERAGE(OFFSET($H$3,0,0,'Données projet'!$E$14+1,1))</f>
        <v>156.63226020379989</v>
      </c>
      <c r="DU203" s="59">
        <f t="shared" si="209"/>
        <v>196.0481096619543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7.7806011130533703E-2</v>
      </c>
      <c r="EC203" s="21">
        <f>EXP(-LN(2)/2)*EC202+(1-EXP(-LN(2)/2))/(LN(2)/2)*DW203*DZ203*VLOOKUP('Données projet'!$B$14,Paramètres!$A$1:$I$89,3,0)*0.475*44/12</f>
        <v>2.3454372300266543E-25</v>
      </c>
      <c r="ED203" s="22">
        <f t="shared" si="178"/>
        <v>7.7806011130533703E-2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-5.6843418860808015E-13</v>
      </c>
      <c r="EK203" s="17">
        <f>EJ203*VLOOKUP('Données projet'!$B$15,Paramètres!$A$1:$I$89,3,0)*VLOOKUP('Données projet'!$B$15,Paramètres!$A$1:$I$89,5,0)</f>
        <v>-6.1186256061773743E-13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211.18501783767226</v>
      </c>
      <c r="EP203" s="59">
        <f t="shared" si="210"/>
        <v>147.98306963466246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498</v>
      </c>
      <c r="FF203" s="17">
        <f>FE203*VLOOKUP('Données projet'!$B$16,Paramètres!$A$1:$I$89,3,0)*VLOOKUP('Données projet'!$B$16,Paramètres!$A$1:$I$89,5,0)</f>
        <v>297.80400000000003</v>
      </c>
      <c r="FG203" s="13">
        <f t="shared" si="182"/>
        <v>70.715900863123025</v>
      </c>
      <c r="FH203" s="20">
        <f t="shared" si="183"/>
        <v>641.83882733660596</v>
      </c>
      <c r="FI203" s="59">
        <f t="shared" si="199"/>
        <v>935.17216066993933</v>
      </c>
      <c r="FJ203" s="59">
        <f ca="1">AVERAGE(OFFSET($FI$3,0,0,'Données projet'!$E$16+1,1))-AVERAGE(OFFSET($H$3,0,0,'Données projet'!$E$16+1,1))</f>
        <v>232.26937455765062</v>
      </c>
      <c r="FK203" s="59">
        <f t="shared" si="211"/>
        <v>115.80853281120301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7.6363891247640286E-2</v>
      </c>
      <c r="FR203" s="21">
        <f>EXP(-LN(2)/25)*FR202+(1-EXP(-LN(2)/25))/(LN(2)/25)*Calculateur!FM203*Calculateur!FO203*VLOOKUP('Données projet'!$B$16,Paramètres!$A$1:$I$89,3,0)*0.475*44/12</f>
        <v>3.9568210615365668E-2</v>
      </c>
      <c r="FS203" s="21">
        <f>EXP(-LN(2)/2)*FS202+(1-EXP(-LN(2)/2))/(LN(2)/2)*FM203*FP203*VLOOKUP('Données projet'!$B$16,Paramètres!$A$1:$I$89,3,0)*0.475*44/12</f>
        <v>2.1702450629101074E-25</v>
      </c>
      <c r="FT203" s="22">
        <f t="shared" si="184"/>
        <v>0.11593210186300595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5.6843418860808015E-14</v>
      </c>
      <c r="GA203" s="17">
        <f>FZ203*VLOOKUP('Données projet'!$B$17,Paramètres!$A$1:$I$89,3,0)*VLOOKUP('Données projet'!$B$17,Paramètres!$A$1:$I$89,5,0)</f>
        <v>4.5224624045658861E-14</v>
      </c>
      <c r="GB203" s="13">
        <f t="shared" si="185"/>
        <v>7.4514601661523691E-13</v>
      </c>
      <c r="GC203" s="20">
        <f t="shared" si="186"/>
        <v>1.3765621991510601E-12</v>
      </c>
      <c r="GD203" s="59">
        <f t="shared" si="200"/>
        <v>293.33333333333468</v>
      </c>
      <c r="GE203" s="59">
        <f ca="1">AVERAGE(OFFSET($GD$3,0,0,'Données projet'!$E$17+1,1))-AVERAGE(OFFSET($H$3,0,0,'Données projet'!$E$17+1,1))</f>
        <v>199.58763537752952</v>
      </c>
      <c r="GF203" s="59">
        <f t="shared" si="212"/>
        <v>242.62852778451929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9.2281548085051443E-2</v>
      </c>
      <c r="GN203" s="21">
        <f>EXP(-LN(2)/2)*GN202+(1-EXP(-LN(2)/2))/(LN(2)/2)*GH203*GK203*VLOOKUP('Données projet'!$B$17,Paramètres!$A$1:$I$89,3,0)*0.475*44/12</f>
        <v>2.7817976449153368E-25</v>
      </c>
      <c r="GO203" s="21">
        <f t="shared" si="187"/>
        <v>9.2281548085051443E-2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1.1608269964373037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>
        <f>EXP(LN('Données projet'!B88)/'Données projet'!A88)</f>
        <v>1.2501898326862695</v>
      </c>
      <c r="BV205" s="82">
        <f>EXP(LN('Données projet'!B114)/'Données projet'!A114)</f>
        <v>1.2501898326862695</v>
      </c>
      <c r="CQ205" s="82">
        <f>EXP(LN('Données projet'!B140)/'Données projet'!A140)</f>
        <v>1.1963772029987372</v>
      </c>
      <c r="DL205" s="82">
        <f>EXP(LN('Données projet'!B166)/'Données projet'!A166)</f>
        <v>1.2557008269631629</v>
      </c>
      <c r="EG205" s="82">
        <f>EXP(LN('Données projet'!B192)/'Données projet'!A192)</f>
        <v>1.1608269964373037</v>
      </c>
      <c r="FB205" s="82">
        <f>EXP(LN('Données projet'!B218)/'Données projet'!A218)</f>
        <v>1.1950331096863402</v>
      </c>
      <c r="FW205" s="82">
        <f>EXP(LN('Données projet'!B244)/'Données projet'!A244)</f>
        <v>1.2557008269631629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8.7580000000000005E-2</v>
      </c>
      <c r="C6" s="147">
        <f ca="1">IF(OR('Données projet'!B9="",'Données projet'!C9="",'Données projet'!C9=0%),0,Calculateur!S3)</f>
        <v>153.45079678708987</v>
      </c>
      <c r="D6" s="147">
        <f>IF(OR('Données projet'!B9="",'Données projet'!C9="",'Données projet'!C9=0%),0,Calculateur!T3)</f>
        <v>115.4217868409637</v>
      </c>
      <c r="E6" s="147">
        <f ca="1">MIN(C6,D6)</f>
        <v>115.4217868409637</v>
      </c>
      <c r="F6" s="147">
        <f ca="1">E6*B6</f>
        <v>10.108640091531601</v>
      </c>
      <c r="G6" s="147">
        <f ca="1">F6*(100%-'Données projet'!$C$24)*(100%-'Données projet'!$C$25)*(100%-'Données projet'!$C$26)*(100%-'Données projet'!$C$27)</f>
        <v>9.0977760823784415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9.0977760823784415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3.3280399999999997</v>
      </c>
      <c r="C7" s="147">
        <f ca="1">IF(OR('Données projet'!B10="",'Données projet'!C10="",'Données projet'!C10=0%),0,Calculateur!AN3)</f>
        <v>190.21499310415584</v>
      </c>
      <c r="D7" s="147">
        <f>IF(OR('Données projet'!B10="",'Données projet'!C10="",'Données projet'!C10=0%),0,Calculateur!AO3)</f>
        <v>136.15730566500173</v>
      </c>
      <c r="E7" s="147">
        <f t="shared" ref="E7:E15" ca="1" si="0">MIN(C7,D7)</f>
        <v>136.15730566500173</v>
      </c>
      <c r="F7" s="147">
        <f t="shared" ref="F7:F15" ca="1" si="1">E7*B7</f>
        <v>453.13695954535228</v>
      </c>
      <c r="G7" s="147">
        <f ca="1">F7*(100%-'Données projet'!$C$24)*(100%-'Données projet'!$C$25)*(100%-'Données projet'!$C$26)*(100%-'Données projet'!$C$27)</f>
        <v>407.82326359081708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407.82326359081708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17.078099999999999</v>
      </c>
      <c r="C8" s="147">
        <f ca="1">IF(OR('Données projet'!B11="",'Données projet'!C11="",'Données projet'!C11=0%),0,Calculateur!BI3)</f>
        <v>270.30888762640245</v>
      </c>
      <c r="D8" s="147">
        <f>IF(OR('Données projet'!B11="",'Données projet'!C11="",'Données projet'!C11=0%),0,Calculateur!BJ3)</f>
        <v>202.23783851977691</v>
      </c>
      <c r="E8" s="147">
        <f t="shared" ca="1" si="0"/>
        <v>202.23783851977691</v>
      </c>
      <c r="F8" s="147">
        <f t="shared" ca="1" si="1"/>
        <v>3453.8380300246022</v>
      </c>
      <c r="G8" s="147">
        <f ca="1">F8*(100%-'Données projet'!$C$24)*(100%-'Données projet'!$C$25)*(100%-'Données projet'!$C$26)*(100%-'Données projet'!$C$27)</f>
        <v>3108.4542270221418</v>
      </c>
      <c r="H8" s="155">
        <f>IF(OR('Données projet'!B11="",'Données projet'!C11="",'Données projet'!C11=0%),0,AVERAGE(Calculateur!$BS$3:$BS$33)*B8)</f>
        <v>47.824310854410108</v>
      </c>
      <c r="I8" s="149">
        <f>H8*(100%-'Données projet'!$C$24)*(100%-'Données projet'!$C$25)*(100%-'Données projet'!$C$26)*(100%-'Données projet'!$C$27)</f>
        <v>43.041879768969096</v>
      </c>
      <c r="J8" s="150">
        <f>IF(OR('Données projet'!B11="",'Données projet'!C11="",'Données projet'!C11=0%),0,SUM(Calculateur!$BL$3:$BL$33)*VLOOKUP('Données projet'!$B$11,Paramètres!$A$1:$I$89,9,0)*B8)</f>
        <v>587.48663999999997</v>
      </c>
      <c r="K8" s="151">
        <f>J8*(100%-'Données projet'!$C$24)*(100%-'Données projet'!$C$25)*(100%-'Données projet'!$C$26)*(100%-'Données projet'!$C$27)</f>
        <v>528.737976</v>
      </c>
      <c r="L8" s="152">
        <f t="shared" ca="1" si="2"/>
        <v>3680.2340827911107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0.30653000000000002</v>
      </c>
      <c r="C9" s="147">
        <f ca="1">IF(OR('Données projet'!B12="",'Données projet'!C12="",'Données projet'!C12=0%),0,Calculateur!CD3)</f>
        <v>270.30888762640245</v>
      </c>
      <c r="D9" s="147">
        <f>IF(OR('Données projet'!B12="",'Données projet'!C12="",'Données projet'!C12=0%),0,Calculateur!CE3)</f>
        <v>202.23783851977691</v>
      </c>
      <c r="E9" s="147">
        <f t="shared" ca="1" si="0"/>
        <v>202.23783851977691</v>
      </c>
      <c r="F9" s="147">
        <f t="shared" ca="1" si="1"/>
        <v>61.99196464146722</v>
      </c>
      <c r="G9" s="147">
        <f ca="1">F9*(100%-'Données projet'!$C$24)*(100%-'Données projet'!$C$25)*(100%-'Données projet'!$C$26)*(100%-'Données projet'!$C$27)</f>
        <v>55.792768177320497</v>
      </c>
      <c r="H9" s="155">
        <f>IF(OR('Données projet'!B12="",'Données projet'!C12="",'Données projet'!C12=0%),0,AVERAGE(Calculateur!$CN$3:$CN$33)*B9)</f>
        <v>0.85838506661761749</v>
      </c>
      <c r="I9" s="149">
        <f>H9*(100%-'Données projet'!$C$24)*(100%-'Données projet'!$C$25)*(100%-'Données projet'!$C$26)*(100%-'Données projet'!$C$27)</f>
        <v>0.77254655995585575</v>
      </c>
      <c r="J9" s="150">
        <f>IF(OR('Données projet'!B12="",'Données projet'!C12="",'Données projet'!C12=0%),0,SUM(Calculateur!$CG$3:$CG$33)*VLOOKUP('Données projet'!$B$12,Paramètres!$A$1:$I$89,9,0)*B9)</f>
        <v>10.544632</v>
      </c>
      <c r="K9" s="151">
        <f>J9*(100%-'Données projet'!$C$24)*(100%-'Données projet'!$C$25)*(100%-'Données projet'!$C$26)*(100%-'Données projet'!$C$27)</f>
        <v>9.4901688000000011</v>
      </c>
      <c r="L9" s="152">
        <f t="shared" ca="1" si="2"/>
        <v>66.055483537276359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Cèdre de l'Atlas</v>
      </c>
      <c r="B10" s="154">
        <f>'Données projet'!D13</f>
        <v>8.49526</v>
      </c>
      <c r="C10" s="147">
        <f ca="1">IF(OR('Données projet'!B13="",'Données projet'!C13="",'Données projet'!C13=0%),0,Calculateur!CY3)</f>
        <v>158.58786357608489</v>
      </c>
      <c r="D10" s="147">
        <f>IF(OR('Données projet'!B13="",'Données projet'!C13="",'Données projet'!C13=0%),0,Calculateur!CZ3)</f>
        <v>163.20074068819849</v>
      </c>
      <c r="E10" s="147">
        <f t="shared" ca="1" si="0"/>
        <v>158.58786357608489</v>
      </c>
      <c r="F10" s="147">
        <f t="shared" ca="1" si="1"/>
        <v>1347.245133923371</v>
      </c>
      <c r="G10" s="147">
        <f ca="1">F10*(100%-'Données projet'!$C$24)*(100%-'Données projet'!$C$25)*(100%-'Données projet'!$C$26)*(100%-'Données projet'!$C$27)</f>
        <v>1212.520620531034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1212.520620531034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Tilleul</v>
      </c>
      <c r="B11" s="154">
        <f>'Données projet'!D14</f>
        <v>1.6640199999999998</v>
      </c>
      <c r="C11" s="147">
        <f ca="1">IF(OR('Données projet'!B14="",'Données projet'!C14="",'Données projet'!C14=0%),0,Calculateur!DT3)</f>
        <v>156.63226020379989</v>
      </c>
      <c r="D11" s="147">
        <f>IF(OR('Données projet'!B14="",'Données projet'!C14="",'Données projet'!C14=0%),0,Calculateur!DU3)</f>
        <v>196.0481096619543</v>
      </c>
      <c r="E11" s="147">
        <f t="shared" ca="1" si="0"/>
        <v>156.63226020379989</v>
      </c>
      <c r="F11" s="147">
        <f t="shared" ca="1" si="1"/>
        <v>260.63921362432706</v>
      </c>
      <c r="G11" s="147">
        <f ca="1">F11*(100%-'Données projet'!$C$24)*(100%-'Données projet'!$C$25)*(100%-'Données projet'!$C$26)*(100%-'Données projet'!$C$27)</f>
        <v>234.57529226189436</v>
      </c>
      <c r="H11" s="155">
        <f>IF(OR('Données projet'!B14="",'Données projet'!C14="",'Données projet'!C14=0%),0,AVERAGE(Calculateur!$ED$3:$ED$33)*B11)</f>
        <v>4.1607170947228047</v>
      </c>
      <c r="I11" s="149">
        <f>H11*(100%-'Données projet'!$C$24)*(100%-'Données projet'!$C$25)*(100%-'Données projet'!$C$26)*(100%-'Données projet'!$C$27)</f>
        <v>3.7446453852505241</v>
      </c>
      <c r="J11" s="150">
        <f>IF(OR('Données projet'!B14="",'Données projet'!C14="",'Données projet'!C14=0%),0,SUM(Calculateur!$DW$3:$DW$33)*VLOOKUP('Données projet'!$B$14,Paramètres!$A$1:$I$89,9,0)*B11)</f>
        <v>41.184494999999998</v>
      </c>
      <c r="K11" s="151">
        <f>J11*(100%-'Données projet'!$C$24)*(100%-'Données projet'!$C$25)*(100%-'Données projet'!$C$26)*(100%-'Données projet'!$C$27)</f>
        <v>37.066045500000001</v>
      </c>
      <c r="L11" s="152">
        <f t="shared" ca="1" si="2"/>
        <v>275.38598314714488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Cormier</v>
      </c>
      <c r="B12" s="154">
        <f>'Données projet'!D15</f>
        <v>4.9482699999999999</v>
      </c>
      <c r="C12" s="147">
        <f ca="1">IF(OR('Données projet'!B15="",'Données projet'!C15="",'Données projet'!C15=0%),0,Calculateur!EO3)</f>
        <v>211.18501783767226</v>
      </c>
      <c r="D12" s="147">
        <f>IF(OR('Données projet'!B15="",'Données projet'!C15="",'Données projet'!C15=0%),0,Calculateur!EP3)</f>
        <v>147.98306963466246</v>
      </c>
      <c r="E12" s="147">
        <f t="shared" ca="1" si="0"/>
        <v>147.98306963466246</v>
      </c>
      <c r="F12" s="147">
        <f t="shared" ca="1" si="1"/>
        <v>732.26018398111114</v>
      </c>
      <c r="G12" s="147">
        <f ca="1">F12*(100%-'Données projet'!$C$24)*(100%-'Données projet'!$C$25)*(100%-'Données projet'!$C$26)*(100%-'Données projet'!$C$27)</f>
        <v>659.034165583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659.034165583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Pin noir d'Autriche</v>
      </c>
      <c r="B13" s="154">
        <f>'Données projet'!D16</f>
        <v>3.3280399999999997</v>
      </c>
      <c r="C13" s="147">
        <f ca="1">IF(OR('Données projet'!B16="",'Données projet'!C16="",'Données projet'!C16=0%),0,Calculateur!FJ3)</f>
        <v>232.26937455765062</v>
      </c>
      <c r="D13" s="147">
        <f>IF(OR('Données projet'!B16="",'Données projet'!C16="",'Données projet'!C16=0%),0,Calculateur!FK3)</f>
        <v>115.80853281120301</v>
      </c>
      <c r="E13" s="147">
        <f t="shared" ca="1" si="0"/>
        <v>115.80853281120301</v>
      </c>
      <c r="F13" s="147">
        <f t="shared" ca="1" si="1"/>
        <v>385.41542953699604</v>
      </c>
      <c r="G13" s="147">
        <f ca="1">F13*(100%-'Données projet'!$C$24)*(100%-'Données projet'!$C$25)*(100%-'Données projet'!$C$26)*(100%-'Données projet'!$C$27)</f>
        <v>346.87388658329644</v>
      </c>
      <c r="H13" s="155">
        <f>IF(OR('Données projet'!B16="",'Données projet'!C16="",'Données projet'!C16=0%),0,AVERAGE(Calculateur!$FT$3:$FT$33)*B13)</f>
        <v>1.6122850803952242</v>
      </c>
      <c r="I13" s="149">
        <f>H13*(100%-'Données projet'!$C$24)*(100%-'Données projet'!$C$25)*(100%-'Données projet'!$C$26)*(100%-'Données projet'!$C$27)</f>
        <v>1.4510565723557018</v>
      </c>
      <c r="J13" s="150">
        <f>IF(OR('Données projet'!C16="",'Données projet'!C16=0%),0,SUM(Calculateur!$FM$3:$FM$33)*VLOOKUP('Données projet'!$B$16,Paramètres!$A$1:$I$89,9,0)*B13)</f>
        <v>44.362773199999992</v>
      </c>
      <c r="K13" s="151">
        <f>J13*(100%-'Données projet'!$C$24)*(100%-'Données projet'!$C$25)*(100%-'Données projet'!$C$26)*(100%-'Données projet'!$C$27)</f>
        <v>39.926495879999997</v>
      </c>
      <c r="L13" s="152">
        <f t="shared" ca="1" si="2"/>
        <v>388.25143903565214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Erable plane</v>
      </c>
      <c r="B14" s="154">
        <f>'Données projet'!D17</f>
        <v>2.8901400000000002</v>
      </c>
      <c r="C14" s="147">
        <f ca="1">IF(OR('Données projet'!B17="",'Données projet'!C17="",'Données projet'!C17=0%),0,Calculateur!GE3)</f>
        <v>199.58763537752952</v>
      </c>
      <c r="D14" s="147">
        <f>IF(OR('Données projet'!B17="",'Données projet'!C17="",'Données projet'!C17=0%),0,Calculateur!GF3)</f>
        <v>242.62852778451929</v>
      </c>
      <c r="E14" s="147">
        <f t="shared" ca="1" si="0"/>
        <v>199.58763537752952</v>
      </c>
      <c r="F14" s="147">
        <f t="shared" ca="1" si="1"/>
        <v>576.83620851001319</v>
      </c>
      <c r="G14" s="147">
        <f ca="1">F14*(100%-'Données projet'!$C$24)*(100%-'Données projet'!$C$25)*(100%-'Données projet'!$C$26)*(100%-'Données projet'!$C$27)</f>
        <v>519.15258765901194</v>
      </c>
      <c r="H14" s="155">
        <f>IF(OR('Données projet'!B17="",'Données projet'!C17="",'Données projet'!C17=0%),0,AVERAGE(Calculateur!$GO$3:$GO$33)*B14)</f>
        <v>8.5709753615893316</v>
      </c>
      <c r="I14" s="149">
        <f>H14*(100%-'Données projet'!$C$24)*(100%-'Données projet'!$C$25)*(100%-'Données projet'!$C$26)*(100%-'Données projet'!$C$27)</f>
        <v>7.7138778254303988</v>
      </c>
      <c r="J14" s="150">
        <f>IF(OR('Données projet'!B17="",'Données projet'!C17="",'Données projet'!C17=0%),0,SUM(Calculateur!$GH$3:$GH$33)*VLOOKUP('Données projet'!$B$17,Paramètres!$A$1:$I$89,9,0)*B14)</f>
        <v>71.530965000000009</v>
      </c>
      <c r="K14" s="151">
        <f>J14*(100%-'Données projet'!$C$24)*(100%-'Données projet'!$C$25)*(100%-'Données projet'!$C$26)*(100%-'Données projet'!$C$27)</f>
        <v>64.377868500000005</v>
      </c>
      <c r="L14" s="152">
        <f t="shared" ca="1" si="2"/>
        <v>591.24433398444228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7281.4717638787724</v>
      </c>
      <c r="G16" s="166">
        <f t="shared" ca="1" si="3"/>
        <v>6553.3245874908944</v>
      </c>
      <c r="H16" s="167">
        <f t="shared" si="3"/>
        <v>63.026673457735086</v>
      </c>
      <c r="I16" s="167">
        <f t="shared" si="3"/>
        <v>56.724006111961579</v>
      </c>
      <c r="J16" s="168">
        <f t="shared" si="3"/>
        <v>755.10950519999994</v>
      </c>
      <c r="K16" s="168">
        <f t="shared" si="3"/>
        <v>679.59855467999989</v>
      </c>
      <c r="L16" s="169">
        <f t="shared" ca="1" si="3"/>
        <v>7289.6471482828556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Tilleul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Pin noir d'Autriche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Erable plane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38" sqref="G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-1467.4220877543439</v>
      </c>
      <c r="U10" s="178">
        <f>'Données projet'!D9</f>
        <v>8.7580000000000005E-2</v>
      </c>
      <c r="V10" s="177">
        <f>U10*T10</f>
        <v>-128.51682644552545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-1931.8676332333955</v>
      </c>
      <c r="U11" s="178">
        <f>'Données projet'!D10</f>
        <v>3.3280399999999997</v>
      </c>
      <c r="V11" s="177">
        <f t="shared" ref="V11" si="0">U11*T11</f>
        <v>-6429.3327581060694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-326.49921011723774</v>
      </c>
      <c r="U12" s="178">
        <f>'Données projet'!D11</f>
        <v>17.078099999999999</v>
      </c>
      <c r="V12" s="177">
        <f t="shared" ref="V12:V19" si="1">U12*T12</f>
        <v>-5575.9861603031977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-304.49921011723774</v>
      </c>
      <c r="U13" s="178">
        <f>'Données projet'!D12</f>
        <v>0.30653000000000002</v>
      </c>
      <c r="V13" s="177">
        <f t="shared" si="1"/>
        <v>-93.338142877236891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-599.5463099485587</v>
      </c>
      <c r="U14" s="178">
        <f>'Données projet'!D13</f>
        <v>8.49526</v>
      </c>
      <c r="V14" s="177">
        <f t="shared" si="1"/>
        <v>-5093.3017850535925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Tilleul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-1008.9326188908855</v>
      </c>
      <c r="U15" s="178">
        <f>'Données projet'!D14</f>
        <v>1.6640199999999998</v>
      </c>
      <c r="V15" s="177">
        <f t="shared" si="1"/>
        <v>-1678.884056486811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-1942.4220877543444</v>
      </c>
      <c r="U16" s="178">
        <f>'Données projet'!D15</f>
        <v>4.9482699999999999</v>
      </c>
      <c r="V16" s="177">
        <f t="shared" si="1"/>
        <v>-9611.6289441721892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2195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Pin noir d'Autriche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-262.41491711570558</v>
      </c>
      <c r="U17" s="178">
        <f>'Données projet'!D16</f>
        <v>3.3280399999999997</v>
      </c>
      <c r="V17" s="177">
        <f t="shared" si="1"/>
        <v>-873.32734075775272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>Erable plane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-622.93261889088546</v>
      </c>
      <c r="U18" s="178">
        <f>'Données projet'!D17</f>
        <v>2.8901400000000002</v>
      </c>
      <c r="V18" s="177">
        <f t="shared" si="1"/>
        <v>-1800.3624791613038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631.05+830.31+53.67</f>
        <v>1515.03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-186615.85412720899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44</v>
      </c>
      <c r="B24" s="181">
        <f>'Données projet'!D37</f>
        <v>64.416666666666657</v>
      </c>
      <c r="C24" s="193">
        <v>12</v>
      </c>
      <c r="D24" s="182">
        <f t="shared" ref="D24:D42" si="2">B24*C24</f>
        <v>772.99999999999989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3106.582926961155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51</v>
      </c>
      <c r="B25" s="181">
        <f>'Données projet'!D38</f>
        <v>37.685897435897431</v>
      </c>
      <c r="C25" s="193">
        <v>35</v>
      </c>
      <c r="D25" s="182">
        <f t="shared" si="2"/>
        <v>1319.0064102564102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-189722.43705417015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59</v>
      </c>
      <c r="B26" s="181">
        <f>'Données projet'!D39</f>
        <v>38.942307692307693</v>
      </c>
      <c r="C26" s="193">
        <v>45</v>
      </c>
      <c r="D26" s="182">
        <f t="shared" si="2"/>
        <v>1752.4038461538462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67</v>
      </c>
      <c r="B27" s="181">
        <f>'Données projet'!D40</f>
        <v>31.993589743589741</v>
      </c>
      <c r="C27" s="193">
        <v>50</v>
      </c>
      <c r="D27" s="182">
        <f t="shared" si="2"/>
        <v>1599.6794871794871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75</v>
      </c>
      <c r="B28" s="181">
        <f>'Données projet'!D41</f>
        <v>30.916666666666664</v>
      </c>
      <c r="C28" s="193">
        <v>55</v>
      </c>
      <c r="D28" s="182">
        <f t="shared" si="2"/>
        <v>1700.4166666666665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84</v>
      </c>
      <c r="B29" s="181">
        <f>'Données projet'!D42</f>
        <v>35.083333333333329</v>
      </c>
      <c r="C29" s="193">
        <v>60</v>
      </c>
      <c r="D29" s="182">
        <f t="shared" si="2"/>
        <v>2104.9999999999995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93</v>
      </c>
      <c r="B30" s="181">
        <f>'Données projet'!D43</f>
        <v>30.083333333333332</v>
      </c>
      <c r="C30" s="193">
        <v>80</v>
      </c>
      <c r="D30" s="182">
        <f t="shared" si="2"/>
        <v>2406.6666666666665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103</v>
      </c>
      <c r="B31" s="181">
        <f>'Données projet'!D44</f>
        <v>39.512820512820511</v>
      </c>
      <c r="C31" s="193">
        <v>80</v>
      </c>
      <c r="D31" s="182">
        <f t="shared" si="2"/>
        <v>3161.0256410256407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113</v>
      </c>
      <c r="B32" s="181">
        <f>'Données projet'!D45</f>
        <v>31.602564102564099</v>
      </c>
      <c r="C32" s="193">
        <v>80</v>
      </c>
      <c r="D32" s="182">
        <f t="shared" si="2"/>
        <v>2528.2051282051279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125</v>
      </c>
      <c r="B33" s="181">
        <f>'Données projet'!D46</f>
        <v>48.160256410256409</v>
      </c>
      <c r="C33" s="193">
        <v>80</v>
      </c>
      <c r="D33" s="182">
        <f t="shared" si="2"/>
        <v>3852.8205128205127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137</v>
      </c>
      <c r="B34" s="181">
        <f>'Données projet'!D47</f>
        <v>51.160256410256409</v>
      </c>
      <c r="C34" s="193">
        <v>80</v>
      </c>
      <c r="D34" s="182">
        <f t="shared" si="2"/>
        <v>4092.8205128205127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149</v>
      </c>
      <c r="B35" s="181">
        <f>'Données projet'!D48</f>
        <v>120.50641025641026</v>
      </c>
      <c r="C35" s="193">
        <v>80</v>
      </c>
      <c r="D35" s="182">
        <f t="shared" si="2"/>
        <v>9640.5128205128203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153</v>
      </c>
      <c r="B36" s="181">
        <f>'Données projet'!D49</f>
        <v>70.115384615384613</v>
      </c>
      <c r="C36" s="193">
        <v>80</v>
      </c>
      <c r="D36" s="182">
        <f t="shared" si="2"/>
        <v>5609.2307692307695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157</v>
      </c>
      <c r="B37" s="181">
        <f>'Données projet'!D50</f>
        <v>45.71153846153846</v>
      </c>
      <c r="C37" s="193">
        <v>80</v>
      </c>
      <c r="D37" s="182">
        <f t="shared" si="2"/>
        <v>3656.9230769230767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161</v>
      </c>
      <c r="B38" s="181">
        <f>'Données projet'!D51</f>
        <v>91.365384615384613</v>
      </c>
      <c r="C38" s="193">
        <v>80</v>
      </c>
      <c r="D38" s="182">
        <f t="shared" si="2"/>
        <v>7309.2307692307695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2548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44</v>
      </c>
      <c r="B55" s="181">
        <f>'Données projet'!D63</f>
        <v>64.416666666666657</v>
      </c>
      <c r="C55" s="191">
        <v>12</v>
      </c>
      <c r="D55" s="179">
        <f t="shared" ref="D55:D73" si="4">B55*C55</f>
        <v>772.99999999999989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51</v>
      </c>
      <c r="B56" s="181">
        <f>'Données projet'!D64</f>
        <v>37.685897435897431</v>
      </c>
      <c r="C56" s="191">
        <v>35</v>
      </c>
      <c r="D56" s="179">
        <f t="shared" si="4"/>
        <v>1319.0064102564102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59</v>
      </c>
      <c r="B57" s="181">
        <f>'Données projet'!D65</f>
        <v>38.942307692307693</v>
      </c>
      <c r="C57" s="191">
        <v>45</v>
      </c>
      <c r="D57" s="179">
        <f t="shared" si="4"/>
        <v>1752.4038461538462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67</v>
      </c>
      <c r="B58" s="181">
        <f>'Données projet'!D66</f>
        <v>31.993589743589741</v>
      </c>
      <c r="C58" s="191">
        <v>50</v>
      </c>
      <c r="D58" s="179">
        <f t="shared" si="4"/>
        <v>1599.6794871794871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75</v>
      </c>
      <c r="B59" s="181">
        <f>'Données projet'!D67</f>
        <v>30.916666666666664</v>
      </c>
      <c r="C59" s="191">
        <v>55</v>
      </c>
      <c r="D59" s="179">
        <f t="shared" si="4"/>
        <v>1700.4166666666665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84</v>
      </c>
      <c r="B60" s="181">
        <f>'Données projet'!D68</f>
        <v>35.083333333333329</v>
      </c>
      <c r="C60" s="191">
        <v>60</v>
      </c>
      <c r="D60" s="179">
        <f t="shared" si="4"/>
        <v>2104.9999999999995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93</v>
      </c>
      <c r="B61" s="181">
        <f>'Données projet'!D69</f>
        <v>30.083333333333332</v>
      </c>
      <c r="C61" s="191">
        <v>80</v>
      </c>
      <c r="D61" s="179">
        <f t="shared" si="4"/>
        <v>2406.6666666666665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103</v>
      </c>
      <c r="B62" s="181">
        <f>'Données projet'!D70</f>
        <v>39.512820512820511</v>
      </c>
      <c r="C62" s="191">
        <v>80</v>
      </c>
      <c r="D62" s="179">
        <f t="shared" si="4"/>
        <v>3161.0256410256407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113</v>
      </c>
      <c r="B63" s="181">
        <f>'Données projet'!D71</f>
        <v>31.602564102564099</v>
      </c>
      <c r="C63" s="191">
        <v>80</v>
      </c>
      <c r="D63" s="179">
        <f t="shared" si="4"/>
        <v>2528.2051282051279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125</v>
      </c>
      <c r="B64" s="181">
        <f>'Données projet'!D72</f>
        <v>48.160256410256409</v>
      </c>
      <c r="C64" s="191">
        <v>80</v>
      </c>
      <c r="D64" s="179">
        <f t="shared" si="4"/>
        <v>3852.8205128205127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137</v>
      </c>
      <c r="B65" s="181">
        <f>'Données projet'!D73</f>
        <v>51.160256410256409</v>
      </c>
      <c r="C65" s="191">
        <v>80</v>
      </c>
      <c r="D65" s="179">
        <f t="shared" si="4"/>
        <v>4092.8205128205127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149</v>
      </c>
      <c r="B66" s="181">
        <f>'Données projet'!D74</f>
        <v>120.50641025641026</v>
      </c>
      <c r="C66" s="191">
        <v>80</v>
      </c>
      <c r="D66" s="179">
        <f t="shared" si="4"/>
        <v>9640.5128205128203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153</v>
      </c>
      <c r="B67" s="181">
        <f>'Données projet'!D75</f>
        <v>70.115384615384613</v>
      </c>
      <c r="C67" s="191">
        <v>80</v>
      </c>
      <c r="D67" s="179">
        <f t="shared" si="4"/>
        <v>5609.2307692307695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157</v>
      </c>
      <c r="B68" s="181">
        <f>'Données projet'!D76</f>
        <v>45.71153846153846</v>
      </c>
      <c r="C68" s="191">
        <v>80</v>
      </c>
      <c r="D68" s="179">
        <f t="shared" si="4"/>
        <v>3656.9230769230767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161</v>
      </c>
      <c r="B69" s="181">
        <f>'Données projet'!D77</f>
        <v>91.365384615384613</v>
      </c>
      <c r="C69" s="191">
        <v>80</v>
      </c>
      <c r="D69" s="179">
        <f t="shared" si="4"/>
        <v>7309.2307692307695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1136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60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79</v>
      </c>
      <c r="C87" s="191">
        <v>10</v>
      </c>
      <c r="D87" s="179">
        <f t="shared" si="6"/>
        <v>790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89</v>
      </c>
      <c r="C88" s="191">
        <v>15</v>
      </c>
      <c r="D88" s="179">
        <f t="shared" si="6"/>
        <v>1335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90</v>
      </c>
      <c r="C89" s="191">
        <v>30</v>
      </c>
      <c r="D89" s="179">
        <f t="shared" si="6"/>
        <v>2700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86</v>
      </c>
      <c r="C90" s="191">
        <v>35</v>
      </c>
      <c r="D90" s="179">
        <f t="shared" si="6"/>
        <v>3010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78</v>
      </c>
      <c r="C91" s="191">
        <v>50</v>
      </c>
      <c r="D91" s="179">
        <f t="shared" si="6"/>
        <v>3900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70</v>
      </c>
      <c r="C92" s="191">
        <v>60</v>
      </c>
      <c r="D92" s="179">
        <f t="shared" si="6"/>
        <v>4200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1114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20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60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79</v>
      </c>
      <c r="C118" s="191">
        <v>10</v>
      </c>
      <c r="D118" s="179">
        <f t="shared" si="8"/>
        <v>790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89</v>
      </c>
      <c r="C119" s="191">
        <v>15</v>
      </c>
      <c r="D119" s="179">
        <f t="shared" si="8"/>
        <v>1335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90</v>
      </c>
      <c r="C120" s="191">
        <v>30</v>
      </c>
      <c r="D120" s="179">
        <f t="shared" si="8"/>
        <v>2700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86</v>
      </c>
      <c r="C121" s="191">
        <v>35</v>
      </c>
      <c r="D121" s="179">
        <f t="shared" si="8"/>
        <v>3010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78</v>
      </c>
      <c r="C122" s="191">
        <v>50</v>
      </c>
      <c r="D122" s="179">
        <f t="shared" si="8"/>
        <v>3900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70</v>
      </c>
      <c r="C123" s="191">
        <v>60</v>
      </c>
      <c r="D123" s="179">
        <f t="shared" si="8"/>
        <v>4200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2045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30</v>
      </c>
      <c r="B147" s="175">
        <f>'Données projet'!D140</f>
        <v>0</v>
      </c>
      <c r="C147" s="191">
        <v>8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42</v>
      </c>
      <c r="B148" s="175">
        <f>'Données projet'!D141</f>
        <v>179.84615384615384</v>
      </c>
      <c r="C148" s="191">
        <v>8</v>
      </c>
      <c r="D148" s="182">
        <f t="shared" ref="D148:D166" si="10">B148*C148</f>
        <v>1438.7692307692307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49</v>
      </c>
      <c r="B149" s="175">
        <f>'Données projet'!D142</f>
        <v>94.476923076923072</v>
      </c>
      <c r="C149" s="191">
        <v>15</v>
      </c>
      <c r="D149" s="182">
        <f t="shared" si="10"/>
        <v>1417.1538461538462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56</v>
      </c>
      <c r="B150" s="175">
        <f>'Données projet'!D143</f>
        <v>72.769230769230759</v>
      </c>
      <c r="C150" s="191">
        <v>25</v>
      </c>
      <c r="D150" s="182">
        <f t="shared" si="10"/>
        <v>1819.2307692307691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63</v>
      </c>
      <c r="B151" s="175">
        <f>'Données projet'!D144</f>
        <v>71.123076923076923</v>
      </c>
      <c r="C151" s="191">
        <v>30</v>
      </c>
      <c r="D151" s="182">
        <f t="shared" si="10"/>
        <v>2133.6923076923076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71</v>
      </c>
      <c r="B152" s="175">
        <f>'Données projet'!D145</f>
        <v>80.399999999999991</v>
      </c>
      <c r="C152" s="191">
        <v>35</v>
      </c>
      <c r="D152" s="182">
        <f t="shared" si="10"/>
        <v>2813.9999999999995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79</v>
      </c>
      <c r="B153" s="175">
        <f>'Données projet'!D146</f>
        <v>77.338461538461544</v>
      </c>
      <c r="C153" s="191">
        <v>40</v>
      </c>
      <c r="D153" s="182">
        <f t="shared" si="10"/>
        <v>3093.5384615384619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87</v>
      </c>
      <c r="B154" s="175">
        <f>'Données projet'!D147</f>
        <v>77.330769230769235</v>
      </c>
      <c r="C154" s="191">
        <v>50</v>
      </c>
      <c r="D154" s="182">
        <f t="shared" si="10"/>
        <v>3866.5384615384619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95</v>
      </c>
      <c r="B155" s="175">
        <f>'Données projet'!D148</f>
        <v>234.42307692307691</v>
      </c>
      <c r="C155" s="191">
        <v>70</v>
      </c>
      <c r="D155" s="182">
        <f t="shared" si="10"/>
        <v>16409.615384615383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105</v>
      </c>
      <c r="B156" s="175">
        <f>'Données projet'!D149</f>
        <v>309.71538461538461</v>
      </c>
      <c r="C156" s="191">
        <v>70</v>
      </c>
      <c r="D156" s="182">
        <f t="shared" si="10"/>
        <v>21680.076923076922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Tilleul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2427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43</v>
      </c>
      <c r="C178" s="193">
        <v>10</v>
      </c>
      <c r="D178" s="179">
        <f>B178*C178</f>
        <v>430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56</v>
      </c>
      <c r="C179" s="193">
        <v>15</v>
      </c>
      <c r="D179" s="179">
        <f t="shared" ref="D179:D197" si="11">B179*C179</f>
        <v>840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56</v>
      </c>
      <c r="C180" s="193">
        <v>20</v>
      </c>
      <c r="D180" s="179">
        <f t="shared" si="11"/>
        <v>1120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39</v>
      </c>
      <c r="C181" s="193">
        <v>30</v>
      </c>
      <c r="D181" s="179">
        <f t="shared" si="11"/>
        <v>1170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25</v>
      </c>
      <c r="C182" s="193">
        <v>35</v>
      </c>
      <c r="D182" s="179">
        <f t="shared" si="11"/>
        <v>875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21</v>
      </c>
      <c r="C183" s="193">
        <v>45</v>
      </c>
      <c r="D183" s="179">
        <f t="shared" si="11"/>
        <v>945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284</v>
      </c>
      <c r="C184" s="193">
        <v>70</v>
      </c>
      <c r="D184" s="179">
        <f t="shared" si="11"/>
        <v>19880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2670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44</v>
      </c>
      <c r="B210" s="181">
        <f>'Données projet'!D193</f>
        <v>64.416666666666657</v>
      </c>
      <c r="C210" s="193">
        <v>12</v>
      </c>
      <c r="D210" s="179">
        <f t="shared" ref="D210:D228" si="12">B210*C210</f>
        <v>772.99999999999989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51</v>
      </c>
      <c r="B211" s="181">
        <f>'Données projet'!D194</f>
        <v>37.685897435897431</v>
      </c>
      <c r="C211" s="193">
        <v>35</v>
      </c>
      <c r="D211" s="179">
        <f t="shared" si="12"/>
        <v>1319.0064102564102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59</v>
      </c>
      <c r="B212" s="181">
        <f>'Données projet'!D195</f>
        <v>38.942307692307693</v>
      </c>
      <c r="C212" s="193">
        <v>45</v>
      </c>
      <c r="D212" s="179">
        <f t="shared" si="12"/>
        <v>1752.4038461538462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67</v>
      </c>
      <c r="B213" s="181">
        <f>'Données projet'!D196</f>
        <v>31.993589743589741</v>
      </c>
      <c r="C213" s="193">
        <v>50</v>
      </c>
      <c r="D213" s="179">
        <f t="shared" si="12"/>
        <v>1599.6794871794871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75</v>
      </c>
      <c r="B214" s="181">
        <f>'Données projet'!D197</f>
        <v>30.916666666666664</v>
      </c>
      <c r="C214" s="193">
        <v>55</v>
      </c>
      <c r="D214" s="179">
        <f t="shared" si="12"/>
        <v>1700.4166666666665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84</v>
      </c>
      <c r="B215" s="181">
        <f>'Données projet'!D198</f>
        <v>35.083333333333329</v>
      </c>
      <c r="C215" s="193">
        <v>60</v>
      </c>
      <c r="D215" s="179">
        <f t="shared" si="12"/>
        <v>2104.9999999999995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93</v>
      </c>
      <c r="B216" s="181">
        <f>'Données projet'!D199</f>
        <v>30.083333333333332</v>
      </c>
      <c r="C216" s="193">
        <v>80</v>
      </c>
      <c r="D216" s="179">
        <f t="shared" si="12"/>
        <v>2406.6666666666665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103</v>
      </c>
      <c r="B217" s="181">
        <f>'Données projet'!D200</f>
        <v>39.512820512820511</v>
      </c>
      <c r="C217" s="193">
        <v>80</v>
      </c>
      <c r="D217" s="179">
        <f t="shared" si="12"/>
        <v>3161.0256410256407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113</v>
      </c>
      <c r="B218" s="181">
        <f>'Données projet'!D201</f>
        <v>31.602564102564099</v>
      </c>
      <c r="C218" s="193">
        <v>80</v>
      </c>
      <c r="D218" s="179">
        <f t="shared" si="12"/>
        <v>2528.2051282051279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125</v>
      </c>
      <c r="B219" s="181">
        <f>'Données projet'!D202</f>
        <v>48.160256410256409</v>
      </c>
      <c r="C219" s="193">
        <v>80</v>
      </c>
      <c r="D219" s="179">
        <f t="shared" si="12"/>
        <v>3852.8205128205127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137</v>
      </c>
      <c r="B220" s="181">
        <f>'Données projet'!D203</f>
        <v>51.160256410256409</v>
      </c>
      <c r="C220" s="193">
        <v>80</v>
      </c>
      <c r="D220" s="179">
        <f t="shared" si="12"/>
        <v>4092.8205128205127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149</v>
      </c>
      <c r="B221" s="181">
        <f>'Données projet'!D204</f>
        <v>120.50641025641026</v>
      </c>
      <c r="C221" s="193">
        <v>80</v>
      </c>
      <c r="D221" s="179">
        <f t="shared" si="12"/>
        <v>9640.5128205128203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153</v>
      </c>
      <c r="B222" s="181">
        <f>'Données projet'!D205</f>
        <v>70.115384615384613</v>
      </c>
      <c r="C222" s="193">
        <v>80</v>
      </c>
      <c r="D222" s="179">
        <f t="shared" si="12"/>
        <v>5609.2307692307695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157</v>
      </c>
      <c r="B223" s="181">
        <f>'Données projet'!D206</f>
        <v>45.71153846153846</v>
      </c>
      <c r="C223" s="193">
        <v>80</v>
      </c>
      <c r="D223" s="179">
        <f t="shared" si="12"/>
        <v>3656.9230769230767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161</v>
      </c>
      <c r="B224" s="181">
        <f>'Données projet'!D207</f>
        <v>91.365384615384613</v>
      </c>
      <c r="C224" s="193">
        <v>80</v>
      </c>
      <c r="D224" s="179">
        <f t="shared" si="12"/>
        <v>7309.2307692307695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Pin noir d'Autriche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1136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25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31</v>
      </c>
      <c r="C241" s="193">
        <v>10</v>
      </c>
      <c r="D241" s="179">
        <f t="shared" ref="D241:D259" si="13">B241*C241</f>
        <v>310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44</v>
      </c>
      <c r="C242" s="193">
        <v>15</v>
      </c>
      <c r="D242" s="179">
        <f t="shared" si="13"/>
        <v>660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57</v>
      </c>
      <c r="C243" s="193">
        <v>25</v>
      </c>
      <c r="D243" s="179">
        <f t="shared" si="13"/>
        <v>1425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66</v>
      </c>
      <c r="C244" s="193">
        <v>35</v>
      </c>
      <c r="D244" s="179">
        <f t="shared" si="13"/>
        <v>2310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71</v>
      </c>
      <c r="C245" s="193">
        <v>40</v>
      </c>
      <c r="D245" s="179">
        <f t="shared" si="13"/>
        <v>2840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74</v>
      </c>
      <c r="C246" s="193">
        <v>50</v>
      </c>
      <c r="D246" s="179">
        <f t="shared" si="13"/>
        <v>3700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90</v>
      </c>
      <c r="B247" s="181">
        <f>'Données projet'!D225</f>
        <v>74</v>
      </c>
      <c r="C247" s="193">
        <v>50</v>
      </c>
      <c r="D247" s="179">
        <f t="shared" si="13"/>
        <v>3700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100</v>
      </c>
      <c r="B248" s="181">
        <f>'Données projet'!D226</f>
        <v>73</v>
      </c>
      <c r="C248" s="193">
        <v>50</v>
      </c>
      <c r="D248" s="179">
        <f t="shared" si="13"/>
        <v>3650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Erable plane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2041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20</v>
      </c>
      <c r="B271" s="181">
        <f>'Données projet'!D244</f>
        <v>43</v>
      </c>
      <c r="C271" s="193">
        <v>10</v>
      </c>
      <c r="D271" s="179">
        <f>B271*C271</f>
        <v>430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30</v>
      </c>
      <c r="B272" s="181">
        <f>'Données projet'!D245</f>
        <v>56</v>
      </c>
      <c r="C272" s="193">
        <v>15</v>
      </c>
      <c r="D272" s="179">
        <f t="shared" ref="D272:D290" si="14">B272*C272</f>
        <v>840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40</v>
      </c>
      <c r="B273" s="181">
        <f>'Données projet'!D246</f>
        <v>56</v>
      </c>
      <c r="C273" s="193">
        <v>20</v>
      </c>
      <c r="D273" s="179">
        <f t="shared" si="14"/>
        <v>1120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50</v>
      </c>
      <c r="B274" s="181">
        <f>'Données projet'!D247</f>
        <v>39</v>
      </c>
      <c r="C274" s="193">
        <v>30</v>
      </c>
      <c r="D274" s="179">
        <f t="shared" si="14"/>
        <v>1170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60</v>
      </c>
      <c r="B275" s="181">
        <f>'Données projet'!D248</f>
        <v>25</v>
      </c>
      <c r="C275" s="193">
        <v>35</v>
      </c>
      <c r="D275" s="179">
        <f t="shared" si="14"/>
        <v>875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70</v>
      </c>
      <c r="B276" s="181">
        <f>'Données projet'!D249</f>
        <v>21</v>
      </c>
      <c r="C276" s="193">
        <v>45</v>
      </c>
      <c r="D276" s="179">
        <f t="shared" si="14"/>
        <v>945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80</v>
      </c>
      <c r="B277" s="181">
        <f>'Données projet'!D250</f>
        <v>284</v>
      </c>
      <c r="C277" s="193">
        <v>70</v>
      </c>
      <c r="D277" s="179">
        <f t="shared" si="14"/>
        <v>19880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2025-09-25T08:26:57Z</dcterms:modified>
</cp:coreProperties>
</file>