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CFBL\Projets_LBC\Projet_Presly_112020\"/>
    </mc:Choice>
  </mc:AlternateContent>
  <bookViews>
    <workbookView xWindow="0" yWindow="0" windowWidth="19200" windowHeight="7310" activeTab="1"/>
  </bookViews>
  <sheets>
    <sheet name="REAforêtBoisement" sheetId="13" r:id="rId1"/>
    <sheet name="REEsubsMBoisement" sheetId="5" r:id="rId2"/>
    <sheet name="REG&amp;Rabais_Boisement" sheetId="16" r:id="rId3"/>
    <sheet name="Listes choix" sheetId="2" state="hidden"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 i="13" l="1"/>
  <c r="B8" i="16" l="1"/>
  <c r="B4" i="16"/>
  <c r="B13" i="5"/>
  <c r="B6" i="13"/>
  <c r="B5" i="13"/>
  <c r="B49" i="13"/>
  <c r="B48" i="13"/>
  <c r="B46" i="13"/>
  <c r="B44" i="13"/>
  <c r="B42" i="13"/>
  <c r="BJ23" i="13"/>
  <c r="BE23" i="13"/>
  <c r="AZ23" i="13"/>
  <c r="AU23" i="13"/>
  <c r="AP23" i="13"/>
  <c r="AK23" i="13"/>
  <c r="AF23" i="13"/>
  <c r="AA23" i="13"/>
  <c r="V23" i="13"/>
  <c r="S23" i="13"/>
  <c r="T23" i="13" s="1"/>
  <c r="U23" i="13" s="1"/>
  <c r="D23" i="13"/>
  <c r="E23" i="13" s="1"/>
  <c r="F23" i="13" s="1"/>
  <c r="G23" i="13" s="1"/>
  <c r="H23" i="13" s="1"/>
  <c r="I23" i="13" s="1"/>
  <c r="J23" i="13" s="1"/>
  <c r="K23" i="13" s="1"/>
  <c r="L23" i="13" s="1"/>
  <c r="M23" i="13" s="1"/>
  <c r="N23" i="13" s="1"/>
  <c r="O23" i="13" s="1"/>
  <c r="P23" i="13" s="1"/>
  <c r="Q23" i="13" s="1"/>
  <c r="R23" i="13" s="1"/>
  <c r="C23" i="13"/>
  <c r="C25" i="13"/>
  <c r="D25" i="13"/>
  <c r="E25" i="13"/>
  <c r="F25" i="13"/>
  <c r="G25" i="13"/>
  <c r="H25" i="13"/>
  <c r="I25" i="13"/>
  <c r="J25" i="13"/>
  <c r="K25" i="13"/>
  <c r="L25" i="13"/>
  <c r="M25" i="13"/>
  <c r="N25" i="13"/>
  <c r="O25" i="13"/>
  <c r="P25" i="13"/>
  <c r="Q25" i="13"/>
  <c r="R25" i="13"/>
  <c r="S25" i="13"/>
  <c r="T25" i="13"/>
  <c r="U25" i="13"/>
  <c r="V25" i="13"/>
  <c r="W25" i="13"/>
  <c r="X25" i="13"/>
  <c r="Y25" i="13"/>
  <c r="Z25" i="13"/>
  <c r="AA25" i="13"/>
  <c r="AB25" i="13"/>
  <c r="AC25" i="13"/>
  <c r="AD25" i="13"/>
  <c r="AE25" i="13"/>
  <c r="AF25" i="13"/>
  <c r="AG25" i="13"/>
  <c r="AH25" i="13"/>
  <c r="AI25" i="13"/>
  <c r="AJ25" i="13"/>
  <c r="AK25" i="13"/>
  <c r="AL25" i="13"/>
  <c r="AM25" i="13"/>
  <c r="AN25" i="13"/>
  <c r="AO25" i="13"/>
  <c r="AP25" i="13"/>
  <c r="AQ25" i="13"/>
  <c r="AR25" i="13"/>
  <c r="AS25" i="13"/>
  <c r="AT25" i="13"/>
  <c r="AU25" i="13"/>
  <c r="AV25" i="13"/>
  <c r="AW25" i="13"/>
  <c r="AX25" i="13"/>
  <c r="AY25" i="13"/>
  <c r="AZ25" i="13"/>
  <c r="BA25" i="13"/>
  <c r="BB25" i="13"/>
  <c r="BC25" i="13"/>
  <c r="BD25" i="13"/>
  <c r="BE25" i="13"/>
  <c r="BF25" i="13"/>
  <c r="BG25" i="13"/>
  <c r="BH25" i="13"/>
  <c r="BI25" i="13"/>
  <c r="BJ25" i="13"/>
  <c r="BK25" i="13"/>
  <c r="BL25" i="13"/>
  <c r="BM25" i="13"/>
  <c r="BN25" i="13"/>
  <c r="BO25" i="13"/>
  <c r="B25" i="13"/>
  <c r="C28" i="13"/>
  <c r="D28" i="13"/>
  <c r="E28" i="13"/>
  <c r="F28" i="13"/>
  <c r="G28" i="13"/>
  <c r="H28" i="13"/>
  <c r="I28" i="13"/>
  <c r="J28" i="13"/>
  <c r="K28" i="13"/>
  <c r="L28" i="13"/>
  <c r="M28" i="13"/>
  <c r="N28" i="13"/>
  <c r="O28" i="13"/>
  <c r="P28" i="13"/>
  <c r="Q28" i="13"/>
  <c r="R28" i="13"/>
  <c r="S28" i="13"/>
  <c r="T28" i="13"/>
  <c r="U28" i="13"/>
  <c r="V28" i="13"/>
  <c r="W28" i="13"/>
  <c r="X28" i="13"/>
  <c r="Y28" i="13"/>
  <c r="Z28" i="13"/>
  <c r="AA28" i="13"/>
  <c r="AB28" i="13"/>
  <c r="AC28" i="13"/>
  <c r="AD28" i="13"/>
  <c r="AE28" i="13"/>
  <c r="AF28" i="13"/>
  <c r="AG28" i="13"/>
  <c r="AH28" i="13"/>
  <c r="AI28" i="13"/>
  <c r="AJ28" i="13"/>
  <c r="AK28" i="13"/>
  <c r="AL28" i="13"/>
  <c r="AM28" i="13"/>
  <c r="AN28" i="13"/>
  <c r="AO28" i="13"/>
  <c r="AP28" i="13"/>
  <c r="AQ28" i="13"/>
  <c r="AR28" i="13"/>
  <c r="AS28" i="13"/>
  <c r="AT28" i="13"/>
  <c r="AU28" i="13"/>
  <c r="AV28" i="13"/>
  <c r="AW28" i="13"/>
  <c r="AX28" i="13"/>
  <c r="AY28" i="13"/>
  <c r="AZ28" i="13"/>
  <c r="BA28" i="13"/>
  <c r="BB28" i="13"/>
  <c r="BC28" i="13"/>
  <c r="BD28" i="13"/>
  <c r="BE28" i="13"/>
  <c r="BF28" i="13"/>
  <c r="BG28" i="13"/>
  <c r="BH28" i="13"/>
  <c r="BI28" i="13"/>
  <c r="BJ28" i="13"/>
  <c r="BK28" i="13"/>
  <c r="BL28" i="13"/>
  <c r="BM28" i="13"/>
  <c r="BN28" i="13"/>
  <c r="BO28" i="13"/>
  <c r="B28" i="13"/>
  <c r="W23" i="13" l="1"/>
  <c r="X23" i="13" s="1"/>
  <c r="Y23" i="13" s="1"/>
  <c r="Z23" i="13" s="1"/>
  <c r="AB23" i="13" s="1"/>
  <c r="AC23" i="13" s="1"/>
  <c r="AD23" i="13" s="1"/>
  <c r="AE23" i="13" s="1"/>
  <c r="AG23" i="13" s="1"/>
  <c r="AH23" i="13" s="1"/>
  <c r="AI23" i="13" s="1"/>
  <c r="AJ23" i="13" s="1"/>
  <c r="AL23" i="13" s="1"/>
  <c r="AM23" i="13" s="1"/>
  <c r="AN23" i="13" s="1"/>
  <c r="AO23" i="13" s="1"/>
  <c r="AQ23" i="13" s="1"/>
  <c r="AR23" i="13" s="1"/>
  <c r="AS23" i="13" s="1"/>
  <c r="AT23" i="13" s="1"/>
  <c r="AV23" i="13" s="1"/>
  <c r="AW23" i="13" s="1"/>
  <c r="AX23" i="13" s="1"/>
  <c r="AY23" i="13" s="1"/>
  <c r="BA23" i="13" s="1"/>
  <c r="BB23" i="13" s="1"/>
  <c r="BC23" i="13" s="1"/>
  <c r="BD23" i="13" s="1"/>
  <c r="BF23" i="13" s="1"/>
  <c r="BG23" i="13" s="1"/>
  <c r="BH23" i="13" s="1"/>
  <c r="BI23" i="13" s="1"/>
  <c r="BK23" i="13" s="1"/>
  <c r="BL23" i="13" s="1"/>
  <c r="BM23" i="13" s="1"/>
  <c r="BN23" i="13" s="1"/>
  <c r="BO23" i="13" s="1"/>
  <c r="C18" i="16"/>
  <c r="C17" i="16"/>
  <c r="C15" i="16"/>
  <c r="E35" i="13"/>
  <c r="C35" i="13"/>
  <c r="B34" i="13"/>
  <c r="BO30" i="13"/>
  <c r="BN30" i="13"/>
  <c r="BM30" i="13"/>
  <c r="BL30" i="13"/>
  <c r="BK30" i="13"/>
  <c r="BJ30" i="13"/>
  <c r="BI30" i="13"/>
  <c r="BH30" i="13"/>
  <c r="BG30" i="13"/>
  <c r="BF30" i="13"/>
  <c r="BE30" i="13"/>
  <c r="BD30" i="13"/>
  <c r="BC30" i="13"/>
  <c r="BB30" i="13"/>
  <c r="BA30" i="13"/>
  <c r="AZ30" i="13"/>
  <c r="AY30" i="13"/>
  <c r="AX30" i="13"/>
  <c r="AW30" i="13"/>
  <c r="AV30" i="13"/>
  <c r="AU30" i="13"/>
  <c r="AT30" i="13"/>
  <c r="AS30" i="13"/>
  <c r="AR30" i="13"/>
  <c r="AQ30" i="13"/>
  <c r="AP30" i="13"/>
  <c r="AO30" i="13"/>
  <c r="AN30" i="13"/>
  <c r="AM30" i="13"/>
  <c r="AL30" i="13"/>
  <c r="AK30" i="13"/>
  <c r="AJ30" i="13"/>
  <c r="AI30" i="13"/>
  <c r="AH30" i="13"/>
  <c r="AG30" i="13"/>
  <c r="AF30" i="13"/>
  <c r="AE30" i="13"/>
  <c r="AD30" i="13"/>
  <c r="AC30" i="13"/>
  <c r="AB30" i="13"/>
  <c r="AA30" i="13"/>
  <c r="Z30" i="13"/>
  <c r="Y30" i="13"/>
  <c r="X30" i="13"/>
  <c r="W30" i="13"/>
  <c r="V30" i="13"/>
  <c r="U30" i="13"/>
  <c r="T30" i="13"/>
  <c r="S30" i="13"/>
  <c r="R30" i="13"/>
  <c r="Q30" i="13"/>
  <c r="P30" i="13"/>
  <c r="O30" i="13"/>
  <c r="N30" i="13"/>
  <c r="M30" i="13"/>
  <c r="L30" i="13"/>
  <c r="K30" i="13"/>
  <c r="J30" i="13"/>
  <c r="I30" i="13"/>
  <c r="H30" i="13"/>
  <c r="G30" i="13"/>
  <c r="F30" i="13"/>
  <c r="E30" i="13"/>
  <c r="D30" i="13"/>
  <c r="C30" i="13"/>
  <c r="B30" i="13"/>
  <c r="BO29" i="13"/>
  <c r="BN29" i="13"/>
  <c r="BM29" i="13"/>
  <c r="BL29" i="13"/>
  <c r="BK29" i="13"/>
  <c r="BJ29" i="13"/>
  <c r="BI29" i="13"/>
  <c r="BH29" i="13"/>
  <c r="BG29" i="13"/>
  <c r="BF29" i="13"/>
  <c r="BE29" i="13"/>
  <c r="BD29" i="13"/>
  <c r="BC29" i="13"/>
  <c r="BB29" i="13"/>
  <c r="BA29" i="13"/>
  <c r="AZ29" i="13"/>
  <c r="AY29" i="13"/>
  <c r="AX29" i="13"/>
  <c r="AW29" i="13"/>
  <c r="AV29" i="13"/>
  <c r="AU29" i="13"/>
  <c r="AT29" i="13"/>
  <c r="AS29" i="13"/>
  <c r="AR29" i="13"/>
  <c r="AQ29" i="13"/>
  <c r="AP29" i="13"/>
  <c r="AO29" i="13"/>
  <c r="AN29" i="13"/>
  <c r="AM29" i="13"/>
  <c r="AL29" i="13"/>
  <c r="AK29" i="13"/>
  <c r="AJ29" i="13"/>
  <c r="AI29" i="13"/>
  <c r="AH29" i="13"/>
  <c r="AG29" i="13"/>
  <c r="AF29" i="13"/>
  <c r="AE29" i="13"/>
  <c r="AD29" i="13"/>
  <c r="AC29" i="13"/>
  <c r="AB29" i="13"/>
  <c r="AA29" i="13"/>
  <c r="Z29" i="13"/>
  <c r="Y29" i="13"/>
  <c r="X29" i="13"/>
  <c r="W29" i="13"/>
  <c r="V29" i="13"/>
  <c r="U29" i="13"/>
  <c r="T29" i="13"/>
  <c r="S29" i="13"/>
  <c r="R29" i="13"/>
  <c r="Q29" i="13"/>
  <c r="P29" i="13"/>
  <c r="O29" i="13"/>
  <c r="N29" i="13"/>
  <c r="M29" i="13"/>
  <c r="L29" i="13"/>
  <c r="K29" i="13"/>
  <c r="J29" i="13"/>
  <c r="I29" i="13"/>
  <c r="H29" i="13"/>
  <c r="G29" i="13"/>
  <c r="F29" i="13"/>
  <c r="E29" i="13"/>
  <c r="D29" i="13"/>
  <c r="C29" i="13"/>
  <c r="B29" i="13"/>
  <c r="AF26" i="13"/>
  <c r="AE26" i="13"/>
  <c r="AD26" i="13"/>
  <c r="AC26" i="13"/>
  <c r="AB26" i="13"/>
  <c r="AA26" i="13"/>
  <c r="Z26" i="13"/>
  <c r="Y26" i="13"/>
  <c r="X26" i="13"/>
  <c r="W26" i="13"/>
  <c r="V26" i="13"/>
  <c r="U26" i="13"/>
  <c r="T26" i="13"/>
  <c r="S26" i="13"/>
  <c r="R26" i="13"/>
  <c r="Q26" i="13"/>
  <c r="P26" i="13"/>
  <c r="O26" i="13"/>
  <c r="N26" i="13"/>
  <c r="M26" i="13"/>
  <c r="L26" i="13"/>
  <c r="K26" i="13"/>
  <c r="J26" i="13"/>
  <c r="I26" i="13"/>
  <c r="H26" i="13"/>
  <c r="G26" i="13"/>
  <c r="F26" i="13"/>
  <c r="E26" i="13"/>
  <c r="D26" i="13"/>
  <c r="C26" i="13"/>
  <c r="B26" i="13"/>
  <c r="B9" i="16" l="1"/>
  <c r="B5" i="16"/>
  <c r="B7" i="16"/>
  <c r="D22" i="13"/>
  <c r="D24" i="13" s="1"/>
  <c r="D21" i="13" s="1"/>
  <c r="D31" i="13" s="1"/>
  <c r="B22" i="13"/>
  <c r="C22" i="13"/>
  <c r="C24" i="13" s="1"/>
  <c r="B21" i="13"/>
  <c r="B31" i="13" s="1"/>
  <c r="B11" i="16" l="1"/>
  <c r="E22" i="13"/>
  <c r="E24" i="13" s="1"/>
  <c r="C21" i="13"/>
  <c r="C31" i="13" s="1"/>
  <c r="F22" i="13" l="1"/>
  <c r="E21" i="13"/>
  <c r="E31" i="13" s="1"/>
  <c r="B18" i="5"/>
  <c r="G24" i="13" l="1"/>
  <c r="G21" i="13" s="1"/>
  <c r="G31" i="13" s="1"/>
  <c r="F24" i="13"/>
  <c r="F21" i="13" s="1"/>
  <c r="F31" i="13" s="1"/>
  <c r="E18" i="5"/>
  <c r="H22" i="13" l="1"/>
  <c r="I22" i="13" l="1"/>
  <c r="I24" i="13" s="1"/>
  <c r="I21" i="13" s="1"/>
  <c r="I31" i="13" s="1"/>
  <c r="H24" i="13"/>
  <c r="H21" i="13" s="1"/>
  <c r="H31" i="13" s="1"/>
  <c r="C18" i="5"/>
  <c r="J22" i="13" l="1"/>
  <c r="J24" i="13" s="1"/>
  <c r="J21" i="13" s="1"/>
  <c r="J31" i="13" s="1"/>
  <c r="K22" i="13" l="1"/>
  <c r="K24" i="13" s="1"/>
  <c r="K21" i="13" s="1"/>
  <c r="K31" i="13" s="1"/>
  <c r="L22" i="13" l="1"/>
  <c r="L24" i="13" s="1"/>
  <c r="L21" i="13" s="1"/>
  <c r="L31" i="13" s="1"/>
  <c r="M22" i="13" l="1"/>
  <c r="M24" i="13" s="1"/>
  <c r="M21" i="13" s="1"/>
  <c r="M31" i="13" s="1"/>
  <c r="N22" i="13" l="1"/>
  <c r="N24" i="13" s="1"/>
  <c r="N21" i="13" s="1"/>
  <c r="N31" i="13" s="1"/>
  <c r="O22" i="13" l="1"/>
  <c r="O24" i="13" s="1"/>
  <c r="O21" i="13" s="1"/>
  <c r="O31" i="13" s="1"/>
  <c r="P22" i="13" l="1"/>
  <c r="P24" i="13" s="1"/>
  <c r="P21" i="13" s="1"/>
  <c r="P31" i="13" s="1"/>
  <c r="Q22" i="13" l="1"/>
  <c r="Q24" i="13" s="1"/>
  <c r="Q21" i="13" s="1"/>
  <c r="Q31" i="13" s="1"/>
  <c r="R22" i="13" l="1"/>
  <c r="R24" i="13" s="1"/>
  <c r="R21" i="13" s="1"/>
  <c r="R31" i="13" s="1"/>
  <c r="S22" i="13" l="1"/>
  <c r="S24" i="13" s="1"/>
  <c r="S21" i="13" s="1"/>
  <c r="S31" i="13" s="1"/>
  <c r="T22" i="13" l="1"/>
  <c r="T24" i="13" s="1"/>
  <c r="T21" i="13" s="1"/>
  <c r="T31" i="13" s="1"/>
  <c r="U22" i="13" l="1"/>
  <c r="U24" i="13" s="1"/>
  <c r="U21" i="13" s="1"/>
  <c r="U31" i="13" s="1"/>
  <c r="V22" i="13" l="1"/>
  <c r="V24" i="13" s="1"/>
  <c r="V21" i="13" s="1"/>
  <c r="V31" i="13" s="1"/>
  <c r="W22" i="13" l="1"/>
  <c r="W24" i="13" s="1"/>
  <c r="W21" i="13" s="1"/>
  <c r="W31" i="13" s="1"/>
  <c r="X22" i="13" l="1"/>
  <c r="X24" i="13" s="1"/>
  <c r="X21" i="13" s="1"/>
  <c r="X31" i="13" s="1"/>
  <c r="Y22" i="13" l="1"/>
  <c r="Y24" i="13" s="1"/>
  <c r="Y21" i="13" s="1"/>
  <c r="Y31" i="13" s="1"/>
  <c r="Z22" i="13" l="1"/>
  <c r="Z24" i="13" s="1"/>
  <c r="Z21" i="13" s="1"/>
  <c r="Z31" i="13" s="1"/>
  <c r="AA22" i="13" l="1"/>
  <c r="AA24" i="13" s="1"/>
  <c r="AA21" i="13" s="1"/>
  <c r="AA31" i="13" s="1"/>
  <c r="AB22" i="13" l="1"/>
  <c r="AB24" i="13" s="1"/>
  <c r="AB21" i="13" s="1"/>
  <c r="AB31" i="13" s="1"/>
  <c r="AC22" i="13" l="1"/>
  <c r="AC24" i="13" s="1"/>
  <c r="AC21" i="13" s="1"/>
  <c r="AC31" i="13" s="1"/>
  <c r="D18" i="5"/>
  <c r="M18" i="5"/>
  <c r="U18" i="5"/>
  <c r="AC18" i="5"/>
  <c r="O18" i="5"/>
  <c r="L18" i="5"/>
  <c r="F18" i="5"/>
  <c r="N18" i="5"/>
  <c r="V18" i="5"/>
  <c r="AD18" i="5"/>
  <c r="G18" i="5"/>
  <c r="W18" i="5"/>
  <c r="H18" i="5"/>
  <c r="P18" i="5"/>
  <c r="X18" i="5"/>
  <c r="R18" i="5"/>
  <c r="AE18" i="5"/>
  <c r="AA18" i="5"/>
  <c r="T18" i="5"/>
  <c r="I18" i="5"/>
  <c r="Q18" i="5"/>
  <c r="Y18" i="5"/>
  <c r="J18" i="5"/>
  <c r="Z18" i="5"/>
  <c r="K18" i="5"/>
  <c r="S18" i="5"/>
  <c r="AB18" i="5"/>
  <c r="B5" i="5" l="1"/>
  <c r="AD22" i="13"/>
  <c r="AD24" i="13" s="1"/>
  <c r="AD21" i="13" s="1"/>
  <c r="AD31" i="13" s="1"/>
  <c r="AE22" i="13" l="1"/>
  <c r="AE24" i="13" s="1"/>
  <c r="AE21" i="13" s="1"/>
  <c r="AE31" i="13" s="1"/>
  <c r="B6" i="5"/>
  <c r="AF22" i="13" l="1"/>
  <c r="AF24" i="13" s="1"/>
  <c r="AF21" i="13" s="1"/>
  <c r="AF31" i="13" l="1"/>
  <c r="AG22" i="13"/>
  <c r="AG24" i="13" s="1"/>
  <c r="AG21" i="13" s="1"/>
  <c r="AG31" i="13" s="1"/>
  <c r="B43" i="13"/>
  <c r="AH22" i="13" l="1"/>
  <c r="AH24" i="13" s="1"/>
  <c r="AH21" i="13" s="1"/>
  <c r="AH31" i="13" s="1"/>
  <c r="AI22" i="13" l="1"/>
  <c r="AI24" i="13" s="1"/>
  <c r="AI21" i="13" s="1"/>
  <c r="AI31" i="13" s="1"/>
  <c r="AJ22" i="13" l="1"/>
  <c r="AJ24" i="13" s="1"/>
  <c r="AJ21" i="13" s="1"/>
  <c r="AJ31" i="13" s="1"/>
  <c r="AK22" i="13" l="1"/>
  <c r="AK24" i="13" s="1"/>
  <c r="AK21" i="13" s="1"/>
  <c r="AK31" i="13" s="1"/>
  <c r="AL22" i="13" l="1"/>
  <c r="AL24" i="13" s="1"/>
  <c r="AL21" i="13" s="1"/>
  <c r="AL31" i="13" s="1"/>
  <c r="AM22" i="13" l="1"/>
  <c r="AM24" i="13" s="1"/>
  <c r="AM21" i="13" s="1"/>
  <c r="AM31" i="13" s="1"/>
  <c r="AN22" i="13" l="1"/>
  <c r="AN24" i="13" s="1"/>
  <c r="AN21" i="13" s="1"/>
  <c r="AN31" i="13" s="1"/>
  <c r="AO22" i="13" l="1"/>
  <c r="AO24" i="13" s="1"/>
  <c r="AO21" i="13" s="1"/>
  <c r="AO31" i="13" s="1"/>
  <c r="AP22" i="13" l="1"/>
  <c r="AP24" i="13" s="1"/>
  <c r="AP21" i="13" s="1"/>
  <c r="AP31" i="13" s="1"/>
  <c r="AQ22" i="13" l="1"/>
  <c r="AQ24" i="13" s="1"/>
  <c r="AQ21" i="13" s="1"/>
  <c r="AQ31" i="13" s="1"/>
  <c r="AR22" i="13" l="1"/>
  <c r="AR24" i="13" s="1"/>
  <c r="AR21" i="13" s="1"/>
  <c r="AR31" i="13" s="1"/>
  <c r="AS22" i="13" l="1"/>
  <c r="AS24" i="13" s="1"/>
  <c r="AS21" i="13" s="1"/>
  <c r="AS31" i="13" s="1"/>
  <c r="AT22" i="13" l="1"/>
  <c r="AT24" i="13" s="1"/>
  <c r="AT21" i="13" s="1"/>
  <c r="AT31" i="13" s="1"/>
  <c r="AU22" i="13" l="1"/>
  <c r="AU24" i="13" s="1"/>
  <c r="AU21" i="13" s="1"/>
  <c r="AU31" i="13" s="1"/>
  <c r="AV22" i="13" l="1"/>
  <c r="AV24" i="13" s="1"/>
  <c r="AV21" i="13" s="1"/>
  <c r="AV31" i="13" s="1"/>
  <c r="AW22" i="13" l="1"/>
  <c r="AW24" i="13" s="1"/>
  <c r="AW21" i="13" s="1"/>
  <c r="AW31" i="13" s="1"/>
  <c r="AX22" i="13" l="1"/>
  <c r="AX24" i="13" s="1"/>
  <c r="AX21" i="13" s="1"/>
  <c r="AX31" i="13" s="1"/>
  <c r="AY22" i="13" l="1"/>
  <c r="AY24" i="13" s="1"/>
  <c r="AY21" i="13" s="1"/>
  <c r="AY31" i="13" s="1"/>
  <c r="AZ22" i="13" l="1"/>
  <c r="AZ24" i="13" s="1"/>
  <c r="AZ21" i="13" s="1"/>
  <c r="AZ31" i="13" s="1"/>
  <c r="BA22" i="13" l="1"/>
  <c r="BA24" i="13" s="1"/>
  <c r="BA21" i="13" s="1"/>
  <c r="BA31" i="13" s="1"/>
  <c r="BB22" i="13" l="1"/>
  <c r="BB24" i="13" s="1"/>
  <c r="BB21" i="13" s="1"/>
  <c r="BB31" i="13" s="1"/>
  <c r="BC22" i="13" l="1"/>
  <c r="BC24" i="13" s="1"/>
  <c r="BC21" i="13" s="1"/>
  <c r="BC31" i="13" s="1"/>
  <c r="BD22" i="13" l="1"/>
  <c r="BD24" i="13" s="1"/>
  <c r="BD21" i="13" s="1"/>
  <c r="BD31" i="13" s="1"/>
  <c r="BE22" i="13" l="1"/>
  <c r="BE24" i="13" s="1"/>
  <c r="BE21" i="13" s="1"/>
  <c r="BE31" i="13" s="1"/>
  <c r="BF22" i="13" l="1"/>
  <c r="BF24" i="13" s="1"/>
  <c r="BF21" i="13" s="1"/>
  <c r="BF31" i="13" s="1"/>
  <c r="BG22" i="13" l="1"/>
  <c r="BG24" i="13" s="1"/>
  <c r="BG21" i="13" s="1"/>
  <c r="BG31" i="13" s="1"/>
  <c r="BH22" i="13" l="1"/>
  <c r="BH24" i="13" s="1"/>
  <c r="BH21" i="13" s="1"/>
  <c r="BH31" i="13" s="1"/>
  <c r="BI22" i="13" l="1"/>
  <c r="BI24" i="13" s="1"/>
  <c r="BI21" i="13" s="1"/>
  <c r="BI31" i="13" s="1"/>
  <c r="BJ22" i="13" l="1"/>
  <c r="BJ24" i="13" s="1"/>
  <c r="BJ21" i="13" s="1"/>
  <c r="BJ31" i="13" s="1"/>
  <c r="BK22" i="13" l="1"/>
  <c r="BK24" i="13" s="1"/>
  <c r="BK21" i="13" s="1"/>
  <c r="BK31" i="13" s="1"/>
  <c r="BL22" i="13" l="1"/>
  <c r="BL24" i="13" s="1"/>
  <c r="BL21" i="13" s="1"/>
  <c r="BL31" i="13" s="1"/>
  <c r="BM22" i="13" l="1"/>
  <c r="BM24" i="13" s="1"/>
  <c r="BM21" i="13" s="1"/>
  <c r="BM31" i="13" s="1"/>
  <c r="BO22" i="13" l="1"/>
  <c r="BO24" i="13" s="1"/>
  <c r="BO21" i="13" s="1"/>
  <c r="BO31" i="13" s="1"/>
  <c r="BN22" i="13"/>
  <c r="BN24" i="13" s="1"/>
  <c r="BN21" i="13" s="1"/>
  <c r="BN31" i="13" s="1"/>
  <c r="B45" i="13" l="1"/>
  <c r="B47" i="13" l="1"/>
  <c r="B3" i="16" l="1"/>
  <c r="B10" i="16" s="1"/>
</calcChain>
</file>

<file path=xl/comments1.xml><?xml version="1.0" encoding="utf-8"?>
<comments xmlns="http://schemas.openxmlformats.org/spreadsheetml/2006/main">
  <authors>
    <author>Florence HEUSCHMIDT</author>
  </authors>
  <commentList>
    <comment ref="A24" authorId="0" shapeId="0">
      <text>
        <r>
          <rPr>
            <sz val="9"/>
            <color indexed="81"/>
            <rFont val="Tahoma"/>
            <family val="2"/>
          </rPr>
          <t>Pour forêt métropolitaine</t>
        </r>
      </text>
    </comment>
    <comment ref="A40"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9" authorId="0" shapeId="0">
      <text>
        <r>
          <rPr>
            <b/>
            <sz val="9"/>
            <color indexed="81"/>
            <rFont val="Tahoma"/>
            <family val="2"/>
          </rPr>
          <t>Flux entrant issu des produits bois récoltés au cours de l’année n (sur la période entre l’année n et l’année n+1) dans le scénario de projet</t>
        </r>
      </text>
    </comment>
  </commentList>
</comments>
</file>

<file path=xl/comments3.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<sst xmlns="http://schemas.openxmlformats.org/spreadsheetml/2006/main" count="250" uniqueCount="194">
  <si>
    <t>REA forêt</t>
  </si>
  <si>
    <t>Variables scénario de référence</t>
  </si>
  <si>
    <t>Variables scénario de projet</t>
  </si>
  <si>
    <t>Taux de carbone dans la matière sèche (en tC/tMS)</t>
  </si>
  <si>
    <t>FEB (facteur d'expansion "branches")</t>
  </si>
  <si>
    <t>Surface (ha)</t>
  </si>
  <si>
    <t>Litière à l'équilibre (en tC/ha)</t>
  </si>
  <si>
    <t>Peuplement incendié ou nettoyage et préparation du sol total</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</si>
  <si>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</si>
  <si>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</si>
  <si>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</si>
  <si>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</si>
  <si>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</si>
  <si>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</si>
  <si>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</si>
  <si>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</si>
  <si>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</si>
  <si>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</si>
  <si>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</si>
  <si>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</si>
  <si>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</si>
  <si>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</si>
  <si>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</si>
  <si>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</si>
  <si>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</si>
  <si>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</si>
  <si>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</si>
  <si>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</si>
  <si>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</si>
  <si>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</si>
  <si>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</si>
  <si>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</si>
  <si>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</si>
  <si>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</si>
  <si>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</si>
  <si>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</si>
  <si>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</si>
  <si>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</si>
  <si>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</si>
  <si>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</si>
  <si>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</si>
  <si>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</si>
  <si>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</si>
  <si>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</si>
  <si>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</si>
  <si>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</si>
  <si>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</si>
  <si>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</si>
  <si>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</si>
  <si>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</si>
  <si>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</si>
  <si>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</si>
  <si>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</si>
  <si>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</si>
  <si>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</si>
  <si>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</si>
  <si>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</si>
  <si>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</si>
  <si>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</si>
  <si>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</si>
  <si>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</si>
  <si>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</si>
  <si>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</si>
  <si>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</si>
  <si>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</si>
  <si>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</si>
  <si>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</si>
  <si>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</si>
  <si>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</si>
  <si>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</si>
  <si>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</si>
  <si>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</si>
  <si>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</si>
  <si>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</si>
  <si>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</si>
  <si>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</si>
  <si>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</si>
  <si>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</si>
  <si>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</si>
  <si>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</si>
  <si>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</si>
  <si>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</si>
  <si>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</si>
  <si>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</si>
  <si>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</si>
  <si>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</si>
  <si>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Produits</t>
  </si>
  <si>
    <t>t1/2</t>
  </si>
  <si>
    <t>Bois de sciage</t>
  </si>
  <si>
    <t>Panneaux de bois</t>
  </si>
  <si>
    <t>Papier</t>
  </si>
  <si>
    <t xml:space="preserve">REE substitution (en tCO2) = </t>
  </si>
  <si>
    <t>REE substitution</t>
  </si>
  <si>
    <t>n (années à partir du début du projet) (égal au max entre R et R')</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</si>
  <si>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</si>
  <si>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</si>
  <si>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</si>
  <si>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</si>
  <si>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</si>
  <si>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</si>
  <si>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</si>
  <si>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</si>
  <si>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Type de friches</t>
  </si>
  <si>
    <t>Résineux pionniers (PM, PA, PS…)</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</si>
  <si>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</si>
  <si>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</si>
  <si>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</si>
  <si>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</si>
  <si>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</si>
  <si>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</si>
  <si>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</si>
  <si>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</si>
  <si>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</si>
  <si>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</si>
  <si>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</si>
  <si>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</si>
  <si>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</si>
  <si>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</si>
  <si>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</si>
  <si>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</si>
  <si>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</si>
  <si>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</si>
  <si>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</si>
  <si>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</si>
  <si>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</si>
  <si>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</si>
  <si>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</si>
  <si>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</si>
  <si>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</si>
  <si>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</si>
  <si>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</si>
  <si>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</si>
  <si>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</si>
  <si>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</si>
  <si>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</si>
  <si>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</si>
  <si>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</si>
  <si>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</si>
  <si>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</si>
  <si>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di (infradensité de l'essence) (en tMS/m3)</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</si>
  <si>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</si>
  <si>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</si>
  <si>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</si>
  <si>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</si>
  <si>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</si>
  <si>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</si>
  <si>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</si>
  <si>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</si>
  <si>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</si>
  <si>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</si>
  <si>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</si>
  <si>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</si>
  <si>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</si>
  <si>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</si>
  <si>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</si>
  <si>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</si>
  <si>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</si>
  <si>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</si>
  <si>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</si>
  <si>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</si>
  <si>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</si>
  <si>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</si>
  <si>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</si>
  <si>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</si>
  <si>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</si>
  <si>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</si>
  <si>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</si>
  <si>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</si>
  <si>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</si>
  <si>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</si>
  <si>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</si>
  <si>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</si>
  <si>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deltaS(30) (différence de stock de C à l’année 30 entre le projet et le scénario de référence) (en tCO2/ha à 30 ans)</t>
  </si>
  <si>
    <t xml:space="preserve">REE substitution (en tCO2/ha) = </t>
  </si>
  <si>
    <t>Biomasse Aérienne (n) (en tMS/ha)</t>
  </si>
  <si>
    <t>Biomasse Racinaire (n) (en tMS/ha)</t>
  </si>
  <si>
    <t>Litière (n) (en tC/ha)</t>
  </si>
  <si>
    <t>S projet (n) (en tCO2/ha)</t>
  </si>
  <si>
    <t>S réf (n) (en tCO2/ha)</t>
  </si>
  <si>
    <t xml:space="preserve">moyenne du carbone stocké dans le projet pendant sa durée de vie (en tCO2/ha/an) </t>
  </si>
  <si>
    <t xml:space="preserve">moyenne du carbone stocké dans le scénario de référence pendant sa durée de vie (en tCO2/ha/an) </t>
  </si>
  <si>
    <t xml:space="preserve">différence de la moyenne du carbone stocké dans le projet par rapport au scénario de référence pendant sa durée de vie (en tCO2/ha/an) </t>
  </si>
  <si>
    <t>Sprojet (n) - Sréf (n) (en tCO2/ha)</t>
  </si>
  <si>
    <t>CS*Flux projet (n) (en TCO2/ha)</t>
  </si>
  <si>
    <t>Flux projet (n) (en m3/ha)</t>
  </si>
  <si>
    <t>Carbone organique du sol sur une culture (n) (en tC/ha)</t>
  </si>
  <si>
    <t>Moyenne</t>
  </si>
  <si>
    <t>Projet situé dans les GRECO de l'IGN "Méditerranée" et "Corse"</t>
  </si>
  <si>
    <t>GRECO IGN</t>
  </si>
  <si>
    <t>OUI</t>
  </si>
  <si>
    <t>NON</t>
  </si>
  <si>
    <t>Boisement Terre agricole</t>
  </si>
  <si>
    <t>Analyse économique de l’additionnalité</t>
  </si>
  <si>
    <t>Risques généraux difficilement maîtrisables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</si>
</sst>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8"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s>
  <fills count="16">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thin">
        <color indexed="64"/>
      </bottom>
      <diagonal/>
    </border>
  </borders>
  <cellStyleXfs count="1">
    <xf numFmtId="0" fontId="0" fillId="0" borderId="0"/>
  </cellStyleXfs>
  <cellXfs count="166">
    <xf numFmtId="0" fontId="0" fillId="0" borderId="0" xfId="0"/>
    <xf numFmtId="0" fontId="0" fillId="0" borderId="0" xfId="0" applyAlignment="1">
      <alignment vertical="center" wrapText="1"/>
    </xf>
    <xf numFmtId="0" fontId="0" fillId="3" borderId="4" xfId="0" applyFill="1" applyBorder="1" applyAlignment="1">
      <alignment vertical="center" wrapText="1"/>
    </xf>
    <xf numFmtId="0" fontId="0" fillId="3" borderId="6" xfId="0" applyFill="1" applyBorder="1" applyAlignment="1">
      <alignment vertical="center" wrapText="1"/>
    </xf>
    <xf numFmtId="0" fontId="0" fillId="3" borderId="8" xfId="0" applyFill="1" applyBorder="1" applyAlignment="1">
      <alignment vertical="center" wrapText="1"/>
    </xf>
    <xf numFmtId="0" fontId="0" fillId="5"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3" borderId="14" xfId="0" applyFill="1" applyBorder="1" applyAlignment="1">
      <alignment vertical="center" wrapText="1"/>
    </xf>
    <xf numFmtId="0" fontId="0" fillId="6" borderId="3" xfId="0" applyFill="1" applyBorder="1" applyAlignment="1">
      <alignment horizontal="center" vertical="center"/>
    </xf>
    <xf numFmtId="0" fontId="0" fillId="6" borderId="10" xfId="0" applyFill="1" applyBorder="1" applyAlignment="1">
      <alignment horizontal="center" vertical="center"/>
    </xf>
    <xf numFmtId="0" fontId="0" fillId="6" borderId="20"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4" borderId="21" xfId="0" applyFont="1" applyFill="1" applyBorder="1" applyAlignment="1">
      <alignment vertical="center" wrapText="1"/>
    </xf>
    <xf numFmtId="0" fontId="0" fillId="6" borderId="11" xfId="0" applyFill="1" applyBorder="1" applyAlignment="1">
      <alignment horizontal="center" vertical="center"/>
    </xf>
    <xf numFmtId="0" fontId="0" fillId="6" borderId="7" xfId="0" applyFill="1" applyBorder="1" applyAlignment="1">
      <alignment horizontal="center" vertical="center"/>
    </xf>
    <xf numFmtId="0" fontId="0" fillId="6" borderId="26" xfId="0" applyFill="1" applyBorder="1" applyAlignment="1">
      <alignment horizontal="center" vertical="center"/>
    </xf>
    <xf numFmtId="0" fontId="4" fillId="4" borderId="4" xfId="0" applyFont="1" applyFill="1" applyBorder="1" applyAlignment="1">
      <alignment horizontal="center" vertical="center" wrapText="1"/>
    </xf>
    <xf numFmtId="0" fontId="5" fillId="4" borderId="21" xfId="0" applyFont="1" applyFill="1" applyBorder="1" applyAlignment="1">
      <alignment vertical="center" wrapText="1"/>
    </xf>
    <xf numFmtId="0" fontId="0" fillId="6" borderId="3" xfId="0" applyFill="1" applyBorder="1" applyAlignment="1">
      <alignment horizontal="center" vertical="center" wrapText="1"/>
    </xf>
    <xf numFmtId="0" fontId="0" fillId="0" borderId="7" xfId="0" applyBorder="1" applyAlignment="1">
      <alignment horizontal="center" vertical="center" wrapText="1"/>
    </xf>
    <xf numFmtId="2" fontId="0" fillId="6" borderId="22" xfId="0" applyNumberFormat="1" applyFill="1" applyBorder="1" applyAlignment="1">
      <alignment horizontal="center" vertical="center"/>
    </xf>
    <xf numFmtId="2" fontId="0" fillId="6"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6" borderId="9" xfId="0" applyFill="1" applyBorder="1" applyAlignment="1">
      <alignment horizontal="center" vertical="center"/>
    </xf>
    <xf numFmtId="0" fontId="4" fillId="0" borderId="30" xfId="0" applyFont="1" applyBorder="1" applyAlignment="1">
      <alignment horizontal="center" vertical="center" wrapText="1"/>
    </xf>
    <xf numFmtId="0" fontId="4" fillId="4"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0" fillId="0" borderId="0" xfId="0" applyAlignment="1">
      <alignment wrapText="1"/>
    </xf>
    <xf numFmtId="0" fontId="4" fillId="2" borderId="21" xfId="0" applyFont="1" applyFill="1" applyBorder="1" applyAlignment="1">
      <alignment horizontal="center" vertical="center" wrapText="1"/>
    </xf>
    <xf numFmtId="0" fontId="0" fillId="3" borderId="3" xfId="0"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3" xfId="0" applyFill="1" applyBorder="1" applyAlignment="1">
      <alignment horizontal="center" vertical="center" wrapText="1"/>
    </xf>
    <xf numFmtId="0" fontId="0" fillId="6" borderId="5" xfId="0" applyFill="1" applyBorder="1" applyAlignment="1">
      <alignment horizontal="center" vertical="center" wrapText="1"/>
    </xf>
    <xf numFmtId="0" fontId="0" fillId="6"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7" xfId="0" applyFill="1" applyBorder="1"/>
    <xf numFmtId="0" fontId="1" fillId="0" borderId="1" xfId="0" applyFont="1" applyFill="1" applyBorder="1" applyAlignment="1">
      <alignment vertical="center" wrapText="1"/>
    </xf>
    <xf numFmtId="0" fontId="0" fillId="0" borderId="27" xfId="0" applyFill="1" applyBorder="1" applyAlignment="1">
      <alignment horizontal="center" vertical="center"/>
    </xf>
    <xf numFmtId="0" fontId="0" fillId="6" borderId="25" xfId="0" applyFill="1" applyBorder="1" applyAlignment="1">
      <alignment horizontal="center" vertical="center"/>
    </xf>
    <xf numFmtId="0" fontId="0" fillId="0" borderId="11" xfId="0" applyFill="1" applyBorder="1" applyAlignment="1">
      <alignment horizontal="center" vertical="center"/>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6" borderId="3" xfId="0" applyFont="1" applyFill="1" applyBorder="1" applyAlignment="1">
      <alignment horizontal="center" vertical="center" wrapText="1"/>
    </xf>
    <xf numFmtId="0" fontId="0" fillId="3" borderId="14" xfId="0" applyFont="1" applyFill="1" applyBorder="1" applyAlignment="1">
      <alignment horizontal="left" vertical="center" wrapText="1"/>
    </xf>
    <xf numFmtId="0" fontId="0" fillId="6" borderId="7" xfId="0" applyFont="1" applyFill="1" applyBorder="1" applyAlignment="1">
      <alignment horizontal="center" vertical="center" wrapText="1"/>
    </xf>
    <xf numFmtId="0" fontId="4" fillId="2" borderId="32" xfId="0" applyFont="1" applyFill="1" applyBorder="1" applyAlignment="1">
      <alignment horizontal="center" vertical="center"/>
    </xf>
    <xf numFmtId="0" fontId="0" fillId="3" borderId="43"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45" xfId="0" applyFill="1" applyBorder="1" applyAlignment="1">
      <alignment horizontal="center" vertical="center" wrapText="1"/>
    </xf>
    <xf numFmtId="0" fontId="1" fillId="9" borderId="30" xfId="0" applyFont="1" applyFill="1" applyBorder="1" applyAlignment="1">
      <alignment horizontal="center" vertical="center" wrapText="1"/>
    </xf>
    <xf numFmtId="0" fontId="0" fillId="3" borderId="46"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47" xfId="0" applyFill="1" applyBorder="1" applyAlignment="1">
      <alignment horizontal="center" vertical="center" wrapText="1"/>
    </xf>
    <xf numFmtId="0" fontId="1" fillId="9" borderId="48"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9"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14" xfId="0" applyFill="1" applyBorder="1" applyAlignment="1">
      <alignment horizontal="center" vertical="center" wrapText="1"/>
    </xf>
    <xf numFmtId="0" fontId="4" fillId="2" borderId="30" xfId="0" applyFont="1" applyFill="1" applyBorder="1" applyAlignment="1">
      <alignment horizontal="center" vertical="center" wrapText="1"/>
    </xf>
    <xf numFmtId="0" fontId="0" fillId="3" borderId="31"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33" xfId="0" applyFill="1" applyBorder="1" applyAlignment="1">
      <alignment horizontal="center" vertical="center" wrapText="1"/>
    </xf>
    <xf numFmtId="0" fontId="0" fillId="0" borderId="0" xfId="0" applyFill="1" applyBorder="1" applyAlignment="1">
      <alignment horizontal="center" vertical="center" wrapText="1"/>
    </xf>
    <xf numFmtId="0" fontId="0" fillId="3" borderId="40" xfId="0" applyFill="1" applyBorder="1" applyAlignment="1">
      <alignment horizontal="center" vertical="center" wrapText="1"/>
    </xf>
    <xf numFmtId="0" fontId="4" fillId="2" borderId="24"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6" borderId="3" xfId="0" applyNumberFormat="1" applyFill="1" applyBorder="1" applyAlignment="1">
      <alignment horizontal="center" vertical="center"/>
    </xf>
    <xf numFmtId="1" fontId="0" fillId="6" borderId="5" xfId="0" applyNumberFormat="1" applyFill="1" applyBorder="1" applyAlignment="1">
      <alignment horizontal="center" vertical="center"/>
    </xf>
    <xf numFmtId="0" fontId="0" fillId="3" borderId="28" xfId="0" applyFill="1" applyBorder="1" applyAlignment="1">
      <alignment vertical="center" wrapText="1"/>
    </xf>
    <xf numFmtId="1" fontId="0" fillId="6" borderId="9" xfId="0" applyNumberFormat="1" applyFill="1" applyBorder="1" applyAlignment="1">
      <alignment horizontal="center" vertical="center"/>
    </xf>
    <xf numFmtId="0" fontId="0" fillId="0" borderId="0" xfId="0" applyBorder="1"/>
    <xf numFmtId="0" fontId="0" fillId="11" borderId="6" xfId="0" applyFill="1" applyBorder="1" applyAlignment="1">
      <alignment vertical="center" wrapText="1"/>
    </xf>
    <xf numFmtId="0" fontId="0" fillId="6" borderId="22" xfId="0" applyFill="1" applyBorder="1" applyAlignment="1">
      <alignment horizontal="center"/>
    </xf>
    <xf numFmtId="1" fontId="0" fillId="12" borderId="5" xfId="0" applyNumberFormat="1" applyFill="1" applyBorder="1" applyAlignment="1">
      <alignment horizontal="center" vertical="center"/>
    </xf>
    <xf numFmtId="1" fontId="0" fillId="12" borderId="9" xfId="0" applyNumberFormat="1" applyFill="1" applyBorder="1" applyAlignment="1">
      <alignment horizontal="center" vertical="center"/>
    </xf>
    <xf numFmtId="165" fontId="0" fillId="8" borderId="24" xfId="0" applyNumberFormat="1" applyFill="1" applyBorder="1" applyAlignment="1">
      <alignment horizontal="center" vertical="center"/>
    </xf>
    <xf numFmtId="0" fontId="4" fillId="13" borderId="6"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0" fillId="0" borderId="0" xfId="0" applyFill="1" applyAlignment="1">
      <alignment wrapText="1"/>
    </xf>
    <xf numFmtId="0" fontId="0" fillId="3" borderId="8" xfId="0" applyFill="1" applyBorder="1" applyAlignment="1">
      <alignment horizontal="center" vertical="center" wrapText="1"/>
    </xf>
    <xf numFmtId="165" fontId="0" fillId="6" borderId="11" xfId="0" applyNumberFormat="1" applyFill="1" applyBorder="1" applyAlignment="1">
      <alignment horizontal="center" vertical="center"/>
    </xf>
    <xf numFmtId="0" fontId="1" fillId="9" borderId="53" xfId="0" applyFont="1" applyFill="1" applyBorder="1" applyAlignment="1">
      <alignment horizontal="center" vertical="center" wrapText="1"/>
    </xf>
    <xf numFmtId="0" fontId="0" fillId="3" borderId="39" xfId="0" applyFill="1" applyBorder="1" applyAlignment="1">
      <alignment vertical="center" wrapText="1"/>
    </xf>
    <xf numFmtId="0" fontId="0" fillId="14" borderId="51" xfId="0" applyFill="1" applyBorder="1" applyAlignment="1">
      <alignment horizontal="center" vertical="center" wrapText="1"/>
    </xf>
    <xf numFmtId="0" fontId="0" fillId="3" borderId="54" xfId="0" applyFill="1" applyBorder="1" applyAlignment="1">
      <alignment vertical="center" wrapText="1"/>
    </xf>
    <xf numFmtId="0" fontId="0" fillId="3" borderId="6" xfId="0" applyFill="1" applyBorder="1" applyAlignment="1">
      <alignment horizontal="center" vertical="center" wrapText="1"/>
    </xf>
    <xf numFmtId="0" fontId="0" fillId="3" borderId="38" xfId="0" applyFill="1" applyBorder="1" applyAlignment="1">
      <alignment horizontal="center" vertical="center" wrapText="1"/>
    </xf>
    <xf numFmtId="165" fontId="0" fillId="0" borderId="3" xfId="0" applyNumberFormat="1" applyBorder="1" applyAlignment="1">
      <alignment horizontal="center" vertical="center"/>
    </xf>
    <xf numFmtId="0" fontId="0" fillId="0" borderId="55" xfId="0" applyBorder="1" applyAlignment="1">
      <alignment horizontal="center" vertical="center"/>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1" fillId="5" borderId="14" xfId="0" applyFont="1" applyFill="1" applyBorder="1" applyAlignment="1">
      <alignment vertical="center" wrapText="1"/>
    </xf>
    <xf numFmtId="0" fontId="1" fillId="5" borderId="15" xfId="0" applyFont="1" applyFill="1" applyBorder="1" applyAlignment="1">
      <alignment vertical="center" wrapText="1"/>
    </xf>
    <xf numFmtId="0" fontId="0" fillId="6" borderId="56" xfId="0" applyFill="1" applyBorder="1" applyAlignment="1">
      <alignment horizontal="center" vertical="center"/>
    </xf>
    <xf numFmtId="165" fontId="0" fillId="6" borderId="10" xfId="0" applyNumberFormat="1" applyFill="1" applyBorder="1" applyAlignment="1">
      <alignment horizontal="center" vertical="center"/>
    </xf>
    <xf numFmtId="165" fontId="6" fillId="8" borderId="24" xfId="0" applyNumberFormat="1" applyFont="1" applyFill="1" applyBorder="1" applyAlignment="1">
      <alignment horizontal="center" vertical="center"/>
    </xf>
    <xf numFmtId="165" fontId="0" fillId="6" borderId="34" xfId="0" applyNumberFormat="1" applyFill="1" applyBorder="1" applyAlignment="1">
      <alignment horizontal="center" vertical="center"/>
    </xf>
    <xf numFmtId="0" fontId="4" fillId="0" borderId="27" xfId="0" applyFont="1" applyFill="1" applyBorder="1" applyAlignment="1">
      <alignment horizontal="center" vertical="center" wrapText="1"/>
    </xf>
    <xf numFmtId="0" fontId="4" fillId="0" borderId="27" xfId="0" applyFont="1" applyFill="1" applyBorder="1" applyAlignment="1">
      <alignment vertical="center" wrapText="1"/>
    </xf>
    <xf numFmtId="1" fontId="4" fillId="8" borderId="49" xfId="0" applyNumberFormat="1" applyFont="1" applyFill="1" applyBorder="1" applyAlignment="1">
      <alignment horizontal="center" vertical="center" wrapText="1"/>
    </xf>
    <xf numFmtId="1" fontId="4" fillId="8" borderId="10" xfId="0" applyNumberFormat="1" applyFont="1" applyFill="1" applyBorder="1" applyAlignment="1">
      <alignment horizontal="center" vertical="center" wrapText="1"/>
    </xf>
    <xf numFmtId="1" fontId="4" fillId="8" borderId="34" xfId="0" applyNumberFormat="1" applyFont="1" applyFill="1" applyBorder="1" applyAlignment="1">
      <alignment horizontal="center" vertical="center" wrapText="1"/>
    </xf>
    <xf numFmtId="1" fontId="0" fillId="10" borderId="49" xfId="0" applyNumberFormat="1" applyFill="1" applyBorder="1" applyAlignment="1">
      <alignment horizontal="center" vertical="center"/>
    </xf>
    <xf numFmtId="0" fontId="4" fillId="0" borderId="41" xfId="0" applyFont="1" applyBorder="1" applyAlignment="1">
      <alignment horizontal="center" vertical="center" wrapText="1"/>
    </xf>
    <xf numFmtId="0" fontId="4" fillId="0" borderId="0" xfId="0"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1" fontId="0" fillId="0" borderId="0" xfId="0" applyNumberFormat="1" applyFill="1" applyBorder="1" applyAlignment="1">
      <alignment horizontal="center" vertical="center"/>
    </xf>
    <xf numFmtId="1" fontId="4" fillId="0" borderId="27" xfId="0" applyNumberFormat="1" applyFont="1" applyFill="1" applyBorder="1" applyAlignment="1">
      <alignment horizontal="center" vertical="center" wrapText="1"/>
    </xf>
    <xf numFmtId="1" fontId="0" fillId="0" borderId="27" xfId="0" applyNumberFormat="1" applyFill="1" applyBorder="1" applyAlignment="1">
      <alignment horizontal="center" vertical="center"/>
    </xf>
    <xf numFmtId="0" fontId="0" fillId="3" borderId="8" xfId="0" applyFill="1" applyBorder="1" applyAlignment="1">
      <alignment horizontal="center" vertical="center" wrapText="1"/>
    </xf>
    <xf numFmtId="0" fontId="0" fillId="3" borderId="19" xfId="0" applyFill="1" applyBorder="1" applyAlignment="1">
      <alignment horizontal="center" vertical="center" wrapText="1"/>
    </xf>
    <xf numFmtId="0" fontId="4" fillId="2" borderId="50" xfId="0" applyFont="1" applyFill="1" applyBorder="1" applyAlignment="1">
      <alignment vertical="center" wrapText="1"/>
    </xf>
    <xf numFmtId="0" fontId="4" fillId="2" borderId="41" xfId="0" applyFont="1" applyFill="1" applyBorder="1" applyAlignment="1">
      <alignment vertical="center" wrapText="1"/>
    </xf>
    <xf numFmtId="0" fontId="1" fillId="0" borderId="27" xfId="0" applyFont="1" applyFill="1" applyBorder="1" applyAlignment="1">
      <alignment vertical="center" wrapText="1"/>
    </xf>
    <xf numFmtId="165" fontId="0" fillId="0" borderId="27" xfId="0" applyNumberFormat="1" applyFill="1" applyBorder="1" applyAlignment="1">
      <alignment horizontal="center" vertical="center"/>
    </xf>
    <xf numFmtId="165" fontId="0" fillId="0" borderId="0" xfId="0" applyNumberFormat="1" applyFill="1" applyBorder="1" applyAlignment="1">
      <alignment horizontal="center" vertical="center"/>
    </xf>
    <xf numFmtId="0" fontId="0" fillId="15" borderId="26" xfId="0" applyFill="1" applyBorder="1" applyAlignment="1">
      <alignment horizontal="center" vertical="center"/>
    </xf>
    <xf numFmtId="0" fontId="0" fillId="15" borderId="56" xfId="0" applyFill="1" applyBorder="1" applyAlignment="1">
      <alignment horizontal="center" vertical="center"/>
    </xf>
    <xf numFmtId="164" fontId="0" fillId="0" borderId="11" xfId="0" applyNumberFormat="1" applyFill="1" applyBorder="1" applyAlignment="1">
      <alignment horizontal="center" vertical="center"/>
    </xf>
    <xf numFmtId="1" fontId="0" fillId="0" borderId="11" xfId="0" applyNumberFormat="1" applyFill="1" applyBorder="1" applyAlignment="1">
      <alignment horizontal="center" vertical="center"/>
    </xf>
    <xf numFmtId="1" fontId="0" fillId="0" borderId="9" xfId="0" applyNumberFormat="1" applyFill="1" applyBorder="1" applyAlignment="1">
      <alignment horizontal="center" vertical="center"/>
    </xf>
    <xf numFmtId="2" fontId="0" fillId="6" borderId="5" xfId="0" applyNumberFormat="1" applyFill="1" applyBorder="1" applyAlignment="1">
      <alignment horizontal="center" vertical="center"/>
    </xf>
    <xf numFmtId="1" fontId="0" fillId="10" borderId="9" xfId="0" applyNumberFormat="1" applyFill="1" applyBorder="1" applyAlignment="1">
      <alignment horizontal="center" vertical="center"/>
    </xf>
    <xf numFmtId="0" fontId="0" fillId="0" borderId="11" xfId="0" applyFill="1" applyBorder="1" applyAlignment="1">
      <alignment horizontal="center" vertical="center" wrapText="1"/>
    </xf>
    <xf numFmtId="0" fontId="0" fillId="6" borderId="9"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5" borderId="35"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0" fillId="5" borderId="16" xfId="0" applyFill="1" applyBorder="1" applyAlignment="1">
      <alignment horizontal="center" vertical="center" wrapText="1"/>
    </xf>
    <xf numFmtId="0" fontId="0" fillId="5" borderId="52"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4" fillId="5" borderId="12"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37"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28" xfId="0" applyFill="1" applyBorder="1" applyAlignment="1">
      <alignment horizontal="center" vertical="center" wrapText="1"/>
    </xf>
    <xf numFmtId="0" fontId="1" fillId="9" borderId="50" xfId="0" applyFont="1" applyFill="1" applyBorder="1" applyAlignment="1">
      <alignment horizontal="center" vertical="center" wrapText="1"/>
    </xf>
    <xf numFmtId="0" fontId="1" fillId="9" borderId="41" xfId="0" applyFont="1" applyFill="1" applyBorder="1" applyAlignment="1">
      <alignment horizontal="center" vertical="center" wrapText="1"/>
    </xf>
    <xf numFmtId="0" fontId="1" fillId="9" borderId="4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9"/>
  <sheetViews>
    <sheetView topLeftCell="R1" zoomScale="53" workbookViewId="0">
      <selection activeCell="G23" sqref="G23"/>
    </sheetView>
  </sheetViews>
  <sheetFormatPr baseColWidth="10" defaultRowHeight="14.5" x14ac:dyDescent="0.35"/>
  <cols>
    <col min="1" max="1" width="33.6328125" style="1" customWidth="1"/>
    <col min="2" max="2" width="19.90625" customWidth="1"/>
    <col min="3" max="3" width="21.7265625" bestFit="1" customWidth="1"/>
    <col min="4" max="4" width="15.7265625" customWidth="1"/>
    <col min="5" max="5" width="20.6328125" bestFit="1" customWidth="1"/>
    <col min="6" max="8" width="21.7265625" bestFit="1" customWidth="1"/>
    <col min="9" max="9" width="20.6328125" bestFit="1" customWidth="1"/>
    <col min="10" max="12" width="21.7265625" bestFit="1" customWidth="1"/>
    <col min="13" max="13" width="20.6328125" bestFit="1" customWidth="1"/>
    <col min="14" max="73" width="21.7265625" bestFit="1" customWidth="1"/>
    <col min="74" max="74" width="19.6328125" bestFit="1" customWidth="1"/>
    <col min="75" max="80" width="21.7265625" bestFit="1" customWidth="1"/>
    <col min="81" max="81" width="20.6328125" bestFit="1" customWidth="1"/>
    <col min="82" max="84" width="21.7265625" bestFit="1" customWidth="1"/>
  </cols>
  <sheetData>
    <row r="1" spans="1:4" x14ac:dyDescent="0.35">
      <c r="D1" s="95"/>
    </row>
    <row r="4" spans="1:4" ht="15" thickBot="1" x14ac:dyDescent="0.4">
      <c r="B4" s="9"/>
    </row>
    <row r="5" spans="1:4" ht="37.5" thickBot="1" x14ac:dyDescent="0.4">
      <c r="A5" s="25" t="s">
        <v>168</v>
      </c>
      <c r="B5" s="112">
        <f>MIN(B42,B48)</f>
        <v>339.8735251663573</v>
      </c>
    </row>
    <row r="6" spans="1:4" ht="37.5" thickBot="1" x14ac:dyDescent="0.4">
      <c r="A6" s="25" t="s">
        <v>145</v>
      </c>
      <c r="B6" s="112">
        <f>B5*B10</f>
        <v>679.74705033271459</v>
      </c>
    </row>
    <row r="8" spans="1:4" ht="15" thickBot="1" x14ac:dyDescent="0.4"/>
    <row r="9" spans="1:4" ht="15" thickBot="1" x14ac:dyDescent="0.4">
      <c r="A9" s="142" t="s">
        <v>11</v>
      </c>
      <c r="B9" s="143"/>
    </row>
    <row r="10" spans="1:4" x14ac:dyDescent="0.35">
      <c r="A10" s="2" t="s">
        <v>5</v>
      </c>
      <c r="B10" s="81">
        <v>2</v>
      </c>
    </row>
    <row r="11" spans="1:4" x14ac:dyDescent="0.35">
      <c r="A11" s="3" t="s">
        <v>12</v>
      </c>
      <c r="B11" s="82">
        <v>65</v>
      </c>
    </row>
    <row r="12" spans="1:4" x14ac:dyDescent="0.35">
      <c r="A12" s="3" t="s">
        <v>16</v>
      </c>
      <c r="B12" s="82" t="s">
        <v>18</v>
      </c>
    </row>
    <row r="13" spans="1:4" x14ac:dyDescent="0.35">
      <c r="A13" s="3" t="s">
        <v>13</v>
      </c>
      <c r="B13" s="82">
        <v>65</v>
      </c>
    </row>
    <row r="14" spans="1:4" x14ac:dyDescent="0.35">
      <c r="A14" s="3" t="s">
        <v>14</v>
      </c>
      <c r="B14" s="22">
        <v>30</v>
      </c>
    </row>
    <row r="15" spans="1:4" x14ac:dyDescent="0.35">
      <c r="A15" s="101" t="s">
        <v>133</v>
      </c>
      <c r="B15" s="105" t="s">
        <v>135</v>
      </c>
    </row>
    <row r="16" spans="1:4" ht="29.5" thickBot="1" x14ac:dyDescent="0.4">
      <c r="A16" s="99" t="s">
        <v>187</v>
      </c>
      <c r="B16" s="100" t="s">
        <v>190</v>
      </c>
    </row>
    <row r="17" spans="1:177" ht="15" thickBot="1" x14ac:dyDescent="0.4"/>
    <row r="18" spans="1:177" s="5" customFormat="1" ht="16" thickBot="1" x14ac:dyDescent="0.4">
      <c r="A18" s="128" t="s">
        <v>0</v>
      </c>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15"/>
      <c r="BQ18" s="19"/>
      <c r="BR18" s="19"/>
      <c r="BS18" s="19"/>
      <c r="BT18" s="19"/>
      <c r="BU18" s="19"/>
      <c r="BV18" s="19"/>
      <c r="BW18" s="19"/>
      <c r="BX18" s="19"/>
      <c r="BY18" s="19"/>
      <c r="BZ18" s="19"/>
      <c r="CA18" s="19"/>
      <c r="CB18" s="19"/>
      <c r="CC18" s="19"/>
      <c r="CD18" s="19"/>
      <c r="CE18" s="19"/>
      <c r="CF18" s="19"/>
      <c r="CG18" s="7"/>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85" t="s">
        <v>93</v>
      </c>
      <c r="B19" s="23">
        <v>0</v>
      </c>
      <c r="C19" s="23">
        <v>1</v>
      </c>
      <c r="D19" s="23">
        <v>2</v>
      </c>
      <c r="E19" s="23">
        <v>3</v>
      </c>
      <c r="F19" s="23">
        <v>4</v>
      </c>
      <c r="G19" s="23">
        <v>5</v>
      </c>
      <c r="H19" s="23">
        <v>6</v>
      </c>
      <c r="I19" s="23">
        <v>7</v>
      </c>
      <c r="J19" s="23">
        <v>8</v>
      </c>
      <c r="K19" s="23">
        <v>9</v>
      </c>
      <c r="L19" s="23">
        <v>10</v>
      </c>
      <c r="M19" s="23">
        <v>11</v>
      </c>
      <c r="N19" s="23">
        <v>12</v>
      </c>
      <c r="O19" s="23">
        <v>13</v>
      </c>
      <c r="P19" s="23">
        <v>14</v>
      </c>
      <c r="Q19" s="23">
        <v>15</v>
      </c>
      <c r="R19" s="23">
        <v>16</v>
      </c>
      <c r="S19" s="133">
        <v>17</v>
      </c>
      <c r="T19" s="23">
        <v>18</v>
      </c>
      <c r="U19" s="23">
        <v>19</v>
      </c>
      <c r="V19" s="133">
        <v>20</v>
      </c>
      <c r="W19" s="23">
        <v>21</v>
      </c>
      <c r="X19" s="23">
        <v>22</v>
      </c>
      <c r="Y19" s="23">
        <v>23</v>
      </c>
      <c r="Z19" s="23">
        <v>24</v>
      </c>
      <c r="AA19" s="133">
        <v>25</v>
      </c>
      <c r="AB19" s="23">
        <v>26</v>
      </c>
      <c r="AC19" s="23">
        <v>27</v>
      </c>
      <c r="AD19" s="23">
        <v>28</v>
      </c>
      <c r="AE19" s="23">
        <v>29</v>
      </c>
      <c r="AF19" s="134">
        <v>30</v>
      </c>
      <c r="AG19" s="23">
        <v>31</v>
      </c>
      <c r="AH19" s="110">
        <v>32</v>
      </c>
      <c r="AI19" s="23">
        <v>33</v>
      </c>
      <c r="AJ19" s="110">
        <v>34</v>
      </c>
      <c r="AK19" s="133">
        <v>35</v>
      </c>
      <c r="AL19" s="110">
        <v>36</v>
      </c>
      <c r="AM19" s="23">
        <v>37</v>
      </c>
      <c r="AN19" s="110">
        <v>38</v>
      </c>
      <c r="AO19" s="23">
        <v>39</v>
      </c>
      <c r="AP19" s="134">
        <v>40</v>
      </c>
      <c r="AQ19" s="23">
        <v>41</v>
      </c>
      <c r="AR19" s="110">
        <v>42</v>
      </c>
      <c r="AS19" s="23">
        <v>43</v>
      </c>
      <c r="AT19" s="110">
        <v>44</v>
      </c>
      <c r="AU19" s="133">
        <v>45</v>
      </c>
      <c r="AV19" s="110">
        <v>46</v>
      </c>
      <c r="AW19" s="23">
        <v>47</v>
      </c>
      <c r="AX19" s="110">
        <v>48</v>
      </c>
      <c r="AY19" s="23">
        <v>49</v>
      </c>
      <c r="AZ19" s="134">
        <v>50</v>
      </c>
      <c r="BA19" s="23">
        <v>51</v>
      </c>
      <c r="BB19" s="110">
        <v>52</v>
      </c>
      <c r="BC19" s="23">
        <v>53</v>
      </c>
      <c r="BD19" s="110">
        <v>54</v>
      </c>
      <c r="BE19" s="133">
        <v>55</v>
      </c>
      <c r="BF19" s="110">
        <v>56</v>
      </c>
      <c r="BG19" s="23">
        <v>57</v>
      </c>
      <c r="BH19" s="110">
        <v>58</v>
      </c>
      <c r="BI19" s="23">
        <v>59</v>
      </c>
      <c r="BJ19" s="134">
        <v>60</v>
      </c>
      <c r="BK19" s="23">
        <v>61</v>
      </c>
      <c r="BL19" s="110">
        <v>62</v>
      </c>
      <c r="BM19" s="23">
        <v>63</v>
      </c>
      <c r="BN19" s="110">
        <v>64</v>
      </c>
      <c r="BO19" s="134">
        <v>65</v>
      </c>
      <c r="BP19" s="48"/>
      <c r="BQ19" s="15"/>
      <c r="BR19" s="15"/>
      <c r="BS19" s="15"/>
      <c r="BT19" s="15"/>
      <c r="BU19" s="15"/>
      <c r="BV19" s="15"/>
      <c r="BW19" s="15"/>
      <c r="BX19" s="15"/>
      <c r="BY19" s="15"/>
      <c r="BZ19" s="15"/>
      <c r="CA19" s="15"/>
      <c r="CB19" s="15"/>
      <c r="CC19" s="15"/>
      <c r="CD19" s="15"/>
      <c r="CE19" s="15"/>
      <c r="CF19" s="15"/>
      <c r="CG19" s="7"/>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06" t="s">
        <v>2</v>
      </c>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30"/>
      <c r="BQ20" s="6"/>
      <c r="BR20" s="6"/>
      <c r="BS20" s="6"/>
      <c r="BT20" s="6"/>
      <c r="BU20" s="6"/>
      <c r="BV20" s="6"/>
      <c r="BW20" s="6"/>
      <c r="BX20" s="6"/>
      <c r="BY20" s="6"/>
      <c r="BZ20" s="6"/>
      <c r="CA20" s="6"/>
      <c r="CB20" s="6"/>
      <c r="CC20" s="6"/>
      <c r="CD20" s="6"/>
      <c r="CE20" s="6"/>
      <c r="CF20" s="6"/>
      <c r="CG20" s="7"/>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177</v>
      </c>
      <c r="B21" s="83">
        <f t="shared" ref="B21:AG21" si="0">(((B22+B24)*$B$33)+(B25+B26))*(44/12)</f>
        <v>165</v>
      </c>
      <c r="C21" s="83">
        <f t="shared" si="0"/>
        <v>177.80702971889562</v>
      </c>
      <c r="D21" s="83">
        <f t="shared" si="0"/>
        <v>190.15113779588754</v>
      </c>
      <c r="E21" s="83">
        <f t="shared" si="0"/>
        <v>202.32754646052882</v>
      </c>
      <c r="F21" s="83">
        <f t="shared" si="0"/>
        <v>214.39065355147684</v>
      </c>
      <c r="G21" s="83">
        <f t="shared" si="0"/>
        <v>226.36536291945359</v>
      </c>
      <c r="H21" s="83">
        <f t="shared" si="0"/>
        <v>238.26607124564279</v>
      </c>
      <c r="I21" s="83">
        <f t="shared" si="0"/>
        <v>250.10221299188836</v>
      </c>
      <c r="J21" s="83">
        <f t="shared" si="0"/>
        <v>261.88048730031761</v>
      </c>
      <c r="K21" s="83">
        <f t="shared" si="0"/>
        <v>273.60592670844409</v>
      </c>
      <c r="L21" s="83">
        <f t="shared" si="0"/>
        <v>285.28247369470699</v>
      </c>
      <c r="M21" s="83">
        <f t="shared" si="0"/>
        <v>296.91331884699798</v>
      </c>
      <c r="N21" s="83">
        <f t="shared" si="0"/>
        <v>308.50111213918831</v>
      </c>
      <c r="O21" s="83">
        <f t="shared" si="0"/>
        <v>320.04810162864834</v>
      </c>
      <c r="P21" s="83">
        <f t="shared" si="0"/>
        <v>331.55622821820833</v>
      </c>
      <c r="Q21" s="83">
        <f t="shared" si="0"/>
        <v>343.02719256985301</v>
      </c>
      <c r="R21" s="83">
        <f t="shared" si="0"/>
        <v>354.46250368115028</v>
      </c>
      <c r="S21" s="83">
        <f t="shared" si="0"/>
        <v>346.3316803323961</v>
      </c>
      <c r="T21" s="83">
        <f t="shared" si="0"/>
        <v>366.70643901065057</v>
      </c>
      <c r="U21" s="83">
        <f t="shared" si="0"/>
        <v>387.01114062696166</v>
      </c>
      <c r="V21" s="83">
        <f t="shared" si="0"/>
        <v>387.81712785561848</v>
      </c>
      <c r="W21" s="83">
        <f t="shared" si="0"/>
        <v>412.18254760934053</v>
      </c>
      <c r="X21" s="83">
        <f t="shared" si="0"/>
        <v>436.47015602512232</v>
      </c>
      <c r="Y21" s="83">
        <f t="shared" si="0"/>
        <v>460.6870841735838</v>
      </c>
      <c r="Z21" s="83">
        <f t="shared" si="0"/>
        <v>484.83909787853861</v>
      </c>
      <c r="AA21" s="83">
        <f t="shared" si="0"/>
        <v>462.66419303171267</v>
      </c>
      <c r="AB21" s="83">
        <f t="shared" si="0"/>
        <v>488.71258630182456</v>
      </c>
      <c r="AC21" s="83">
        <f t="shared" si="0"/>
        <v>514.69362834117453</v>
      </c>
      <c r="AD21" s="83">
        <f t="shared" si="0"/>
        <v>540.61238217927155</v>
      </c>
      <c r="AE21" s="83">
        <f t="shared" si="0"/>
        <v>566.47310829386959</v>
      </c>
      <c r="AF21" s="83">
        <f t="shared" si="0"/>
        <v>523.20685849969061</v>
      </c>
      <c r="AG21" s="83">
        <f t="shared" si="0"/>
        <v>547.84923545701429</v>
      </c>
      <c r="AH21" s="83">
        <f t="shared" ref="AH21:BM21" si="1">(((AH22+AH24)*$B$33)+(AH25+AH26))*(44/12)</f>
        <v>572.43475617965555</v>
      </c>
      <c r="AI21" s="83">
        <f t="shared" si="1"/>
        <v>596.96700243197733</v>
      </c>
      <c r="AJ21" s="83">
        <f t="shared" si="1"/>
        <v>621.44907643154409</v>
      </c>
      <c r="AK21" s="83">
        <f t="shared" si="1"/>
        <v>579.58493784821985</v>
      </c>
      <c r="AL21" s="83">
        <f t="shared" si="1"/>
        <v>604.44670652510081</v>
      </c>
      <c r="AM21" s="83">
        <f t="shared" si="1"/>
        <v>629.25853037270076</v>
      </c>
      <c r="AN21" s="83">
        <f t="shared" si="1"/>
        <v>654.02315857597273</v>
      </c>
      <c r="AO21" s="83">
        <f t="shared" si="1"/>
        <v>678.74301992792255</v>
      </c>
      <c r="AP21" s="83">
        <f t="shared" si="1"/>
        <v>642.40926710317763</v>
      </c>
      <c r="AQ21" s="83">
        <f t="shared" si="1"/>
        <v>666.99037942577604</v>
      </c>
      <c r="AR21" s="83">
        <f t="shared" si="1"/>
        <v>691.52865019593196</v>
      </c>
      <c r="AS21" s="83">
        <f t="shared" si="1"/>
        <v>716.02610207533337</v>
      </c>
      <c r="AT21" s="83">
        <f t="shared" si="1"/>
        <v>740.48455703075604</v>
      </c>
      <c r="AU21" s="83">
        <f t="shared" si="1"/>
        <v>692.63374177575361</v>
      </c>
      <c r="AV21" s="83">
        <f t="shared" si="1"/>
        <v>716.58602244453482</v>
      </c>
      <c r="AW21" s="83">
        <f t="shared" si="1"/>
        <v>740.50097363000179</v>
      </c>
      <c r="AX21" s="83">
        <f t="shared" si="1"/>
        <v>764.38015739275022</v>
      </c>
      <c r="AY21" s="83">
        <f t="shared" si="1"/>
        <v>788.22500011324962</v>
      </c>
      <c r="AZ21" s="83">
        <f t="shared" si="1"/>
        <v>752.57042343530281</v>
      </c>
      <c r="BA21" s="83">
        <f t="shared" si="1"/>
        <v>776.15102722500535</v>
      </c>
      <c r="BB21" s="83">
        <f t="shared" si="1"/>
        <v>799.69885798970461</v>
      </c>
      <c r="BC21" s="83">
        <f t="shared" si="1"/>
        <v>823.21513703769233</v>
      </c>
      <c r="BD21" s="83">
        <f t="shared" si="1"/>
        <v>846.70099298694845</v>
      </c>
      <c r="BE21" s="83">
        <f t="shared" si="1"/>
        <v>809.55070978315678</v>
      </c>
      <c r="BF21" s="83">
        <f t="shared" si="1"/>
        <v>831.89073084069628</v>
      </c>
      <c r="BG21" s="83">
        <f t="shared" si="1"/>
        <v>854.20300788954626</v>
      </c>
      <c r="BH21" s="83">
        <f t="shared" si="1"/>
        <v>876.48843986862801</v>
      </c>
      <c r="BI21" s="83">
        <f t="shared" si="1"/>
        <v>898.74786806253189</v>
      </c>
      <c r="BJ21" s="83">
        <f t="shared" si="1"/>
        <v>880.65752468054211</v>
      </c>
      <c r="BK21" s="83">
        <f t="shared" si="1"/>
        <v>901.7608832042414</v>
      </c>
      <c r="BL21" s="83">
        <f t="shared" si="1"/>
        <v>922.84096859916247</v>
      </c>
      <c r="BM21" s="83">
        <f t="shared" si="1"/>
        <v>943.89843091087175</v>
      </c>
      <c r="BN21" s="83">
        <f t="shared" ref="BN21:BO21" si="2">(((BN22+BN24)*$B$33)+(BN25+BN26))*(44/12)</f>
        <v>964.93388585697346</v>
      </c>
      <c r="BO21" s="111">
        <f t="shared" si="2"/>
        <v>985.94791780083608</v>
      </c>
      <c r="BP21" s="131"/>
      <c r="BQ21" s="132"/>
      <c r="BR21" s="132"/>
      <c r="BS21" s="132"/>
      <c r="BT21" s="132"/>
      <c r="BU21" s="132"/>
      <c r="BV21" s="132"/>
      <c r="BW21" s="132"/>
      <c r="BX21" s="132"/>
      <c r="BY21" s="132"/>
      <c r="BZ21" s="132"/>
      <c r="CA21" s="132"/>
      <c r="CB21" s="132"/>
      <c r="CC21" s="132"/>
      <c r="CD21" s="132"/>
      <c r="CE21" s="132"/>
      <c r="CF21" s="132"/>
      <c r="CG21" s="7"/>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3" t="s">
        <v>174</v>
      </c>
      <c r="B22" s="83">
        <f>B23*$B$34*$C$35</f>
        <v>0</v>
      </c>
      <c r="C22" s="83">
        <f t="shared" ref="C22:BN22" si="3">C23*$B$34*$C$35</f>
        <v>4.1262000000000008</v>
      </c>
      <c r="D22" s="83">
        <f t="shared" si="3"/>
        <v>8.2524000000000015</v>
      </c>
      <c r="E22" s="83">
        <f t="shared" si="3"/>
        <v>12.378600000000002</v>
      </c>
      <c r="F22" s="83">
        <f t="shared" si="3"/>
        <v>16.504800000000003</v>
      </c>
      <c r="G22" s="83">
        <f>G23*$B$34*$C$35</f>
        <v>20.631</v>
      </c>
      <c r="H22" s="83">
        <f t="shared" si="3"/>
        <v>24.757200000000001</v>
      </c>
      <c r="I22" s="83">
        <f t="shared" si="3"/>
        <v>28.883400000000002</v>
      </c>
      <c r="J22" s="83">
        <f t="shared" si="3"/>
        <v>33.009599999999999</v>
      </c>
      <c r="K22" s="83">
        <f t="shared" si="3"/>
        <v>37.135799999999996</v>
      </c>
      <c r="L22" s="83">
        <f t="shared" si="3"/>
        <v>41.262</v>
      </c>
      <c r="M22" s="83">
        <f t="shared" si="3"/>
        <v>45.388200000000012</v>
      </c>
      <c r="N22" s="83">
        <f t="shared" si="3"/>
        <v>49.514400000000009</v>
      </c>
      <c r="O22" s="83">
        <f t="shared" si="3"/>
        <v>53.640600000000013</v>
      </c>
      <c r="P22" s="83">
        <f t="shared" si="3"/>
        <v>57.766800000000025</v>
      </c>
      <c r="Q22" s="83">
        <f t="shared" si="3"/>
        <v>61.893000000000022</v>
      </c>
      <c r="R22" s="83">
        <f t="shared" si="3"/>
        <v>66.019200000000026</v>
      </c>
      <c r="S22" s="83">
        <f t="shared" si="3"/>
        <v>61.175400000000032</v>
      </c>
      <c r="T22" s="83">
        <f t="shared" si="3"/>
        <v>69.427800000000033</v>
      </c>
      <c r="U22" s="83">
        <f t="shared" si="3"/>
        <v>77.680200000000028</v>
      </c>
      <c r="V22" s="83">
        <f t="shared" si="3"/>
        <v>76.962600000000037</v>
      </c>
      <c r="W22" s="83">
        <f t="shared" si="3"/>
        <v>87.128600000000034</v>
      </c>
      <c r="X22" s="83">
        <f t="shared" si="3"/>
        <v>97.294600000000045</v>
      </c>
      <c r="Y22" s="83">
        <f t="shared" si="3"/>
        <v>107.46060000000004</v>
      </c>
      <c r="Z22" s="83">
        <f t="shared" si="3"/>
        <v>117.62660000000004</v>
      </c>
      <c r="AA22" s="83">
        <f t="shared" si="3"/>
        <v>106.26460000000004</v>
      </c>
      <c r="AB22" s="83">
        <f t="shared" si="3"/>
        <v>117.32760000000003</v>
      </c>
      <c r="AC22" s="83">
        <f t="shared" si="3"/>
        <v>128.39060000000003</v>
      </c>
      <c r="AD22" s="83">
        <f t="shared" si="3"/>
        <v>139.45360000000005</v>
      </c>
      <c r="AE22" s="83">
        <f t="shared" si="3"/>
        <v>150.51660000000004</v>
      </c>
      <c r="AF22" s="83">
        <f t="shared" si="3"/>
        <v>129.28760000000003</v>
      </c>
      <c r="AG22" s="83">
        <f t="shared" si="3"/>
        <v>140.35060000000004</v>
      </c>
      <c r="AH22" s="83">
        <f t="shared" si="3"/>
        <v>151.41360000000003</v>
      </c>
      <c r="AI22" s="83">
        <f t="shared" si="3"/>
        <v>162.47660000000005</v>
      </c>
      <c r="AJ22" s="83">
        <f t="shared" si="3"/>
        <v>173.53960000000004</v>
      </c>
      <c r="AK22" s="83">
        <f t="shared" si="3"/>
        <v>153.50660000000005</v>
      </c>
      <c r="AL22" s="83">
        <f t="shared" si="3"/>
        <v>164.74900000000005</v>
      </c>
      <c r="AM22" s="83">
        <f t="shared" si="3"/>
        <v>175.99140000000006</v>
      </c>
      <c r="AN22" s="83">
        <f t="shared" si="3"/>
        <v>187.23380000000009</v>
      </c>
      <c r="AO22" s="83">
        <f t="shared" si="3"/>
        <v>198.47620000000006</v>
      </c>
      <c r="AP22" s="83">
        <f t="shared" si="3"/>
        <v>181.01460000000009</v>
      </c>
      <c r="AQ22" s="83">
        <f t="shared" si="3"/>
        <v>192.19720000000007</v>
      </c>
      <c r="AR22" s="83">
        <f t="shared" si="3"/>
        <v>203.37980000000005</v>
      </c>
      <c r="AS22" s="83">
        <f t="shared" si="3"/>
        <v>214.56240000000005</v>
      </c>
      <c r="AT22" s="83">
        <f t="shared" si="3"/>
        <v>225.74500000000006</v>
      </c>
      <c r="AU22" s="83">
        <f t="shared" si="3"/>
        <v>202.84160000000006</v>
      </c>
      <c r="AV22" s="83">
        <f t="shared" si="3"/>
        <v>213.78500000000005</v>
      </c>
      <c r="AW22" s="83">
        <f t="shared" si="3"/>
        <v>224.72840000000005</v>
      </c>
      <c r="AX22" s="83">
        <f t="shared" si="3"/>
        <v>235.67180000000008</v>
      </c>
      <c r="AY22" s="83">
        <f t="shared" si="3"/>
        <v>246.61520000000007</v>
      </c>
      <c r="AZ22" s="83">
        <f t="shared" si="3"/>
        <v>229.4526000000001</v>
      </c>
      <c r="BA22" s="83">
        <f t="shared" si="3"/>
        <v>240.27640000000008</v>
      </c>
      <c r="BB22" s="83">
        <f t="shared" si="3"/>
        <v>251.10020000000011</v>
      </c>
      <c r="BC22" s="83">
        <f t="shared" si="3"/>
        <v>261.92400000000009</v>
      </c>
      <c r="BD22" s="83">
        <f t="shared" si="3"/>
        <v>272.74780000000015</v>
      </c>
      <c r="BE22" s="83">
        <f t="shared" si="3"/>
        <v>254.86760000000015</v>
      </c>
      <c r="BF22" s="83">
        <f t="shared" si="3"/>
        <v>265.15320000000014</v>
      </c>
      <c r="BG22" s="83">
        <f t="shared" si="3"/>
        <v>275.43880000000013</v>
      </c>
      <c r="BH22" s="83">
        <f t="shared" si="3"/>
        <v>285.72440000000012</v>
      </c>
      <c r="BI22" s="83">
        <f t="shared" si="3"/>
        <v>296.0100000000001</v>
      </c>
      <c r="BJ22" s="83">
        <f t="shared" si="3"/>
        <v>287.15960000000013</v>
      </c>
      <c r="BK22" s="83">
        <f t="shared" si="3"/>
        <v>296.90700000000015</v>
      </c>
      <c r="BL22" s="83">
        <f t="shared" si="3"/>
        <v>306.65440000000012</v>
      </c>
      <c r="BM22" s="83">
        <f t="shared" si="3"/>
        <v>316.40180000000009</v>
      </c>
      <c r="BN22" s="83">
        <f t="shared" si="3"/>
        <v>326.14920000000006</v>
      </c>
      <c r="BO22" s="111">
        <f t="shared" ref="BO22" si="4">BO23*$B$34*$C$35</f>
        <v>335.89660000000003</v>
      </c>
      <c r="BP22" s="131"/>
      <c r="BQ22" s="132"/>
      <c r="BR22" s="132"/>
      <c r="BS22" s="132"/>
      <c r="BT22" s="132"/>
      <c r="BU22" s="132"/>
      <c r="BV22" s="132"/>
      <c r="BW22" s="132"/>
      <c r="BX22" s="132"/>
      <c r="BY22" s="132"/>
      <c r="BZ22" s="132"/>
      <c r="CA22" s="132"/>
      <c r="CB22" s="132"/>
      <c r="CC22" s="132"/>
      <c r="CD22" s="132"/>
      <c r="CE22" s="132"/>
      <c r="CF22" s="132"/>
      <c r="CG22" s="7"/>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18" t="s">
        <v>10</v>
      </c>
      <c r="B23" s="104">
        <v>0</v>
      </c>
      <c r="C23" s="104">
        <f>B23+6.9</f>
        <v>6.9</v>
      </c>
      <c r="D23" s="104">
        <f t="shared" ref="D23:R23" si="5">C23+6.9</f>
        <v>13.8</v>
      </c>
      <c r="E23" s="104">
        <f t="shared" si="5"/>
        <v>20.700000000000003</v>
      </c>
      <c r="F23" s="104">
        <f t="shared" si="5"/>
        <v>27.6</v>
      </c>
      <c r="G23" s="104">
        <f t="shared" si="5"/>
        <v>34.5</v>
      </c>
      <c r="H23" s="104">
        <f t="shared" si="5"/>
        <v>41.4</v>
      </c>
      <c r="I23" s="104">
        <f t="shared" si="5"/>
        <v>48.3</v>
      </c>
      <c r="J23" s="104">
        <f t="shared" si="5"/>
        <v>55.199999999999996</v>
      </c>
      <c r="K23" s="104">
        <f t="shared" si="5"/>
        <v>62.099999999999994</v>
      </c>
      <c r="L23" s="104">
        <f t="shared" si="5"/>
        <v>69</v>
      </c>
      <c r="M23" s="104">
        <f t="shared" si="5"/>
        <v>75.900000000000006</v>
      </c>
      <c r="N23" s="104">
        <f t="shared" si="5"/>
        <v>82.800000000000011</v>
      </c>
      <c r="O23" s="104">
        <f t="shared" si="5"/>
        <v>89.700000000000017</v>
      </c>
      <c r="P23" s="104">
        <f t="shared" si="5"/>
        <v>96.600000000000023</v>
      </c>
      <c r="Q23" s="104">
        <f t="shared" si="5"/>
        <v>103.50000000000003</v>
      </c>
      <c r="R23" s="104">
        <f t="shared" si="5"/>
        <v>110.40000000000003</v>
      </c>
      <c r="S23" s="104">
        <f>R23+6.9-15</f>
        <v>102.30000000000004</v>
      </c>
      <c r="T23" s="104">
        <f>S23+13.8</f>
        <v>116.10000000000004</v>
      </c>
      <c r="U23" s="104">
        <f t="shared" ref="U23" si="6">T23+13.8</f>
        <v>129.90000000000003</v>
      </c>
      <c r="V23" s="104">
        <f>U23+13.8-15</f>
        <v>128.70000000000005</v>
      </c>
      <c r="W23" s="104">
        <f>V23+17</f>
        <v>145.70000000000005</v>
      </c>
      <c r="X23" s="104">
        <f t="shared" ref="X23:Z23" si="7">W23+17</f>
        <v>162.70000000000005</v>
      </c>
      <c r="Y23" s="104">
        <f t="shared" si="7"/>
        <v>179.70000000000005</v>
      </c>
      <c r="Z23" s="104">
        <f t="shared" si="7"/>
        <v>196.70000000000005</v>
      </c>
      <c r="AA23" s="104">
        <f>Z23+17-36</f>
        <v>177.70000000000005</v>
      </c>
      <c r="AB23" s="104">
        <f>AA23+18.5</f>
        <v>196.20000000000005</v>
      </c>
      <c r="AC23" s="104">
        <f t="shared" ref="AC23:AJ23" si="8">AB23+18.5</f>
        <v>214.70000000000005</v>
      </c>
      <c r="AD23" s="104">
        <f t="shared" si="8"/>
        <v>233.20000000000005</v>
      </c>
      <c r="AE23" s="104">
        <f t="shared" si="8"/>
        <v>251.70000000000005</v>
      </c>
      <c r="AF23" s="104">
        <f>AE23+18.5-54</f>
        <v>216.20000000000005</v>
      </c>
      <c r="AG23" s="104">
        <f t="shared" si="8"/>
        <v>234.70000000000005</v>
      </c>
      <c r="AH23" s="104">
        <f t="shared" si="8"/>
        <v>253.20000000000005</v>
      </c>
      <c r="AI23" s="104">
        <f t="shared" si="8"/>
        <v>271.70000000000005</v>
      </c>
      <c r="AJ23" s="104">
        <f t="shared" si="8"/>
        <v>290.20000000000005</v>
      </c>
      <c r="AK23" s="104">
        <f>AJ23+18.5-52</f>
        <v>256.70000000000005</v>
      </c>
      <c r="AL23" s="104">
        <f>AK23+18.8</f>
        <v>275.50000000000006</v>
      </c>
      <c r="AM23" s="104">
        <f t="shared" ref="AM23:AO23" si="9">AL23+18.8</f>
        <v>294.30000000000007</v>
      </c>
      <c r="AN23" s="104">
        <f t="shared" si="9"/>
        <v>313.10000000000008</v>
      </c>
      <c r="AO23" s="104">
        <f t="shared" si="9"/>
        <v>331.90000000000009</v>
      </c>
      <c r="AP23" s="104">
        <f>AO23+18.8-48</f>
        <v>302.7000000000001</v>
      </c>
      <c r="AQ23" s="104">
        <f>AP23+18.7</f>
        <v>321.40000000000009</v>
      </c>
      <c r="AR23" s="104">
        <f t="shared" ref="AR23:AT23" si="10">AQ23+18.7</f>
        <v>340.10000000000008</v>
      </c>
      <c r="AS23" s="104">
        <f t="shared" si="10"/>
        <v>358.80000000000007</v>
      </c>
      <c r="AT23" s="104">
        <f t="shared" si="10"/>
        <v>377.50000000000006</v>
      </c>
      <c r="AU23" s="104">
        <f>AT23+18.7-57</f>
        <v>339.20000000000005</v>
      </c>
      <c r="AV23" s="104">
        <f>AU23+18.3</f>
        <v>357.50000000000006</v>
      </c>
      <c r="AW23" s="104">
        <f t="shared" ref="AW23:AY23" si="11">AV23+18.3</f>
        <v>375.80000000000007</v>
      </c>
      <c r="AX23" s="104">
        <f t="shared" si="11"/>
        <v>394.10000000000008</v>
      </c>
      <c r="AY23" s="104">
        <f t="shared" si="11"/>
        <v>412.40000000000009</v>
      </c>
      <c r="AZ23" s="104">
        <f>AY23+18.3-47</f>
        <v>383.7000000000001</v>
      </c>
      <c r="BA23" s="104">
        <f>AZ23+18.1</f>
        <v>401.80000000000013</v>
      </c>
      <c r="BB23" s="104">
        <f t="shared" ref="BB23:BD23" si="12">BA23+18.1</f>
        <v>419.90000000000015</v>
      </c>
      <c r="BC23" s="104">
        <f t="shared" si="12"/>
        <v>438.00000000000017</v>
      </c>
      <c r="BD23" s="104">
        <f t="shared" si="12"/>
        <v>456.10000000000019</v>
      </c>
      <c r="BE23" s="104">
        <f>BD23+18.1-48</f>
        <v>426.20000000000022</v>
      </c>
      <c r="BF23" s="104">
        <f>BE23+17.2</f>
        <v>443.4000000000002</v>
      </c>
      <c r="BG23" s="104">
        <f t="shared" ref="BG23:BI23" si="13">BF23+17.2</f>
        <v>460.60000000000019</v>
      </c>
      <c r="BH23" s="104">
        <f t="shared" si="13"/>
        <v>477.80000000000018</v>
      </c>
      <c r="BI23" s="104">
        <f t="shared" si="13"/>
        <v>495.00000000000017</v>
      </c>
      <c r="BJ23" s="104">
        <f>BI23+17.2-32</f>
        <v>480.20000000000016</v>
      </c>
      <c r="BK23" s="104">
        <f>BJ23+16.3</f>
        <v>496.50000000000017</v>
      </c>
      <c r="BL23" s="104">
        <f t="shared" ref="BL23:BO23" si="14">BK23+16.3</f>
        <v>512.80000000000018</v>
      </c>
      <c r="BM23" s="104">
        <f t="shared" si="14"/>
        <v>529.10000000000014</v>
      </c>
      <c r="BN23" s="104">
        <f t="shared" si="14"/>
        <v>545.40000000000009</v>
      </c>
      <c r="BO23" s="104">
        <f t="shared" si="14"/>
        <v>561.70000000000005</v>
      </c>
      <c r="BP23" s="131"/>
      <c r="BQ23" s="132"/>
      <c r="BR23" s="132"/>
      <c r="BS23" s="132"/>
      <c r="BT23" s="132"/>
      <c r="BU23" s="132"/>
      <c r="BV23" s="132"/>
      <c r="BW23" s="132"/>
      <c r="BX23" s="132"/>
      <c r="BY23" s="132"/>
      <c r="BZ23" s="132"/>
      <c r="CA23" s="132"/>
      <c r="CB23" s="132"/>
      <c r="CC23" s="132"/>
      <c r="CD23" s="132"/>
      <c r="CE23" s="132"/>
      <c r="CF23" s="132"/>
      <c r="CG23" s="7"/>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x14ac:dyDescent="0.35">
      <c r="A24" s="3" t="s">
        <v>175</v>
      </c>
      <c r="B24" s="83">
        <v>0</v>
      </c>
      <c r="C24" s="83">
        <f t="shared" ref="C24:AH24" si="15">EXP(-1.0587+0.8836*LN(C22)+0.284)</f>
        <v>1.612323884768484</v>
      </c>
      <c r="D24" s="83">
        <f t="shared" si="15"/>
        <v>2.9746946459636541</v>
      </c>
      <c r="E24" s="83">
        <f t="shared" si="15"/>
        <v>4.2563430951065664</v>
      </c>
      <c r="F24" s="83">
        <f t="shared" si="15"/>
        <v>5.4882324328994505</v>
      </c>
      <c r="G24" s="83">
        <f t="shared" si="15"/>
        <v>6.6843961969413979</v>
      </c>
      <c r="H24" s="83">
        <f t="shared" si="15"/>
        <v>7.8528397029954817</v>
      </c>
      <c r="I24" s="83">
        <f t="shared" si="15"/>
        <v>8.998723668604125</v>
      </c>
      <c r="J24" s="83">
        <f t="shared" si="15"/>
        <v>10.125642737280613</v>
      </c>
      <c r="K24" s="83">
        <f t="shared" si="15"/>
        <v>11.236239017734762</v>
      </c>
      <c r="L24" s="83">
        <f t="shared" si="15"/>
        <v>12.332533039040454</v>
      </c>
      <c r="M24" s="83">
        <f t="shared" si="15"/>
        <v>13.416117839933321</v>
      </c>
      <c r="N24" s="83">
        <f t="shared" si="15"/>
        <v>14.48828020274955</v>
      </c>
      <c r="O24" s="83">
        <f t="shared" si="15"/>
        <v>15.550080216476285</v>
      </c>
      <c r="P24" s="83">
        <f t="shared" si="15"/>
        <v>16.602405614890969</v>
      </c>
      <c r="Q24" s="83">
        <f t="shared" si="15"/>
        <v>17.646010126491074</v>
      </c>
      <c r="R24" s="83">
        <f t="shared" si="15"/>
        <v>18.681541297054274</v>
      </c>
      <c r="S24" s="83">
        <f t="shared" si="15"/>
        <v>17.465110631496685</v>
      </c>
      <c r="T24" s="83">
        <f t="shared" si="15"/>
        <v>19.531292336065516</v>
      </c>
      <c r="U24" s="83">
        <f t="shared" si="15"/>
        <v>21.569013234796994</v>
      </c>
      <c r="V24" s="83">
        <f t="shared" si="15"/>
        <v>21.392859312185301</v>
      </c>
      <c r="W24" s="83">
        <f t="shared" si="15"/>
        <v>23.871411043138469</v>
      </c>
      <c r="X24" s="83">
        <f t="shared" si="15"/>
        <v>26.316448108126643</v>
      </c>
      <c r="Y24" s="83">
        <f t="shared" si="15"/>
        <v>28.731871271217582</v>
      </c>
      <c r="Z24" s="83">
        <f t="shared" si="15"/>
        <v>31.120800781771578</v>
      </c>
      <c r="AA24" s="83">
        <f t="shared" si="15"/>
        <v>28.449133434668244</v>
      </c>
      <c r="AB24" s="83">
        <f t="shared" si="15"/>
        <v>31.050891245531712</v>
      </c>
      <c r="AC24" s="83">
        <f t="shared" si="15"/>
        <v>33.624205053748</v>
      </c>
      <c r="AD24" s="83">
        <f t="shared" si="15"/>
        <v>36.171804453944937</v>
      </c>
      <c r="AE24" s="83">
        <f t="shared" si="15"/>
        <v>38.695961323116059</v>
      </c>
      <c r="AF24" s="83">
        <f t="shared" si="15"/>
        <v>33.831691999989665</v>
      </c>
      <c r="AG24" s="83">
        <f t="shared" si="15"/>
        <v>36.377311336380863</v>
      </c>
      <c r="AH24" s="83">
        <f t="shared" si="15"/>
        <v>38.899655712419289</v>
      </c>
      <c r="AI24" s="83">
        <f t="shared" ref="AI24:BO24" si="16">EXP(-1.0587+0.8836*LN(AI22)+0.284)</f>
        <v>41.400619099006676</v>
      </c>
      <c r="AJ24" s="83">
        <f t="shared" si="16"/>
        <v>43.881822948954131</v>
      </c>
      <c r="AK24" s="83">
        <f t="shared" si="16"/>
        <v>39.374398157116886</v>
      </c>
      <c r="AL24" s="83">
        <f t="shared" si="16"/>
        <v>41.911835378411233</v>
      </c>
      <c r="AM24" s="83">
        <f t="shared" si="16"/>
        <v>44.429180900686859</v>
      </c>
      <c r="AN24" s="83">
        <f t="shared" si="16"/>
        <v>46.927864276984103</v>
      </c>
      <c r="AO24" s="83">
        <f t="shared" si="16"/>
        <v>49.40913368678391</v>
      </c>
      <c r="AP24" s="83">
        <f t="shared" si="16"/>
        <v>45.547842076970362</v>
      </c>
      <c r="AQ24" s="83">
        <f t="shared" si="16"/>
        <v>48.025397032309286</v>
      </c>
      <c r="AR24" s="83">
        <f t="shared" si="16"/>
        <v>50.486219484381181</v>
      </c>
      <c r="AS24" s="83">
        <f t="shared" si="16"/>
        <v>52.931334320900255</v>
      </c>
      <c r="AT24" s="83">
        <f t="shared" si="16"/>
        <v>55.361653565139832</v>
      </c>
      <c r="AU24" s="83">
        <f t="shared" si="16"/>
        <v>50.368151708087709</v>
      </c>
      <c r="AV24" s="83">
        <f t="shared" si="16"/>
        <v>52.761841557402377</v>
      </c>
      <c r="AW24" s="83">
        <f t="shared" si="16"/>
        <v>55.14130474591758</v>
      </c>
      <c r="AX24" s="83">
        <f t="shared" si="16"/>
        <v>57.507313133253085</v>
      </c>
      <c r="AY24" s="83">
        <f t="shared" si="16"/>
        <v>59.860562845334478</v>
      </c>
      <c r="AZ24" s="83">
        <f t="shared" si="16"/>
        <v>56.164304443540253</v>
      </c>
      <c r="BA24" s="83">
        <f t="shared" si="16"/>
        <v>58.498995304358836</v>
      </c>
      <c r="BB24" s="83">
        <f t="shared" si="16"/>
        <v>60.821471881026504</v>
      </c>
      <c r="BC24" s="83">
        <f t="shared" si="16"/>
        <v>63.132320859995644</v>
      </c>
      <c r="BD24" s="83">
        <f t="shared" si="16"/>
        <v>65.43207769546926</v>
      </c>
      <c r="BE24" s="83">
        <f t="shared" si="16"/>
        <v>61.627091465656584</v>
      </c>
      <c r="BF24" s="83">
        <f t="shared" si="16"/>
        <v>63.819574106454162</v>
      </c>
      <c r="BG24" s="83">
        <f t="shared" si="16"/>
        <v>66.002176749589481</v>
      </c>
      <c r="BH24" s="83">
        <f t="shared" si="16"/>
        <v>68.175310585611172</v>
      </c>
      <c r="BI24" s="83">
        <f t="shared" si="16"/>
        <v>70.339355522692216</v>
      </c>
      <c r="BJ24" s="83">
        <f t="shared" si="16"/>
        <v>68.477807664534652</v>
      </c>
      <c r="BK24" s="83">
        <f t="shared" si="16"/>
        <v>70.527661297097794</v>
      </c>
      <c r="BL24" s="83">
        <f t="shared" si="16"/>
        <v>72.569695104025456</v>
      </c>
      <c r="BM24" s="83">
        <f t="shared" si="16"/>
        <v>74.604186163138166</v>
      </c>
      <c r="BN24" s="83">
        <f t="shared" si="16"/>
        <v>76.631393510479626</v>
      </c>
      <c r="BO24" s="111">
        <f t="shared" si="16"/>
        <v>78.651559818783284</v>
      </c>
      <c r="BP24" s="131"/>
      <c r="BQ24" s="132"/>
      <c r="BR24" s="132"/>
      <c r="BS24" s="132"/>
      <c r="BT24" s="132"/>
      <c r="BU24" s="132"/>
      <c r="BV24" s="132"/>
      <c r="BW24" s="132"/>
      <c r="BX24" s="132"/>
      <c r="BY24" s="132"/>
      <c r="BZ24" s="132"/>
      <c r="CA24" s="132"/>
      <c r="CB24" s="132"/>
      <c r="CC24" s="132"/>
      <c r="CD24" s="132"/>
      <c r="CE24" s="132"/>
      <c r="CF24" s="132"/>
      <c r="CG24" s="87"/>
    </row>
    <row r="25" spans="1:177" ht="31.5" customHeight="1" x14ac:dyDescent="0.35">
      <c r="A25" s="3" t="s">
        <v>9</v>
      </c>
      <c r="B25" s="83">
        <f>(45+25*(1-(EXP(-0.0175*B19))))</f>
        <v>45</v>
      </c>
      <c r="C25" s="83">
        <f t="shared" ref="C25:BN25" si="17">(45+25*(1-(EXP(-0.0175*C19))))</f>
        <v>45.433694108373167</v>
      </c>
      <c r="D25" s="83">
        <f t="shared" si="17"/>
        <v>45.859864593560836</v>
      </c>
      <c r="E25" s="83">
        <f t="shared" si="17"/>
        <v>46.278641973604969</v>
      </c>
      <c r="F25" s="83">
        <f t="shared" si="17"/>
        <v>46.690154502351291</v>
      </c>
      <c r="G25" s="83">
        <f t="shared" si="17"/>
        <v>47.094528208728065</v>
      </c>
      <c r="H25" s="83">
        <f t="shared" si="17"/>
        <v>47.491886935343359</v>
      </c>
      <c r="I25" s="83">
        <f t="shared" si="17"/>
        <v>47.882352376412911</v>
      </c>
      <c r="J25" s="83">
        <f t="shared" si="17"/>
        <v>48.266044115029857</v>
      </c>
      <c r="K25" s="83">
        <f t="shared" si="17"/>
        <v>48.643079659788015</v>
      </c>
      <c r="L25" s="83">
        <f t="shared" si="17"/>
        <v>49.013574480769819</v>
      </c>
      <c r="M25" s="83">
        <f t="shared" si="17"/>
        <v>49.377642044909919</v>
      </c>
      <c r="N25" s="83">
        <f t="shared" si="17"/>
        <v>49.735393850745325</v>
      </c>
      <c r="O25" s="83">
        <f t="shared" si="17"/>
        <v>50.086939462562704</v>
      </c>
      <c r="P25" s="83">
        <f t="shared" si="17"/>
        <v>50.432386543953299</v>
      </c>
      <c r="Q25" s="83">
        <f t="shared" si="17"/>
        <v>50.771840890785739</v>
      </c>
      <c r="R25" s="83">
        <f t="shared" si="17"/>
        <v>51.105406463606862</v>
      </c>
      <c r="S25" s="83">
        <f t="shared" si="17"/>
        <v>51.433185419480445</v>
      </c>
      <c r="T25" s="83">
        <f t="shared" si="17"/>
        <v>51.755278143273578</v>
      </c>
      <c r="U25" s="83">
        <f t="shared" si="17"/>
        <v>52.07178327840036</v>
      </c>
      <c r="V25" s="83">
        <f t="shared" si="17"/>
        <v>52.382797757032165</v>
      </c>
      <c r="W25" s="83">
        <f t="shared" si="17"/>
        <v>52.688416829783918</v>
      </c>
      <c r="X25" s="83">
        <f t="shared" si="17"/>
        <v>52.988734094885309</v>
      </c>
      <c r="Y25" s="83">
        <f t="shared" si="17"/>
        <v>53.283841526846018</v>
      </c>
      <c r="Z25" s="83">
        <f t="shared" si="17"/>
        <v>53.573829504623582</v>
      </c>
      <c r="AA25" s="83">
        <f t="shared" si="17"/>
        <v>53.858786839302695</v>
      </c>
      <c r="AB25" s="83">
        <f t="shared" si="17"/>
        <v>54.138800801294295</v>
      </c>
      <c r="AC25" s="83">
        <f t="shared" si="17"/>
        <v>54.413957147062774</v>
      </c>
      <c r="AD25" s="83">
        <f t="shared" si="17"/>
        <v>54.684340145389598</v>
      </c>
      <c r="AE25" s="83">
        <f t="shared" si="17"/>
        <v>54.950032603181285</v>
      </c>
      <c r="AF25" s="83">
        <f t="shared" si="17"/>
        <v>55.211115890829625</v>
      </c>
      <c r="AG25" s="83">
        <f t="shared" si="17"/>
        <v>55.467669967132053</v>
      </c>
      <c r="AH25" s="83">
        <f t="shared" si="17"/>
        <v>55.719773403779627</v>
      </c>
      <c r="AI25" s="83">
        <f t="shared" si="17"/>
        <v>55.96750340942021</v>
      </c>
      <c r="AJ25" s="83">
        <f t="shared" si="17"/>
        <v>56.210935853304257</v>
      </c>
      <c r="AK25" s="83">
        <f t="shared" si="17"/>
        <v>56.450145288520318</v>
      </c>
      <c r="AL25" s="83">
        <f t="shared" si="17"/>
        <v>56.68520497482757</v>
      </c>
      <c r="AM25" s="83">
        <f t="shared" si="17"/>
        <v>56.916186901092118</v>
      </c>
      <c r="AN25" s="83">
        <f t="shared" si="17"/>
        <v>57.143161807334202</v>
      </c>
      <c r="AO25" s="83">
        <f t="shared" si="17"/>
        <v>57.366199206392857</v>
      </c>
      <c r="AP25" s="83">
        <f t="shared" si="17"/>
        <v>57.585367405214768</v>
      </c>
      <c r="AQ25" s="83">
        <f t="shared" si="17"/>
        <v>57.800733525773801</v>
      </c>
      <c r="AR25" s="83">
        <f t="shared" si="17"/>
        <v>58.012363525627649</v>
      </c>
      <c r="AS25" s="83">
        <f t="shared" si="17"/>
        <v>58.220322218117829</v>
      </c>
      <c r="AT25" s="83">
        <f t="shared" si="17"/>
        <v>58.424673292219296</v>
      </c>
      <c r="AU25" s="83">
        <f t="shared" si="17"/>
        <v>58.625479332045664</v>
      </c>
      <c r="AV25" s="83">
        <f t="shared" si="17"/>
        <v>58.82280183601609</v>
      </c>
      <c r="AW25" s="83">
        <f t="shared" si="17"/>
        <v>59.016701235689659</v>
      </c>
      <c r="AX25" s="83">
        <f t="shared" si="17"/>
        <v>59.207236914273011</v>
      </c>
      <c r="AY25" s="83">
        <f t="shared" si="17"/>
        <v>59.394467224806895</v>
      </c>
      <c r="AZ25" s="83">
        <f t="shared" si="17"/>
        <v>59.578449508037295</v>
      </c>
      <c r="BA25" s="83">
        <f t="shared" si="17"/>
        <v>59.759240109976403</v>
      </c>
      <c r="BB25" s="83">
        <f t="shared" si="17"/>
        <v>59.936894399159101</v>
      </c>
      <c r="BC25" s="83">
        <f t="shared" si="17"/>
        <v>60.111466783599973</v>
      </c>
      <c r="BD25" s="83">
        <f t="shared" si="17"/>
        <v>60.283010727456173</v>
      </c>
      <c r="BE25" s="83">
        <f t="shared" si="17"/>
        <v>60.45157876740128</v>
      </c>
      <c r="BF25" s="83">
        <f t="shared" si="17"/>
        <v>60.617222528715011</v>
      </c>
      <c r="BG25" s="83">
        <f t="shared" si="17"/>
        <v>60.77999274109392</v>
      </c>
      <c r="BH25" s="83">
        <f t="shared" si="17"/>
        <v>60.939939254187742</v>
      </c>
      <c r="BI25" s="83">
        <f t="shared" si="17"/>
        <v>61.097111052866211</v>
      </c>
      <c r="BJ25" s="83">
        <f t="shared" si="17"/>
        <v>61.251556272221123</v>
      </c>
      <c r="BK25" s="83">
        <f t="shared" si="17"/>
        <v>61.403322212307998</v>
      </c>
      <c r="BL25" s="83">
        <f t="shared" si="17"/>
        <v>61.55245535263218</v>
      </c>
      <c r="BM25" s="83">
        <f t="shared" si="17"/>
        <v>61.699001366383484</v>
      </c>
      <c r="BN25" s="83">
        <f t="shared" si="17"/>
        <v>61.843005134424018</v>
      </c>
      <c r="BO25" s="83">
        <f t="shared" ref="BO25" si="18">(45+25*(1-(EXP(-0.0175*BO19))))</f>
        <v>61.984510759033235</v>
      </c>
      <c r="BP25" s="48"/>
      <c r="BQ25" s="15"/>
      <c r="BR25" s="15"/>
      <c r="BS25" s="15"/>
      <c r="BT25" s="15"/>
      <c r="BU25" s="15"/>
      <c r="BV25" s="15"/>
      <c r="BW25" s="15"/>
      <c r="BX25" s="15"/>
      <c r="BY25" s="15"/>
      <c r="BZ25" s="15"/>
      <c r="CA25" s="15"/>
      <c r="CB25" s="15"/>
      <c r="CC25" s="15"/>
      <c r="CD25" s="15"/>
      <c r="CE25" s="15"/>
      <c r="CF25" s="15"/>
      <c r="CG25" s="87"/>
    </row>
    <row r="26" spans="1:177" x14ac:dyDescent="0.35">
      <c r="A26" s="3" t="s">
        <v>176</v>
      </c>
      <c r="B26" s="83">
        <f t="shared" ref="B26:AF26" si="19">B19*(($B$37-$B$36)/30)</f>
        <v>0</v>
      </c>
      <c r="C26" s="83">
        <f t="shared" si="19"/>
        <v>0.33333333333333331</v>
      </c>
      <c r="D26" s="83">
        <f t="shared" si="19"/>
        <v>0.66666666666666663</v>
      </c>
      <c r="E26" s="83">
        <f t="shared" si="19"/>
        <v>1</v>
      </c>
      <c r="F26" s="83">
        <f t="shared" si="19"/>
        <v>1.3333333333333333</v>
      </c>
      <c r="G26" s="83">
        <f t="shared" si="19"/>
        <v>1.6666666666666665</v>
      </c>
      <c r="H26" s="83">
        <f t="shared" si="19"/>
        <v>2</v>
      </c>
      <c r="I26" s="83">
        <f t="shared" si="19"/>
        <v>2.333333333333333</v>
      </c>
      <c r="J26" s="83">
        <f t="shared" si="19"/>
        <v>2.6666666666666665</v>
      </c>
      <c r="K26" s="83">
        <f t="shared" si="19"/>
        <v>3</v>
      </c>
      <c r="L26" s="83">
        <f t="shared" si="19"/>
        <v>3.333333333333333</v>
      </c>
      <c r="M26" s="83">
        <f t="shared" si="19"/>
        <v>3.6666666666666665</v>
      </c>
      <c r="N26" s="83">
        <f t="shared" si="19"/>
        <v>4</v>
      </c>
      <c r="O26" s="83">
        <f t="shared" si="19"/>
        <v>4.333333333333333</v>
      </c>
      <c r="P26" s="83">
        <f t="shared" si="19"/>
        <v>4.6666666666666661</v>
      </c>
      <c r="Q26" s="83">
        <f t="shared" si="19"/>
        <v>5</v>
      </c>
      <c r="R26" s="83">
        <f t="shared" si="19"/>
        <v>5.333333333333333</v>
      </c>
      <c r="S26" s="83">
        <f t="shared" si="19"/>
        <v>5.6666666666666661</v>
      </c>
      <c r="T26" s="83">
        <f t="shared" si="19"/>
        <v>6</v>
      </c>
      <c r="U26" s="83">
        <f t="shared" si="19"/>
        <v>6.333333333333333</v>
      </c>
      <c r="V26" s="83">
        <f t="shared" si="19"/>
        <v>6.6666666666666661</v>
      </c>
      <c r="W26" s="83">
        <f t="shared" si="19"/>
        <v>7</v>
      </c>
      <c r="X26" s="83">
        <f t="shared" si="19"/>
        <v>7.333333333333333</v>
      </c>
      <c r="Y26" s="83">
        <f t="shared" si="19"/>
        <v>7.6666666666666661</v>
      </c>
      <c r="Z26" s="83">
        <f t="shared" si="19"/>
        <v>8</v>
      </c>
      <c r="AA26" s="83">
        <f t="shared" si="19"/>
        <v>8.3333333333333321</v>
      </c>
      <c r="AB26" s="83">
        <f t="shared" si="19"/>
        <v>8.6666666666666661</v>
      </c>
      <c r="AC26" s="83">
        <f t="shared" si="19"/>
        <v>9</v>
      </c>
      <c r="AD26" s="83">
        <f t="shared" si="19"/>
        <v>9.3333333333333321</v>
      </c>
      <c r="AE26" s="83">
        <f t="shared" si="19"/>
        <v>9.6666666666666661</v>
      </c>
      <c r="AF26" s="83">
        <f t="shared" si="19"/>
        <v>10</v>
      </c>
      <c r="AG26" s="83">
        <v>10</v>
      </c>
      <c r="AH26" s="83">
        <v>10</v>
      </c>
      <c r="AI26" s="83">
        <v>10</v>
      </c>
      <c r="AJ26" s="83">
        <v>10</v>
      </c>
      <c r="AK26" s="83">
        <v>10</v>
      </c>
      <c r="AL26" s="83">
        <v>10</v>
      </c>
      <c r="AM26" s="83">
        <v>10</v>
      </c>
      <c r="AN26" s="83">
        <v>10</v>
      </c>
      <c r="AO26" s="83">
        <v>10</v>
      </c>
      <c r="AP26" s="83">
        <v>10</v>
      </c>
      <c r="AQ26" s="83">
        <v>10</v>
      </c>
      <c r="AR26" s="83">
        <v>10</v>
      </c>
      <c r="AS26" s="83">
        <v>10</v>
      </c>
      <c r="AT26" s="83">
        <v>10</v>
      </c>
      <c r="AU26" s="83">
        <v>10</v>
      </c>
      <c r="AV26" s="83">
        <v>10</v>
      </c>
      <c r="AW26" s="83">
        <v>10</v>
      </c>
      <c r="AX26" s="83">
        <v>10</v>
      </c>
      <c r="AY26" s="83">
        <v>10</v>
      </c>
      <c r="AZ26" s="83">
        <v>10</v>
      </c>
      <c r="BA26" s="83">
        <v>10</v>
      </c>
      <c r="BB26" s="83">
        <v>10</v>
      </c>
      <c r="BC26" s="83">
        <v>10</v>
      </c>
      <c r="BD26" s="83">
        <v>10</v>
      </c>
      <c r="BE26" s="83">
        <v>10</v>
      </c>
      <c r="BF26" s="83">
        <v>10</v>
      </c>
      <c r="BG26" s="83">
        <v>10</v>
      </c>
      <c r="BH26" s="83">
        <v>10</v>
      </c>
      <c r="BI26" s="83">
        <v>10</v>
      </c>
      <c r="BJ26" s="83">
        <v>10</v>
      </c>
      <c r="BK26" s="83">
        <v>10</v>
      </c>
      <c r="BL26" s="83">
        <v>10</v>
      </c>
      <c r="BM26" s="83">
        <v>10</v>
      </c>
      <c r="BN26" s="83">
        <v>10</v>
      </c>
      <c r="BO26" s="111">
        <v>10</v>
      </c>
      <c r="BP26" s="131"/>
      <c r="BQ26" s="132"/>
      <c r="BR26" s="132"/>
      <c r="BS26" s="132"/>
      <c r="BT26" s="132"/>
      <c r="BU26" s="132"/>
      <c r="BV26" s="132"/>
      <c r="BW26" s="132"/>
      <c r="BX26" s="132"/>
      <c r="BY26" s="132"/>
      <c r="BZ26" s="132"/>
      <c r="CA26" s="132"/>
      <c r="CB26" s="132"/>
      <c r="CC26" s="132"/>
      <c r="CD26" s="132"/>
      <c r="CE26" s="132"/>
      <c r="CF26" s="132"/>
      <c r="CG26" s="87"/>
    </row>
    <row r="27" spans="1:177" x14ac:dyDescent="0.35">
      <c r="A27" s="108" t="s">
        <v>1</v>
      </c>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30"/>
      <c r="BQ27" s="6"/>
      <c r="BR27" s="6"/>
      <c r="BS27" s="6"/>
      <c r="BT27" s="6"/>
      <c r="BU27" s="6"/>
      <c r="BV27" s="6"/>
      <c r="BW27" s="6"/>
      <c r="BX27" s="6"/>
      <c r="BY27" s="6"/>
      <c r="BZ27" s="6"/>
      <c r="CA27" s="6"/>
      <c r="CB27" s="6"/>
      <c r="CC27" s="6"/>
      <c r="CD27" s="6"/>
      <c r="CE27" s="6"/>
      <c r="CF27" s="6"/>
      <c r="CG27" s="87"/>
    </row>
    <row r="28" spans="1:177" x14ac:dyDescent="0.35">
      <c r="A28" s="3" t="s">
        <v>178</v>
      </c>
      <c r="B28" s="83">
        <f t="shared" ref="B28:AG28" si="20">($B$38+$B$40)*(44/12)</f>
        <v>183.33333333333331</v>
      </c>
      <c r="C28" s="83">
        <f t="shared" si="20"/>
        <v>183.33333333333331</v>
      </c>
      <c r="D28" s="83">
        <f t="shared" si="20"/>
        <v>183.33333333333331</v>
      </c>
      <c r="E28" s="83">
        <f t="shared" si="20"/>
        <v>183.33333333333331</v>
      </c>
      <c r="F28" s="83">
        <f t="shared" si="20"/>
        <v>183.33333333333331</v>
      </c>
      <c r="G28" s="83">
        <f t="shared" si="20"/>
        <v>183.33333333333331</v>
      </c>
      <c r="H28" s="83">
        <f t="shared" si="20"/>
        <v>183.33333333333331</v>
      </c>
      <c r="I28" s="83">
        <f t="shared" si="20"/>
        <v>183.33333333333331</v>
      </c>
      <c r="J28" s="83">
        <f t="shared" si="20"/>
        <v>183.33333333333331</v>
      </c>
      <c r="K28" s="83">
        <f t="shared" si="20"/>
        <v>183.33333333333331</v>
      </c>
      <c r="L28" s="83">
        <f t="shared" si="20"/>
        <v>183.33333333333331</v>
      </c>
      <c r="M28" s="83">
        <f t="shared" si="20"/>
        <v>183.33333333333331</v>
      </c>
      <c r="N28" s="83">
        <f t="shared" si="20"/>
        <v>183.33333333333331</v>
      </c>
      <c r="O28" s="83">
        <f t="shared" si="20"/>
        <v>183.33333333333331</v>
      </c>
      <c r="P28" s="83">
        <f t="shared" si="20"/>
        <v>183.33333333333331</v>
      </c>
      <c r="Q28" s="83">
        <f t="shared" si="20"/>
        <v>183.33333333333331</v>
      </c>
      <c r="R28" s="83">
        <f t="shared" si="20"/>
        <v>183.33333333333331</v>
      </c>
      <c r="S28" s="83">
        <f t="shared" si="20"/>
        <v>183.33333333333331</v>
      </c>
      <c r="T28" s="83">
        <f t="shared" si="20"/>
        <v>183.33333333333331</v>
      </c>
      <c r="U28" s="83">
        <f t="shared" si="20"/>
        <v>183.33333333333331</v>
      </c>
      <c r="V28" s="83">
        <f t="shared" si="20"/>
        <v>183.33333333333331</v>
      </c>
      <c r="W28" s="83">
        <f t="shared" si="20"/>
        <v>183.33333333333331</v>
      </c>
      <c r="X28" s="83">
        <f t="shared" si="20"/>
        <v>183.33333333333331</v>
      </c>
      <c r="Y28" s="83">
        <f t="shared" si="20"/>
        <v>183.33333333333331</v>
      </c>
      <c r="Z28" s="83">
        <f t="shared" si="20"/>
        <v>183.33333333333331</v>
      </c>
      <c r="AA28" s="83">
        <f t="shared" si="20"/>
        <v>183.33333333333331</v>
      </c>
      <c r="AB28" s="83">
        <f t="shared" si="20"/>
        <v>183.33333333333331</v>
      </c>
      <c r="AC28" s="83">
        <f t="shared" si="20"/>
        <v>183.33333333333331</v>
      </c>
      <c r="AD28" s="83">
        <f t="shared" si="20"/>
        <v>183.33333333333331</v>
      </c>
      <c r="AE28" s="83">
        <f t="shared" si="20"/>
        <v>183.33333333333331</v>
      </c>
      <c r="AF28" s="83">
        <f t="shared" si="20"/>
        <v>183.33333333333331</v>
      </c>
      <c r="AG28" s="83">
        <f t="shared" si="20"/>
        <v>183.33333333333331</v>
      </c>
      <c r="AH28" s="83">
        <f t="shared" ref="AH28:BO28" si="21">($B$38+$B$40)*(44/12)</f>
        <v>183.33333333333331</v>
      </c>
      <c r="AI28" s="83">
        <f t="shared" si="21"/>
        <v>183.33333333333331</v>
      </c>
      <c r="AJ28" s="83">
        <f t="shared" si="21"/>
        <v>183.33333333333331</v>
      </c>
      <c r="AK28" s="83">
        <f t="shared" si="21"/>
        <v>183.33333333333331</v>
      </c>
      <c r="AL28" s="83">
        <f t="shared" si="21"/>
        <v>183.33333333333331</v>
      </c>
      <c r="AM28" s="83">
        <f t="shared" si="21"/>
        <v>183.33333333333331</v>
      </c>
      <c r="AN28" s="83">
        <f t="shared" si="21"/>
        <v>183.33333333333331</v>
      </c>
      <c r="AO28" s="83">
        <f t="shared" si="21"/>
        <v>183.33333333333331</v>
      </c>
      <c r="AP28" s="83">
        <f t="shared" si="21"/>
        <v>183.33333333333331</v>
      </c>
      <c r="AQ28" s="83">
        <f t="shared" si="21"/>
        <v>183.33333333333331</v>
      </c>
      <c r="AR28" s="83">
        <f t="shared" si="21"/>
        <v>183.33333333333331</v>
      </c>
      <c r="AS28" s="83">
        <f t="shared" si="21"/>
        <v>183.33333333333331</v>
      </c>
      <c r="AT28" s="83">
        <f t="shared" si="21"/>
        <v>183.33333333333331</v>
      </c>
      <c r="AU28" s="83">
        <f t="shared" si="21"/>
        <v>183.33333333333331</v>
      </c>
      <c r="AV28" s="83">
        <f t="shared" si="21"/>
        <v>183.33333333333331</v>
      </c>
      <c r="AW28" s="83">
        <f t="shared" si="21"/>
        <v>183.33333333333331</v>
      </c>
      <c r="AX28" s="83">
        <f t="shared" si="21"/>
        <v>183.33333333333331</v>
      </c>
      <c r="AY28" s="83">
        <f t="shared" si="21"/>
        <v>183.33333333333331</v>
      </c>
      <c r="AZ28" s="83">
        <f t="shared" si="21"/>
        <v>183.33333333333331</v>
      </c>
      <c r="BA28" s="83">
        <f t="shared" si="21"/>
        <v>183.33333333333331</v>
      </c>
      <c r="BB28" s="83">
        <f t="shared" si="21"/>
        <v>183.33333333333331</v>
      </c>
      <c r="BC28" s="83">
        <f t="shared" si="21"/>
        <v>183.33333333333331</v>
      </c>
      <c r="BD28" s="83">
        <f t="shared" si="21"/>
        <v>183.33333333333331</v>
      </c>
      <c r="BE28" s="83">
        <f t="shared" si="21"/>
        <v>183.33333333333331</v>
      </c>
      <c r="BF28" s="83">
        <f t="shared" si="21"/>
        <v>183.33333333333331</v>
      </c>
      <c r="BG28" s="83">
        <f t="shared" si="21"/>
        <v>183.33333333333331</v>
      </c>
      <c r="BH28" s="83">
        <f t="shared" si="21"/>
        <v>183.33333333333331</v>
      </c>
      <c r="BI28" s="83">
        <f t="shared" si="21"/>
        <v>183.33333333333331</v>
      </c>
      <c r="BJ28" s="83">
        <f t="shared" si="21"/>
        <v>183.33333333333331</v>
      </c>
      <c r="BK28" s="83">
        <f t="shared" si="21"/>
        <v>183.33333333333331</v>
      </c>
      <c r="BL28" s="83">
        <f t="shared" si="21"/>
        <v>183.33333333333331</v>
      </c>
      <c r="BM28" s="83">
        <f t="shared" si="21"/>
        <v>183.33333333333331</v>
      </c>
      <c r="BN28" s="83">
        <f t="shared" si="21"/>
        <v>183.33333333333331</v>
      </c>
      <c r="BO28" s="83">
        <f t="shared" si="21"/>
        <v>183.33333333333331</v>
      </c>
      <c r="BP28" s="131"/>
      <c r="BQ28" s="132"/>
      <c r="BR28" s="132"/>
      <c r="BS28" s="132"/>
      <c r="BT28" s="132"/>
      <c r="BU28" s="132"/>
      <c r="BV28" s="132"/>
      <c r="BW28" s="132"/>
      <c r="BX28" s="132"/>
      <c r="BY28" s="132"/>
      <c r="BZ28" s="132"/>
      <c r="CA28" s="132"/>
      <c r="CB28" s="132"/>
      <c r="CC28" s="132"/>
      <c r="CD28" s="132"/>
      <c r="CE28" s="132"/>
      <c r="CF28" s="132"/>
      <c r="CG28" s="87"/>
    </row>
    <row r="29" spans="1:177" ht="29" x14ac:dyDescent="0.35">
      <c r="A29" s="3" t="s">
        <v>9</v>
      </c>
      <c r="B29" s="12">
        <f>IF($B$15="Culture agricole",$B$40,#REF!)</f>
        <v>45</v>
      </c>
      <c r="C29" s="12">
        <f>IF($B$15="Culture agricole",$B$40,#REF!)</f>
        <v>45</v>
      </c>
      <c r="D29" s="12">
        <f>IF($B$15="Culture agricole",$B$40,#REF!)</f>
        <v>45</v>
      </c>
      <c r="E29" s="12">
        <f>IF($B$15="Culture agricole",$B$40,#REF!)</f>
        <v>45</v>
      </c>
      <c r="F29" s="12">
        <f>IF($B$15="Culture agricole",$B$40,#REF!)</f>
        <v>45</v>
      </c>
      <c r="G29" s="12">
        <f>IF($B$15="Culture agricole",$B$40,#REF!)</f>
        <v>45</v>
      </c>
      <c r="H29" s="12">
        <f>IF($B$15="Culture agricole",$B$40,#REF!)</f>
        <v>45</v>
      </c>
      <c r="I29" s="12">
        <f>IF($B$15="Culture agricole",$B$40,#REF!)</f>
        <v>45</v>
      </c>
      <c r="J29" s="12">
        <f>IF($B$15="Culture agricole",$B$40,#REF!)</f>
        <v>45</v>
      </c>
      <c r="K29" s="12">
        <f>IF($B$15="Culture agricole",$B$40,#REF!)</f>
        <v>45</v>
      </c>
      <c r="L29" s="12">
        <f>IF($B$15="Culture agricole",$B$40,#REF!)</f>
        <v>45</v>
      </c>
      <c r="M29" s="12">
        <f>IF($B$15="Culture agricole",$B$40,#REF!)</f>
        <v>45</v>
      </c>
      <c r="N29" s="12">
        <f>IF($B$15="Culture agricole",$B$40,#REF!)</f>
        <v>45</v>
      </c>
      <c r="O29" s="12">
        <f>IF($B$15="Culture agricole",$B$40,#REF!)</f>
        <v>45</v>
      </c>
      <c r="P29" s="12">
        <f>IF($B$15="Culture agricole",$B$40,#REF!)</f>
        <v>45</v>
      </c>
      <c r="Q29" s="12">
        <f>IF($B$15="Culture agricole",$B$40,#REF!)</f>
        <v>45</v>
      </c>
      <c r="R29" s="12">
        <f>IF($B$15="Culture agricole",$B$40,#REF!)</f>
        <v>45</v>
      </c>
      <c r="S29" s="12">
        <f>IF($B$15="Culture agricole",$B$40,#REF!)</f>
        <v>45</v>
      </c>
      <c r="T29" s="12">
        <f>IF($B$15="Culture agricole",$B$40,#REF!)</f>
        <v>45</v>
      </c>
      <c r="U29" s="12">
        <f>IF($B$15="Culture agricole",$B$40,#REF!)</f>
        <v>45</v>
      </c>
      <c r="V29" s="12">
        <f>IF($B$15="Culture agricole",$B$40,#REF!)</f>
        <v>45</v>
      </c>
      <c r="W29" s="12">
        <f>IF($B$15="Culture agricole",$B$40,#REF!)</f>
        <v>45</v>
      </c>
      <c r="X29" s="12">
        <f>IF($B$15="Culture agricole",$B$40,#REF!)</f>
        <v>45</v>
      </c>
      <c r="Y29" s="12">
        <f>IF($B$15="Culture agricole",$B$40,#REF!)</f>
        <v>45</v>
      </c>
      <c r="Z29" s="12">
        <f>IF($B$15="Culture agricole",$B$40,#REF!)</f>
        <v>45</v>
      </c>
      <c r="AA29" s="12">
        <f>IF($B$15="Culture agricole",$B$40,#REF!)</f>
        <v>45</v>
      </c>
      <c r="AB29" s="12">
        <f>IF($B$15="Culture agricole",$B$40,#REF!)</f>
        <v>45</v>
      </c>
      <c r="AC29" s="12">
        <f>IF($B$15="Culture agricole",$B$40,#REF!)</f>
        <v>45</v>
      </c>
      <c r="AD29" s="12">
        <f>IF($B$15="Culture agricole",$B$40,#REF!)</f>
        <v>45</v>
      </c>
      <c r="AE29" s="12">
        <f>IF($B$15="Culture agricole",$B$40,#REF!)</f>
        <v>45</v>
      </c>
      <c r="AF29" s="12">
        <f>IF($B$15="Culture agricole",$B$40,#REF!)</f>
        <v>45</v>
      </c>
      <c r="AG29" s="12">
        <f>IF($B$15="Culture agricole",$B$40,#REF!)</f>
        <v>45</v>
      </c>
      <c r="AH29" s="12">
        <f>IF($B$15="Culture agricole",$B$40,#REF!)</f>
        <v>45</v>
      </c>
      <c r="AI29" s="12">
        <f>IF($B$15="Culture agricole",$B$40,#REF!)</f>
        <v>45</v>
      </c>
      <c r="AJ29" s="12">
        <f>IF($B$15="Culture agricole",$B$40,#REF!)</f>
        <v>45</v>
      </c>
      <c r="AK29" s="12">
        <f>IF($B$15="Culture agricole",$B$40,#REF!)</f>
        <v>45</v>
      </c>
      <c r="AL29" s="12">
        <f>IF($B$15="Culture agricole",$B$40,#REF!)</f>
        <v>45</v>
      </c>
      <c r="AM29" s="12">
        <f>IF($B$15="Culture agricole",$B$40,#REF!)</f>
        <v>45</v>
      </c>
      <c r="AN29" s="12">
        <f>IF($B$15="Culture agricole",$B$40,#REF!)</f>
        <v>45</v>
      </c>
      <c r="AO29" s="12">
        <f>IF($B$15="Culture agricole",$B$40,#REF!)</f>
        <v>45</v>
      </c>
      <c r="AP29" s="12">
        <f>IF($B$15="Culture agricole",$B$40,#REF!)</f>
        <v>45</v>
      </c>
      <c r="AQ29" s="12">
        <f>IF($B$15="Culture agricole",$B$40,#REF!)</f>
        <v>45</v>
      </c>
      <c r="AR29" s="12">
        <f>IF($B$15="Culture agricole",$B$40,#REF!)</f>
        <v>45</v>
      </c>
      <c r="AS29" s="12">
        <f>IF($B$15="Culture agricole",$B$40,#REF!)</f>
        <v>45</v>
      </c>
      <c r="AT29" s="12">
        <f>IF($B$15="Culture agricole",$B$40,#REF!)</f>
        <v>45</v>
      </c>
      <c r="AU29" s="12">
        <f>IF($B$15="Culture agricole",$B$40,#REF!)</f>
        <v>45</v>
      </c>
      <c r="AV29" s="12">
        <f>IF($B$15="Culture agricole",$B$40,#REF!)</f>
        <v>45</v>
      </c>
      <c r="AW29" s="12">
        <f>IF($B$15="Culture agricole",$B$40,#REF!)</f>
        <v>45</v>
      </c>
      <c r="AX29" s="12">
        <f>IF($B$15="Culture agricole",$B$40,#REF!)</f>
        <v>45</v>
      </c>
      <c r="AY29" s="12">
        <f>IF($B$15="Culture agricole",$B$40,#REF!)</f>
        <v>45</v>
      </c>
      <c r="AZ29" s="12">
        <f>IF($B$15="Culture agricole",$B$40,#REF!)</f>
        <v>45</v>
      </c>
      <c r="BA29" s="12">
        <f>IF($B$15="Culture agricole",$B$40,#REF!)</f>
        <v>45</v>
      </c>
      <c r="BB29" s="12">
        <f>IF($B$15="Culture agricole",$B$40,#REF!)</f>
        <v>45</v>
      </c>
      <c r="BC29" s="12">
        <f>IF($B$15="Culture agricole",$B$40,#REF!)</f>
        <v>45</v>
      </c>
      <c r="BD29" s="12">
        <f>IF($B$15="Culture agricole",$B$40,#REF!)</f>
        <v>45</v>
      </c>
      <c r="BE29" s="12">
        <f>IF($B$15="Culture agricole",$B$40,#REF!)</f>
        <v>45</v>
      </c>
      <c r="BF29" s="12">
        <f>IF($B$15="Culture agricole",$B$40,#REF!)</f>
        <v>45</v>
      </c>
      <c r="BG29" s="12">
        <f>IF($B$15="Culture agricole",$B$40,#REF!)</f>
        <v>45</v>
      </c>
      <c r="BH29" s="12">
        <f>IF($B$15="Culture agricole",$B$40,#REF!)</f>
        <v>45</v>
      </c>
      <c r="BI29" s="12">
        <f>IF($B$15="Culture agricole",$B$40,#REF!)</f>
        <v>45</v>
      </c>
      <c r="BJ29" s="12">
        <f>IF($B$15="Culture agricole",$B$40,#REF!)</f>
        <v>45</v>
      </c>
      <c r="BK29" s="12">
        <f>IF($B$15="Culture agricole",$B$40,#REF!)</f>
        <v>45</v>
      </c>
      <c r="BL29" s="12">
        <f>IF($B$15="Culture agricole",$B$40,#REF!)</f>
        <v>45</v>
      </c>
      <c r="BM29" s="12">
        <f>IF($B$15="Culture agricole",$B$40,#REF!)</f>
        <v>45</v>
      </c>
      <c r="BN29" s="12">
        <f>IF($B$15="Culture agricole",$B$40,#REF!)</f>
        <v>45</v>
      </c>
      <c r="BO29" s="13">
        <f>IF($B$15="Culture agricole",$B$40,#REF!)</f>
        <v>45</v>
      </c>
      <c r="BP29" s="48"/>
      <c r="BQ29" s="15"/>
      <c r="BR29" s="15"/>
      <c r="BS29" s="15"/>
      <c r="BT29" s="15"/>
      <c r="BU29" s="15"/>
      <c r="BV29" s="15"/>
      <c r="BW29" s="15"/>
      <c r="BX29" s="15"/>
      <c r="BY29" s="15"/>
      <c r="BZ29" s="15"/>
      <c r="CA29" s="15"/>
      <c r="CB29" s="15"/>
      <c r="CC29" s="15"/>
      <c r="CD29" s="15"/>
      <c r="CE29" s="15"/>
      <c r="CF29" s="15"/>
      <c r="CG29" s="87"/>
    </row>
    <row r="30" spans="1:177" x14ac:dyDescent="0.35">
      <c r="A30" s="3" t="s">
        <v>176</v>
      </c>
      <c r="B30" s="12">
        <f>$B$36</f>
        <v>0</v>
      </c>
      <c r="C30" s="12">
        <f t="shared" ref="C30:BN30" si="22">$B$36</f>
        <v>0</v>
      </c>
      <c r="D30" s="12">
        <f t="shared" si="22"/>
        <v>0</v>
      </c>
      <c r="E30" s="12">
        <f t="shared" si="22"/>
        <v>0</v>
      </c>
      <c r="F30" s="12">
        <f t="shared" si="22"/>
        <v>0</v>
      </c>
      <c r="G30" s="12">
        <f t="shared" si="22"/>
        <v>0</v>
      </c>
      <c r="H30" s="12">
        <f t="shared" si="22"/>
        <v>0</v>
      </c>
      <c r="I30" s="12">
        <f t="shared" si="22"/>
        <v>0</v>
      </c>
      <c r="J30" s="12">
        <f t="shared" si="22"/>
        <v>0</v>
      </c>
      <c r="K30" s="12">
        <f t="shared" si="22"/>
        <v>0</v>
      </c>
      <c r="L30" s="12">
        <f t="shared" si="22"/>
        <v>0</v>
      </c>
      <c r="M30" s="12">
        <f t="shared" si="22"/>
        <v>0</v>
      </c>
      <c r="N30" s="12">
        <f t="shared" si="22"/>
        <v>0</v>
      </c>
      <c r="O30" s="12">
        <f t="shared" si="22"/>
        <v>0</v>
      </c>
      <c r="P30" s="12">
        <f t="shared" si="22"/>
        <v>0</v>
      </c>
      <c r="Q30" s="12">
        <f t="shared" si="22"/>
        <v>0</v>
      </c>
      <c r="R30" s="12">
        <f t="shared" si="22"/>
        <v>0</v>
      </c>
      <c r="S30" s="12">
        <f t="shared" si="22"/>
        <v>0</v>
      </c>
      <c r="T30" s="12">
        <f t="shared" si="22"/>
        <v>0</v>
      </c>
      <c r="U30" s="12">
        <f t="shared" si="22"/>
        <v>0</v>
      </c>
      <c r="V30" s="12">
        <f t="shared" si="22"/>
        <v>0</v>
      </c>
      <c r="W30" s="12">
        <f t="shared" si="22"/>
        <v>0</v>
      </c>
      <c r="X30" s="12">
        <f t="shared" si="22"/>
        <v>0</v>
      </c>
      <c r="Y30" s="12">
        <f t="shared" si="22"/>
        <v>0</v>
      </c>
      <c r="Z30" s="12">
        <f t="shared" si="22"/>
        <v>0</v>
      </c>
      <c r="AA30" s="12">
        <f t="shared" si="22"/>
        <v>0</v>
      </c>
      <c r="AB30" s="12">
        <f t="shared" si="22"/>
        <v>0</v>
      </c>
      <c r="AC30" s="12">
        <f t="shared" si="22"/>
        <v>0</v>
      </c>
      <c r="AD30" s="12">
        <f t="shared" si="22"/>
        <v>0</v>
      </c>
      <c r="AE30" s="12">
        <f t="shared" si="22"/>
        <v>0</v>
      </c>
      <c r="AF30" s="12">
        <f>$B$36</f>
        <v>0</v>
      </c>
      <c r="AG30" s="12">
        <f t="shared" si="22"/>
        <v>0</v>
      </c>
      <c r="AH30" s="12">
        <f t="shared" si="22"/>
        <v>0</v>
      </c>
      <c r="AI30" s="12">
        <f t="shared" si="22"/>
        <v>0</v>
      </c>
      <c r="AJ30" s="12">
        <f t="shared" si="22"/>
        <v>0</v>
      </c>
      <c r="AK30" s="12">
        <f t="shared" si="22"/>
        <v>0</v>
      </c>
      <c r="AL30" s="12">
        <f t="shared" si="22"/>
        <v>0</v>
      </c>
      <c r="AM30" s="12">
        <f t="shared" si="22"/>
        <v>0</v>
      </c>
      <c r="AN30" s="12">
        <f t="shared" si="22"/>
        <v>0</v>
      </c>
      <c r="AO30" s="12">
        <f t="shared" si="22"/>
        <v>0</v>
      </c>
      <c r="AP30" s="12">
        <f t="shared" si="22"/>
        <v>0</v>
      </c>
      <c r="AQ30" s="12">
        <f t="shared" si="22"/>
        <v>0</v>
      </c>
      <c r="AR30" s="12">
        <f t="shared" si="22"/>
        <v>0</v>
      </c>
      <c r="AS30" s="12">
        <f t="shared" si="22"/>
        <v>0</v>
      </c>
      <c r="AT30" s="12">
        <f t="shared" si="22"/>
        <v>0</v>
      </c>
      <c r="AU30" s="12">
        <f t="shared" si="22"/>
        <v>0</v>
      </c>
      <c r="AV30" s="12">
        <f t="shared" si="22"/>
        <v>0</v>
      </c>
      <c r="AW30" s="12">
        <f t="shared" si="22"/>
        <v>0</v>
      </c>
      <c r="AX30" s="12">
        <f t="shared" si="22"/>
        <v>0</v>
      </c>
      <c r="AY30" s="12">
        <f t="shared" si="22"/>
        <v>0</v>
      </c>
      <c r="AZ30" s="12">
        <f t="shared" si="22"/>
        <v>0</v>
      </c>
      <c r="BA30" s="12">
        <f t="shared" si="22"/>
        <v>0</v>
      </c>
      <c r="BB30" s="12">
        <f t="shared" si="22"/>
        <v>0</v>
      </c>
      <c r="BC30" s="12">
        <f t="shared" si="22"/>
        <v>0</v>
      </c>
      <c r="BD30" s="12">
        <f t="shared" si="22"/>
        <v>0</v>
      </c>
      <c r="BE30" s="12">
        <f t="shared" si="22"/>
        <v>0</v>
      </c>
      <c r="BF30" s="12">
        <f t="shared" si="22"/>
        <v>0</v>
      </c>
      <c r="BG30" s="12">
        <f t="shared" si="22"/>
        <v>0</v>
      </c>
      <c r="BH30" s="12">
        <f t="shared" si="22"/>
        <v>0</v>
      </c>
      <c r="BI30" s="12">
        <f t="shared" si="22"/>
        <v>0</v>
      </c>
      <c r="BJ30" s="12">
        <f t="shared" si="22"/>
        <v>0</v>
      </c>
      <c r="BK30" s="12">
        <f t="shared" si="22"/>
        <v>0</v>
      </c>
      <c r="BL30" s="12">
        <f t="shared" si="22"/>
        <v>0</v>
      </c>
      <c r="BM30" s="12">
        <f t="shared" si="22"/>
        <v>0</v>
      </c>
      <c r="BN30" s="12">
        <f t="shared" si="22"/>
        <v>0</v>
      </c>
      <c r="BO30" s="13">
        <f>$B$36</f>
        <v>0</v>
      </c>
      <c r="BP30" s="48"/>
      <c r="BQ30" s="15"/>
      <c r="BR30" s="15"/>
      <c r="BS30" s="15"/>
      <c r="BT30" s="15"/>
      <c r="BU30" s="15"/>
      <c r="BV30" s="15"/>
      <c r="BW30" s="15"/>
      <c r="BX30" s="15"/>
      <c r="BY30" s="15"/>
      <c r="BZ30" s="15"/>
      <c r="CA30" s="15"/>
      <c r="CB30" s="15"/>
      <c r="CC30" s="15"/>
      <c r="CD30" s="15"/>
      <c r="CE30" s="15"/>
      <c r="CF30" s="15"/>
      <c r="CG30" s="87"/>
    </row>
    <row r="31" spans="1:177" ht="15" thickBot="1" x14ac:dyDescent="0.4">
      <c r="A31" s="88" t="s">
        <v>182</v>
      </c>
      <c r="B31" s="83">
        <f t="shared" ref="B31:AG31" si="23">B21-B28</f>
        <v>-18.333333333333314</v>
      </c>
      <c r="C31" s="97">
        <f t="shared" si="23"/>
        <v>-5.526303614437694</v>
      </c>
      <c r="D31" s="97">
        <f t="shared" si="23"/>
        <v>6.8178044625542213</v>
      </c>
      <c r="E31" s="97">
        <f t="shared" si="23"/>
        <v>18.994213127195508</v>
      </c>
      <c r="F31" s="97">
        <f t="shared" si="23"/>
        <v>31.057320218143531</v>
      </c>
      <c r="G31" s="97">
        <f t="shared" si="23"/>
        <v>43.032029586120274</v>
      </c>
      <c r="H31" s="97">
        <f t="shared" si="23"/>
        <v>54.932737912309477</v>
      </c>
      <c r="I31" s="97">
        <f t="shared" si="23"/>
        <v>66.768879658555051</v>
      </c>
      <c r="J31" s="97">
        <f t="shared" si="23"/>
        <v>78.547153966984297</v>
      </c>
      <c r="K31" s="97">
        <f t="shared" si="23"/>
        <v>90.272593375110773</v>
      </c>
      <c r="L31" s="97">
        <f t="shared" si="23"/>
        <v>101.94914036137368</v>
      </c>
      <c r="M31" s="97">
        <f t="shared" si="23"/>
        <v>113.57998551366467</v>
      </c>
      <c r="N31" s="97">
        <f t="shared" si="23"/>
        <v>125.16777880585499</v>
      </c>
      <c r="O31" s="97">
        <f t="shared" si="23"/>
        <v>136.71476829531503</v>
      </c>
      <c r="P31" s="97">
        <f t="shared" si="23"/>
        <v>148.22289488487502</v>
      </c>
      <c r="Q31" s="97">
        <f t="shared" si="23"/>
        <v>159.6938592365197</v>
      </c>
      <c r="R31" s="97">
        <f t="shared" si="23"/>
        <v>171.12917034781697</v>
      </c>
      <c r="S31" s="97">
        <f t="shared" si="23"/>
        <v>162.99834699906279</v>
      </c>
      <c r="T31" s="97">
        <f t="shared" si="23"/>
        <v>183.37310567731726</v>
      </c>
      <c r="U31" s="97">
        <f t="shared" si="23"/>
        <v>203.67780729362835</v>
      </c>
      <c r="V31" s="97">
        <f t="shared" si="23"/>
        <v>204.48379452228517</v>
      </c>
      <c r="W31" s="97">
        <f t="shared" si="23"/>
        <v>228.84921427600722</v>
      </c>
      <c r="X31" s="97">
        <f t="shared" si="23"/>
        <v>253.13682269178901</v>
      </c>
      <c r="Y31" s="97">
        <f t="shared" si="23"/>
        <v>277.35375084025048</v>
      </c>
      <c r="Z31" s="97">
        <f t="shared" si="23"/>
        <v>301.5057645452053</v>
      </c>
      <c r="AA31" s="97">
        <f t="shared" si="23"/>
        <v>279.33085969837936</v>
      </c>
      <c r="AB31" s="97">
        <f t="shared" si="23"/>
        <v>305.37925296849124</v>
      </c>
      <c r="AC31" s="97">
        <f t="shared" si="23"/>
        <v>331.36029500784122</v>
      </c>
      <c r="AD31" s="97">
        <f t="shared" si="23"/>
        <v>357.27904884593823</v>
      </c>
      <c r="AE31" s="97">
        <f t="shared" si="23"/>
        <v>383.13977496053627</v>
      </c>
      <c r="AF31" s="97">
        <f t="shared" si="23"/>
        <v>339.8735251663573</v>
      </c>
      <c r="AG31" s="97">
        <f t="shared" si="23"/>
        <v>364.51590212368097</v>
      </c>
      <c r="AH31" s="97">
        <f t="shared" ref="AH31:BO31" si="24">AH21-AH28</f>
        <v>389.10142284632224</v>
      </c>
      <c r="AI31" s="97">
        <f t="shared" si="24"/>
        <v>413.63366909864402</v>
      </c>
      <c r="AJ31" s="97">
        <f t="shared" si="24"/>
        <v>438.11574309821077</v>
      </c>
      <c r="AK31" s="97">
        <f t="shared" si="24"/>
        <v>396.25160451488654</v>
      </c>
      <c r="AL31" s="97">
        <f t="shared" si="24"/>
        <v>421.11337319176749</v>
      </c>
      <c r="AM31" s="97">
        <f t="shared" si="24"/>
        <v>445.92519703936745</v>
      </c>
      <c r="AN31" s="97">
        <f t="shared" si="24"/>
        <v>470.68982524263942</v>
      </c>
      <c r="AO31" s="97">
        <f t="shared" si="24"/>
        <v>495.40968659458923</v>
      </c>
      <c r="AP31" s="97">
        <f t="shared" si="24"/>
        <v>459.07593376984431</v>
      </c>
      <c r="AQ31" s="97">
        <f t="shared" si="24"/>
        <v>483.65704609244273</v>
      </c>
      <c r="AR31" s="97">
        <f t="shared" si="24"/>
        <v>508.19531686259865</v>
      </c>
      <c r="AS31" s="97">
        <f t="shared" si="24"/>
        <v>532.692768742</v>
      </c>
      <c r="AT31" s="97">
        <f t="shared" si="24"/>
        <v>557.15122369742267</v>
      </c>
      <c r="AU31" s="97">
        <f t="shared" si="24"/>
        <v>509.30040844242029</v>
      </c>
      <c r="AV31" s="97">
        <f t="shared" si="24"/>
        <v>533.25268911120156</v>
      </c>
      <c r="AW31" s="97">
        <f t="shared" si="24"/>
        <v>557.16764029666842</v>
      </c>
      <c r="AX31" s="97">
        <f t="shared" si="24"/>
        <v>581.04682405941685</v>
      </c>
      <c r="AY31" s="97">
        <f t="shared" si="24"/>
        <v>604.89166677991625</v>
      </c>
      <c r="AZ31" s="97">
        <f t="shared" si="24"/>
        <v>569.23709010196944</v>
      </c>
      <c r="BA31" s="97">
        <f t="shared" si="24"/>
        <v>592.81769389167198</v>
      </c>
      <c r="BB31" s="97">
        <f t="shared" si="24"/>
        <v>616.36552465637124</v>
      </c>
      <c r="BC31" s="97">
        <f t="shared" si="24"/>
        <v>639.88180370435907</v>
      </c>
      <c r="BD31" s="97">
        <f t="shared" si="24"/>
        <v>663.36765965361519</v>
      </c>
      <c r="BE31" s="97">
        <f t="shared" si="24"/>
        <v>626.2173764498234</v>
      </c>
      <c r="BF31" s="97">
        <f t="shared" si="24"/>
        <v>648.55739750736302</v>
      </c>
      <c r="BG31" s="97">
        <f t="shared" si="24"/>
        <v>670.86967455621289</v>
      </c>
      <c r="BH31" s="97">
        <f t="shared" si="24"/>
        <v>693.15510653529464</v>
      </c>
      <c r="BI31" s="97">
        <f t="shared" si="24"/>
        <v>715.41453472919852</v>
      </c>
      <c r="BJ31" s="97">
        <f t="shared" si="24"/>
        <v>697.32419134720885</v>
      </c>
      <c r="BK31" s="97">
        <f t="shared" si="24"/>
        <v>718.42754987090802</v>
      </c>
      <c r="BL31" s="97">
        <f t="shared" si="24"/>
        <v>739.50763526582909</v>
      </c>
      <c r="BM31" s="97">
        <f t="shared" si="24"/>
        <v>760.56509757753838</v>
      </c>
      <c r="BN31" s="97">
        <f t="shared" si="24"/>
        <v>781.60055252364009</v>
      </c>
      <c r="BO31" s="113">
        <f t="shared" si="24"/>
        <v>802.61458446750271</v>
      </c>
      <c r="BP31" s="131"/>
      <c r="BQ31" s="132"/>
      <c r="BR31" s="132"/>
      <c r="BS31" s="132"/>
      <c r="BT31" s="132"/>
      <c r="BU31" s="132"/>
      <c r="BV31" s="132"/>
      <c r="BW31" s="132"/>
      <c r="BX31" s="132"/>
      <c r="BY31" s="132"/>
      <c r="BZ31" s="132"/>
      <c r="CA31" s="132"/>
      <c r="CB31" s="132"/>
      <c r="CC31" s="132"/>
      <c r="CD31" s="132"/>
      <c r="CE31" s="132"/>
      <c r="CF31" s="132"/>
      <c r="CG31" s="87"/>
    </row>
    <row r="32" spans="1:177" x14ac:dyDescent="0.35">
      <c r="A32" s="144" t="s">
        <v>8</v>
      </c>
      <c r="B32" s="145"/>
      <c r="C32" s="47"/>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row>
    <row r="33" spans="1:32" ht="29" x14ac:dyDescent="0.35">
      <c r="A33" s="3" t="s">
        <v>3</v>
      </c>
      <c r="B33" s="13">
        <v>0.47499999999999998</v>
      </c>
      <c r="C33" s="46"/>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ht="15" thickBot="1" x14ac:dyDescent="0.4">
      <c r="A34" s="3" t="s">
        <v>4</v>
      </c>
      <c r="B34" s="14">
        <f>IF(B12="Conifères",1.3,1.56)</f>
        <v>1.3</v>
      </c>
      <c r="C34" s="48"/>
      <c r="D34" s="15"/>
      <c r="E34" s="15"/>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ht="29.5" thickBot="1" x14ac:dyDescent="0.4">
      <c r="A35" s="11" t="s">
        <v>139</v>
      </c>
      <c r="B35" s="17" t="s">
        <v>58</v>
      </c>
      <c r="C35" s="49">
        <f>IF(B35="Alisier torminal",0.62,IF(B35="Arbousier",0.64,IF(B35="Aulne vert",0.42,IF(B35="Grands aulnes",0.42,IF(B35="Bouleaux",0.52,IF(B35="Cèdre de l’Atlas",0.36,IF(B35="Charme",0.61,IF(B35="Charme-houblon",0.66,IF(B35="Châtaignier",0.47,IF(B35="Chêne chevelu",0.67,IF(B35="Chêne-liège",0.7,IF(B35="Chêne pédonculé",0.54,IF(B35="Chêne pubescent",0.65,IF(B35="Chêne rouge d’Amérique",0.56,IF(B35="Chêne rouvre (sessile)",0.58,IF(B35="Chêne tauzin",0.64,IF(B35="Chêne vert",0.73,IF(B35="Chênes indifférenciés",0.56,IF(B35="Cornouiller mâle",0.74,IF(B35="Cyprès",0.4,IF(B35="Cytise aubour",0.6,IF(B35="Douglas",0.43,IF(B35="Epicéa commun",0.37,IF(B35="Epicéa de Sitka",0.36,IF(B35="Grands érables",0.51,IF(B35="Petits érables",0.56,IF(B35="Eucalyptus",0.56,IF(B35="Genévrier thurifère",0.48,IF(B35="Hêtre",0.55,IF(B35="Frênes",0.56,IF(B35="Fruitiers",0.58,IF(B35="If",0.58,IF(B35="Mélèze d’Europe",0.48,IF(B35="Mélèze du Japon",0.42,IF(B35="Merisier",0.5,IF(B35="Micocoulier",0.55,IF(B35="Mûrier",0.53,IF(B35="Noisetier",0.52,IF(B35="Noyer",0.52,IF(B35="Olivier",0.75,IF(B35="Ormes",0.52,IF(B35="Peupliers cultivés",0.35,IF(B35="Peupliers non cultivés",0.37,IF(B35="Pin d'Alep",0.45,IF(B35="Pin cembro",0.39,IF(B35="Pin à crochets",0.44,IF(B35="Pin laricio",0.46,IF(B35="Pin maritime",0.46,IF(B35="Pin mugho",0.44,IF(B35="Pin noir d'Autriche",0.46,IF(B35="Pin pignon",0.48,IF(B35="Pin sylvestre",0.44,IF(B35="Pin Weymouth",0.34,IF(B35="Platanes",0.5,IF(B35="Robinier faux acacia",0.58,IF(B35="Sapin méditerranéen",0.37,IF(B35="Sapin de Nordmann",0.37,IF(B35="Sapin pectiné",0.38,IF(B35="Sapin de Vancouver",0.36,IF(B35="Saules",0.37,IF(B35="Tamaris",0.53,IF(B35="Tilleuls",0.43,IF(B35="Tremble",0.38,IF(B35="Conifères (moyenne)",0.42,IF(B35="Feuillus (moyenne)",0.57,"")))))))))))))))))))))))))))))))))))))))))))))))))))))))))))))))))</f>
        <v>0.46</v>
      </c>
      <c r="D35" s="48"/>
      <c r="E35" s="15" t="str">
        <f>IF(D35="Conifères (moyenne)",0.42,IF(D35="Feuillus (moyenne)",0.57,IF(D35="Moyenne",0.54,"")))</f>
        <v/>
      </c>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ht="29" x14ac:dyDescent="0.35">
      <c r="A36" s="3" t="s">
        <v>167</v>
      </c>
      <c r="B36" s="22">
        <v>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x14ac:dyDescent="0.35">
      <c r="A37" s="3" t="s">
        <v>6</v>
      </c>
      <c r="B37" s="22">
        <v>10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ht="56.5" x14ac:dyDescent="0.35">
      <c r="A38" s="3" t="s">
        <v>137</v>
      </c>
      <c r="B38" s="22">
        <v>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ht="43.5" x14ac:dyDescent="0.35">
      <c r="A39" s="3" t="s">
        <v>138</v>
      </c>
      <c r="B39" s="22">
        <v>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ht="29" x14ac:dyDescent="0.35">
      <c r="A40" s="3" t="s">
        <v>185</v>
      </c>
      <c r="B40" s="22">
        <v>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ht="15" thickBot="1" x14ac:dyDescent="0.4">
      <c r="A41" s="146"/>
      <c r="B41" s="147"/>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row>
    <row r="42" spans="1:32" ht="43.5" x14ac:dyDescent="0.35">
      <c r="A42" s="2" t="s">
        <v>172</v>
      </c>
      <c r="B42" s="90">
        <f>AF21-AF28</f>
        <v>339.8735251663573</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44" thickBot="1" x14ac:dyDescent="0.4">
      <c r="A43" s="4" t="s">
        <v>132</v>
      </c>
      <c r="B43" s="91">
        <f>B42*B10</f>
        <v>679.74705033271459</v>
      </c>
      <c r="C43" s="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row>
    <row r="44" spans="1:32" ht="43.5" x14ac:dyDescent="0.35">
      <c r="A44" s="2" t="s">
        <v>179</v>
      </c>
      <c r="B44" s="84">
        <f>(1/B11)*(SUM(B21:BO21))</f>
        <v>574.33651493446541</v>
      </c>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row>
    <row r="45" spans="1:32" ht="44" thickBot="1" x14ac:dyDescent="0.4">
      <c r="A45" s="4" t="s">
        <v>169</v>
      </c>
      <c r="B45" s="86">
        <f>B44*B10</f>
        <v>1148.6730298689308</v>
      </c>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row>
    <row r="46" spans="1:32" ht="43.5" x14ac:dyDescent="0.35">
      <c r="A46" s="2" t="s">
        <v>180</v>
      </c>
      <c r="B46" s="84">
        <f>((1/B13)*(SUM(B28:BO28)))</f>
        <v>186.15384615384627</v>
      </c>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row>
    <row r="47" spans="1:32" ht="44" thickBot="1" x14ac:dyDescent="0.4">
      <c r="A47" s="4" t="s">
        <v>170</v>
      </c>
      <c r="B47" s="86">
        <f>B46*B10</f>
        <v>372.30769230769255</v>
      </c>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row>
    <row r="48" spans="1:32" ht="58" x14ac:dyDescent="0.35">
      <c r="A48" s="2" t="s">
        <v>181</v>
      </c>
      <c r="B48" s="90">
        <f>B44-B46</f>
        <v>388.18266878061911</v>
      </c>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row>
    <row r="49" spans="1:32" ht="58.5" thickBot="1" x14ac:dyDescent="0.4">
      <c r="A49" s="4" t="s">
        <v>171</v>
      </c>
      <c r="B49" s="91">
        <f>B45-B47</f>
        <v>776.36533756123822</v>
      </c>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row>
  </sheetData>
  <mergeCells count="3">
    <mergeCell ref="A9:B9"/>
    <mergeCell ref="A32:B32"/>
    <mergeCell ref="A41:B4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D35</xm:sqref>
        </x14:dataValidation>
        <x14:dataValidation type="list" showInputMessage="1" showErrorMessage="1" prompt="Choisir l'essence pour avoir la di pour le scénario de projet">
          <x14:formula1>
            <xm:f>'Listes choix'!$C$2:$C$66</xm:f>
          </x14:formula1>
          <xm:sqref>B35</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24"/>
  <sheetViews>
    <sheetView tabSelected="1" zoomScale="87" workbookViewId="0">
      <selection activeCell="Z19" sqref="Z19"/>
    </sheetView>
  </sheetViews>
  <sheetFormatPr baseColWidth="10" defaultRowHeight="14.5" x14ac:dyDescent="0.35"/>
  <cols>
    <col min="1" max="1" width="38.08984375" style="1" customWidth="1"/>
    <col min="2" max="2" width="27.08984375" customWidth="1"/>
    <col min="4" max="4" width="13.1796875" customWidth="1"/>
  </cols>
  <sheetData>
    <row r="4" spans="1:177" ht="16" thickBot="1" x14ac:dyDescent="0.4">
      <c r="A4" s="19"/>
      <c r="B4" s="7"/>
    </row>
    <row r="5" spans="1:177" ht="16" thickBot="1" x14ac:dyDescent="0.4">
      <c r="A5" s="20" t="s">
        <v>173</v>
      </c>
      <c r="B5" s="92">
        <f>SUM(B18:AE18)</f>
        <v>38.700000000000003</v>
      </c>
    </row>
    <row r="6" spans="1:177" ht="16" thickBot="1" x14ac:dyDescent="0.4">
      <c r="A6" s="20" t="s">
        <v>91</v>
      </c>
      <c r="B6" s="92">
        <f>B5*B10</f>
        <v>77.400000000000006</v>
      </c>
    </row>
    <row r="8" spans="1:177" ht="15" thickBot="1" x14ac:dyDescent="0.4"/>
    <row r="9" spans="1:177" ht="15" thickBot="1" x14ac:dyDescent="0.4">
      <c r="A9" s="142" t="s">
        <v>11</v>
      </c>
      <c r="B9" s="143"/>
    </row>
    <row r="10" spans="1:177" x14ac:dyDescent="0.35">
      <c r="A10" s="2" t="s">
        <v>5</v>
      </c>
      <c r="B10" s="81">
        <v>2</v>
      </c>
    </row>
    <row r="11" spans="1:177" x14ac:dyDescent="0.35">
      <c r="A11" s="85" t="s">
        <v>14</v>
      </c>
      <c r="B11" s="89">
        <v>30</v>
      </c>
    </row>
    <row r="12" spans="1:177" x14ac:dyDescent="0.35">
      <c r="A12" s="3" t="s">
        <v>99</v>
      </c>
      <c r="B12" s="27" t="s">
        <v>98</v>
      </c>
    </row>
    <row r="13" spans="1:177" ht="36" customHeight="1" thickBot="1" x14ac:dyDescent="0.4">
      <c r="A13" s="4" t="s">
        <v>150</v>
      </c>
      <c r="B13" s="31">
        <f>IF(B12="Feuillus",C21,IF(B12="Peuplier",C22,IF(B12="Résineux",C24,IF(B12="Pin maritime en gestion dynamique (3 éclaircies durant les 30 1ères années)",C23,0))))</f>
        <v>0.43</v>
      </c>
    </row>
    <row r="14" spans="1:177" ht="15" thickBot="1" x14ac:dyDescent="0.4">
      <c r="AF14" s="7"/>
    </row>
    <row r="15" spans="1:177" s="5" customFormat="1" ht="15.5" x14ac:dyDescent="0.35">
      <c r="A15" s="152" t="s">
        <v>92</v>
      </c>
      <c r="B15" s="153"/>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4"/>
      <c r="AF15" s="19"/>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35">
      <c r="A16" s="3" t="s">
        <v>15</v>
      </c>
      <c r="B16" s="12">
        <v>1</v>
      </c>
      <c r="C16" s="12">
        <v>2</v>
      </c>
      <c r="D16" s="12">
        <v>3</v>
      </c>
      <c r="E16" s="12">
        <v>4</v>
      </c>
      <c r="F16" s="12">
        <v>5</v>
      </c>
      <c r="G16" s="12">
        <v>6</v>
      </c>
      <c r="H16" s="12">
        <v>7</v>
      </c>
      <c r="I16" s="12">
        <v>8</v>
      </c>
      <c r="J16" s="12">
        <v>9</v>
      </c>
      <c r="K16" s="12">
        <v>10</v>
      </c>
      <c r="L16" s="12">
        <v>11</v>
      </c>
      <c r="M16" s="12">
        <v>12</v>
      </c>
      <c r="N16" s="12">
        <v>13</v>
      </c>
      <c r="O16" s="12">
        <v>14</v>
      </c>
      <c r="P16" s="12">
        <v>15</v>
      </c>
      <c r="Q16" s="12">
        <v>16</v>
      </c>
      <c r="R16" s="12">
        <v>17</v>
      </c>
      <c r="S16" s="12">
        <v>18</v>
      </c>
      <c r="T16" s="12">
        <v>19</v>
      </c>
      <c r="U16" s="12">
        <v>20</v>
      </c>
      <c r="V16" s="12">
        <v>21</v>
      </c>
      <c r="W16" s="12">
        <v>22</v>
      </c>
      <c r="X16" s="12">
        <v>23</v>
      </c>
      <c r="Y16" s="12">
        <v>24</v>
      </c>
      <c r="Z16" s="12">
        <v>25</v>
      </c>
      <c r="AA16" s="12">
        <v>26</v>
      </c>
      <c r="AB16" s="12">
        <v>27</v>
      </c>
      <c r="AC16" s="12">
        <v>28</v>
      </c>
      <c r="AD16" s="12">
        <v>29</v>
      </c>
      <c r="AE16" s="22">
        <v>30</v>
      </c>
      <c r="AF16" s="15"/>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s="5" customFormat="1" x14ac:dyDescent="0.35">
      <c r="A17" s="155" t="s">
        <v>2</v>
      </c>
      <c r="B17" s="156"/>
      <c r="C17" s="156"/>
      <c r="D17" s="156"/>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7"/>
      <c r="AF17" s="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s="5" customFormat="1" x14ac:dyDescent="0.35">
      <c r="A18" s="54" t="s">
        <v>183</v>
      </c>
      <c r="B18" s="53">
        <f>$B$13*B19</f>
        <v>0</v>
      </c>
      <c r="C18" s="53">
        <f>$B$13*C19</f>
        <v>0</v>
      </c>
      <c r="D18" s="53">
        <f>$B$13*D19</f>
        <v>0</v>
      </c>
      <c r="E18" s="53">
        <f>$B$13*E19</f>
        <v>0</v>
      </c>
      <c r="F18" s="53">
        <f t="shared" ref="F18:AD18" si="0">$B$13*F19</f>
        <v>0</v>
      </c>
      <c r="G18" s="53">
        <f t="shared" si="0"/>
        <v>0</v>
      </c>
      <c r="H18" s="53">
        <f t="shared" si="0"/>
        <v>0</v>
      </c>
      <c r="I18" s="53">
        <f t="shared" si="0"/>
        <v>0</v>
      </c>
      <c r="J18" s="53">
        <f t="shared" si="0"/>
        <v>0</v>
      </c>
      <c r="K18" s="53">
        <f t="shared" si="0"/>
        <v>0</v>
      </c>
      <c r="L18" s="53">
        <f t="shared" si="0"/>
        <v>0</v>
      </c>
      <c r="M18" s="53">
        <f t="shared" si="0"/>
        <v>0</v>
      </c>
      <c r="N18" s="53">
        <f t="shared" si="0"/>
        <v>0</v>
      </c>
      <c r="O18" s="53">
        <f t="shared" si="0"/>
        <v>0</v>
      </c>
      <c r="P18" s="53">
        <f t="shared" si="0"/>
        <v>0</v>
      </c>
      <c r="Q18" s="53">
        <f t="shared" si="0"/>
        <v>0</v>
      </c>
      <c r="R18" s="53">
        <f t="shared" si="0"/>
        <v>0</v>
      </c>
      <c r="S18" s="53">
        <f t="shared" si="0"/>
        <v>0</v>
      </c>
      <c r="T18" s="53">
        <f t="shared" si="0"/>
        <v>0</v>
      </c>
      <c r="U18" s="53">
        <f t="shared" si="0"/>
        <v>0</v>
      </c>
      <c r="V18" s="53">
        <f t="shared" si="0"/>
        <v>0</v>
      </c>
      <c r="W18" s="53">
        <f t="shared" si="0"/>
        <v>0</v>
      </c>
      <c r="X18" s="53">
        <f t="shared" si="0"/>
        <v>0</v>
      </c>
      <c r="Y18" s="53">
        <f t="shared" si="0"/>
        <v>0</v>
      </c>
      <c r="Z18" s="53">
        <f t="shared" si="0"/>
        <v>15.48</v>
      </c>
      <c r="AA18" s="53">
        <f t="shared" si="0"/>
        <v>0</v>
      </c>
      <c r="AB18" s="53">
        <f t="shared" si="0"/>
        <v>0</v>
      </c>
      <c r="AC18" s="53">
        <f t="shared" si="0"/>
        <v>0</v>
      </c>
      <c r="AD18" s="53">
        <f t="shared" si="0"/>
        <v>0</v>
      </c>
      <c r="AE18" s="55">
        <f>$B$13*AE19</f>
        <v>23.22</v>
      </c>
      <c r="AF18" s="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15" thickBot="1" x14ac:dyDescent="0.4">
      <c r="A19" s="3" t="s">
        <v>184</v>
      </c>
      <c r="B19" s="17"/>
      <c r="C19" s="50"/>
      <c r="D19" s="135"/>
      <c r="E19" s="135"/>
      <c r="F19" s="135"/>
      <c r="G19" s="135"/>
      <c r="H19" s="135"/>
      <c r="I19" s="135"/>
      <c r="J19" s="135"/>
      <c r="K19" s="135"/>
      <c r="L19" s="135"/>
      <c r="M19" s="135"/>
      <c r="N19" s="135"/>
      <c r="O19" s="135"/>
      <c r="P19" s="135"/>
      <c r="Q19" s="135"/>
      <c r="R19" s="135"/>
      <c r="S19" s="135"/>
      <c r="T19" s="135"/>
      <c r="U19" s="135"/>
      <c r="V19" s="135"/>
      <c r="W19" s="135"/>
      <c r="X19" s="135"/>
      <c r="Y19" s="135"/>
      <c r="Z19" s="136">
        <v>36</v>
      </c>
      <c r="AA19" s="136"/>
      <c r="AB19" s="136"/>
      <c r="AC19" s="136"/>
      <c r="AD19" s="136"/>
      <c r="AE19" s="137">
        <v>54</v>
      </c>
      <c r="AF19" s="30"/>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ht="15" thickBot="1" x14ac:dyDescent="0.4">
      <c r="A20" s="150" t="s">
        <v>8</v>
      </c>
      <c r="B20" s="151"/>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row>
    <row r="21" spans="1:177" x14ac:dyDescent="0.35">
      <c r="A21" s="148" t="s">
        <v>94</v>
      </c>
      <c r="B21" s="23" t="s">
        <v>95</v>
      </c>
      <c r="C21" s="138">
        <v>0.25</v>
      </c>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row>
    <row r="22" spans="1:177" x14ac:dyDescent="0.35">
      <c r="A22" s="148"/>
      <c r="B22" s="23" t="s">
        <v>96</v>
      </c>
      <c r="C22" s="28">
        <v>1.03</v>
      </c>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row>
    <row r="23" spans="1:177" ht="29" x14ac:dyDescent="0.35">
      <c r="A23" s="148"/>
      <c r="B23" s="26" t="s">
        <v>97</v>
      </c>
      <c r="C23" s="28">
        <v>0.59</v>
      </c>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row>
    <row r="24" spans="1:177" ht="15" thickBot="1" x14ac:dyDescent="0.4">
      <c r="A24" s="149"/>
      <c r="B24" s="21" t="s">
        <v>98</v>
      </c>
      <c r="C24" s="29">
        <v>0.43</v>
      </c>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row>
  </sheetData>
  <mergeCells count="5">
    <mergeCell ref="A21:A24"/>
    <mergeCell ref="A9:B9"/>
    <mergeCell ref="A20:B20"/>
    <mergeCell ref="A15:AE15"/>
    <mergeCell ref="A17:AE17"/>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showInputMessage="1" showErrorMessage="1" prompt="Choisir un type de reboisement pour le calcul du CS projet">
          <x14:formula1>
            <xm:f>'Listes choix'!$G$2:$G$5</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76" workbookViewId="0">
      <selection activeCell="E13" sqref="E13"/>
    </sheetView>
  </sheetViews>
  <sheetFormatPr baseColWidth="10" defaultRowHeight="14.5" x14ac:dyDescent="0.35"/>
  <cols>
    <col min="1" max="1" width="55.90625" customWidth="1"/>
    <col min="2" max="2" width="29.7265625" customWidth="1"/>
    <col min="3" max="3" width="27.90625" customWidth="1"/>
    <col min="4" max="4" width="24.453125" customWidth="1"/>
    <col min="5" max="5" width="26.7265625" customWidth="1"/>
  </cols>
  <sheetData>
    <row r="1" spans="1:6" ht="15" thickBot="1" x14ac:dyDescent="0.4">
      <c r="D1" s="7"/>
    </row>
    <row r="2" spans="1:6" ht="16" thickBot="1" x14ac:dyDescent="0.4">
      <c r="A2" s="32" t="s">
        <v>104</v>
      </c>
      <c r="B2" s="120" t="s">
        <v>191</v>
      </c>
      <c r="C2" s="114"/>
      <c r="D2" s="121"/>
      <c r="E2" s="121"/>
      <c r="F2" s="87"/>
    </row>
    <row r="3" spans="1:6" ht="15.5" x14ac:dyDescent="0.35">
      <c r="A3" s="24" t="s">
        <v>105</v>
      </c>
      <c r="B3" s="116">
        <f>SUM(B4,B6)</f>
        <v>679.74705033271459</v>
      </c>
      <c r="C3" s="124"/>
      <c r="D3" s="122"/>
      <c r="E3" s="122"/>
      <c r="F3" s="87"/>
    </row>
    <row r="4" spans="1:6" ht="15.5" x14ac:dyDescent="0.35">
      <c r="A4" s="33" t="s">
        <v>106</v>
      </c>
      <c r="B4" s="117">
        <f>REAforêtBoisement!B6</f>
        <v>679.74705033271459</v>
      </c>
      <c r="C4" s="124"/>
      <c r="D4" s="122"/>
      <c r="E4" s="122"/>
      <c r="F4" s="87"/>
    </row>
    <row r="5" spans="1:6" ht="15.5" x14ac:dyDescent="0.35">
      <c r="A5" s="93" t="s">
        <v>110</v>
      </c>
      <c r="B5" s="117">
        <f>B4*(1-C15)*(1-C16)*(1-C17)*(1-C18)</f>
        <v>489.41787623955452</v>
      </c>
      <c r="C5" s="124"/>
      <c r="D5" s="122"/>
      <c r="E5" s="122"/>
      <c r="F5" s="87"/>
    </row>
    <row r="6" spans="1:6" ht="15.5" x14ac:dyDescent="0.35">
      <c r="A6" s="33" t="s">
        <v>107</v>
      </c>
      <c r="B6" s="117">
        <v>0</v>
      </c>
      <c r="C6" s="124"/>
      <c r="D6" s="122"/>
      <c r="E6" s="122"/>
      <c r="F6" s="87"/>
    </row>
    <row r="7" spans="1:6" ht="15.5" x14ac:dyDescent="0.35">
      <c r="A7" s="93" t="s">
        <v>111</v>
      </c>
      <c r="B7" s="117">
        <f>B6*(1-C15)*(1-C16)*(1-C17)*(1-C18)</f>
        <v>0</v>
      </c>
      <c r="C7" s="124"/>
      <c r="D7" s="122"/>
      <c r="E7" s="122"/>
      <c r="F7" s="87"/>
    </row>
    <row r="8" spans="1:6" ht="15.5" x14ac:dyDescent="0.35">
      <c r="A8" s="33" t="s">
        <v>108</v>
      </c>
      <c r="B8" s="117">
        <f>REEsubsMBoisement!B6</f>
        <v>77.400000000000006</v>
      </c>
      <c r="C8" s="124"/>
      <c r="D8" s="122"/>
      <c r="E8" s="122"/>
      <c r="F8" s="87"/>
    </row>
    <row r="9" spans="1:6" ht="16" thickBot="1" x14ac:dyDescent="0.4">
      <c r="A9" s="94" t="s">
        <v>112</v>
      </c>
      <c r="B9" s="118">
        <f>B8*(1-C15)*(1-C16)*(1-C17)*(1-C18)</f>
        <v>55.728000000000009</v>
      </c>
      <c r="C9" s="124"/>
      <c r="D9" s="122"/>
      <c r="E9" s="122"/>
      <c r="F9" s="87"/>
    </row>
    <row r="10" spans="1:6" ht="15.5" x14ac:dyDescent="0.35">
      <c r="A10" s="34" t="s">
        <v>109</v>
      </c>
      <c r="B10" s="119">
        <f>SUM(B3,B8)</f>
        <v>757.14705033271457</v>
      </c>
      <c r="C10" s="125"/>
      <c r="D10" s="123"/>
      <c r="E10" s="123"/>
      <c r="F10" s="87"/>
    </row>
    <row r="11" spans="1:6" ht="16" thickBot="1" x14ac:dyDescent="0.4">
      <c r="A11" s="35" t="s">
        <v>113</v>
      </c>
      <c r="B11" s="139">
        <f>SUM(B5,B7,B9)</f>
        <v>545.14587623955458</v>
      </c>
      <c r="C11" s="125"/>
      <c r="D11" s="123"/>
      <c r="E11" s="123"/>
      <c r="F11" s="87"/>
    </row>
    <row r="13" spans="1:6" ht="15" thickBot="1" x14ac:dyDescent="0.4"/>
    <row r="14" spans="1:6" ht="16" thickBot="1" x14ac:dyDescent="0.4">
      <c r="A14" s="37" t="s">
        <v>114</v>
      </c>
      <c r="B14" s="56" t="s">
        <v>115</v>
      </c>
      <c r="C14" s="80" t="s">
        <v>122</v>
      </c>
    </row>
    <row r="15" spans="1:6" x14ac:dyDescent="0.35">
      <c r="A15" s="103" t="s">
        <v>192</v>
      </c>
      <c r="B15" s="40" t="s">
        <v>166</v>
      </c>
      <c r="C15" s="42">
        <f>IF(B15="Réalisée",0,IF(B15="Pas réalisée",0.2,""))</f>
        <v>0.2</v>
      </c>
    </row>
    <row r="16" spans="1:6" x14ac:dyDescent="0.35">
      <c r="A16" s="102" t="s">
        <v>193</v>
      </c>
      <c r="B16" s="39" t="s">
        <v>119</v>
      </c>
      <c r="C16" s="43">
        <v>0.1</v>
      </c>
      <c r="D16" s="36"/>
    </row>
    <row r="17" spans="1:5" ht="29" x14ac:dyDescent="0.35">
      <c r="A17" s="127" t="s">
        <v>143</v>
      </c>
      <c r="B17" s="41" t="s">
        <v>130</v>
      </c>
      <c r="C17" s="43">
        <f>IF(B17="Départements sans risque ou risque négligeable",0,IF(B17="Départements avec risque très faible ou faible",0.05,IF(B17="Départements avec risque moyen",0.1,IF(B17="Départements avec risque fort ou très fort", 0.15,""))))</f>
        <v>0</v>
      </c>
      <c r="D17" s="36"/>
    </row>
    <row r="18" spans="1:5" ht="15" thickBot="1" x14ac:dyDescent="0.4">
      <c r="A18" s="126" t="s">
        <v>121</v>
      </c>
      <c r="B18" s="140" t="s">
        <v>128</v>
      </c>
      <c r="C18" s="141">
        <f>IF(B18="Démontrée",0,IF(B18="Non démontrée",0.1,""))</f>
        <v>0</v>
      </c>
    </row>
    <row r="19" spans="1:5" x14ac:dyDescent="0.35">
      <c r="A19" s="44"/>
      <c r="B19" s="15"/>
      <c r="C19" s="15"/>
      <c r="D19" s="44"/>
      <c r="E19" s="78"/>
    </row>
    <row r="20" spans="1:5" x14ac:dyDescent="0.35">
      <c r="A20" s="44"/>
      <c r="B20" s="15"/>
      <c r="C20" s="15"/>
      <c r="D20" s="44"/>
      <c r="E20" s="78"/>
    </row>
    <row r="21" spans="1:5" x14ac:dyDescent="0.35">
      <c r="A21" s="44"/>
      <c r="B21" s="15"/>
      <c r="C21" s="15"/>
      <c r="D21" s="44"/>
      <c r="E21" s="78"/>
    </row>
    <row r="22" spans="1:5" x14ac:dyDescent="0.35">
      <c r="A22" s="44"/>
      <c r="B22" s="15"/>
      <c r="C22" s="45"/>
      <c r="D22" s="44"/>
    </row>
    <row r="23" spans="1:5" x14ac:dyDescent="0.35">
      <c r="A23" s="44"/>
      <c r="B23" s="44"/>
      <c r="C23" s="44"/>
      <c r="D23" s="44"/>
    </row>
    <row r="24" spans="1:5" x14ac:dyDescent="0.35">
      <c r="A24" s="44"/>
      <c r="B24" s="44"/>
      <c r="C24" s="44"/>
      <c r="D24" s="44"/>
    </row>
    <row r="25" spans="1:5" x14ac:dyDescent="0.35">
      <c r="A25" s="44"/>
      <c r="B25" s="44"/>
      <c r="C25" s="44"/>
      <c r="D25" s="44"/>
    </row>
    <row r="26" spans="1:5" x14ac:dyDescent="0.35">
      <c r="A26" s="44"/>
      <c r="B26" s="44"/>
      <c r="C26" s="44"/>
      <c r="D26" s="44"/>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quatre options (Méthodes Reboisement et Boisement)">
          <x14:formula1>
            <xm:f>'Listes choix'!$K$5:$K$8</xm:f>
          </x14:formula1>
          <xm:sqref>B17</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deux options (Méthode Reboisement et Boisement)">
          <x14:formula1>
            <xm:f>'Listes choix'!$J$2:$K$2</xm:f>
          </x14:formula1>
          <xm:sqref>B15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36" customWidth="1"/>
    <col min="2" max="2" width="10.90625" style="36"/>
    <col min="3" max="3" width="22.08984375" style="36" customWidth="1"/>
    <col min="4" max="6" width="10.90625" style="36"/>
    <col min="7" max="7" width="14.90625" style="36" customWidth="1"/>
    <col min="8" max="8" width="16.7265625" style="36" customWidth="1"/>
    <col min="9" max="9" width="22.26953125" style="36" customWidth="1"/>
    <col min="10" max="10" width="25" style="36" customWidth="1"/>
    <col min="11" max="11" width="26.90625" style="36" customWidth="1"/>
    <col min="12" max="15" width="10.90625" style="36"/>
    <col min="16" max="16" width="13.6328125" style="36" customWidth="1"/>
    <col min="17" max="16384" width="10.90625" style="36"/>
  </cols>
  <sheetData>
    <row r="1" spans="1:20" ht="44" thickBot="1" x14ac:dyDescent="0.4">
      <c r="A1" s="60" t="s">
        <v>7</v>
      </c>
      <c r="B1" s="60" t="s">
        <v>16</v>
      </c>
      <c r="C1" s="64" t="s">
        <v>54</v>
      </c>
      <c r="D1" s="65" t="s">
        <v>19</v>
      </c>
      <c r="E1" s="64" t="s">
        <v>86</v>
      </c>
      <c r="F1" s="64" t="s">
        <v>87</v>
      </c>
      <c r="G1" s="64" t="s">
        <v>100</v>
      </c>
      <c r="H1" s="64" t="s">
        <v>102</v>
      </c>
      <c r="I1" s="73" t="s">
        <v>114</v>
      </c>
      <c r="J1" s="158" t="s">
        <v>115</v>
      </c>
      <c r="K1" s="159"/>
      <c r="L1" s="10"/>
      <c r="M1" s="10"/>
      <c r="N1" s="64" t="s">
        <v>54</v>
      </c>
      <c r="O1" s="64" t="s">
        <v>140</v>
      </c>
      <c r="P1" s="65" t="s">
        <v>143</v>
      </c>
      <c r="Q1" s="163" t="s">
        <v>152</v>
      </c>
      <c r="R1" s="164"/>
      <c r="S1" s="165"/>
      <c r="T1" s="64" t="s">
        <v>188</v>
      </c>
    </row>
    <row r="2" spans="1:20" ht="87.5" thickBot="1" x14ac:dyDescent="0.4">
      <c r="A2" s="57" t="s">
        <v>146</v>
      </c>
      <c r="B2" s="62" t="s">
        <v>18</v>
      </c>
      <c r="C2" s="66" t="s">
        <v>20</v>
      </c>
      <c r="D2" s="69">
        <v>0.62</v>
      </c>
      <c r="E2" s="66" t="s">
        <v>88</v>
      </c>
      <c r="F2" s="69">
        <v>35</v>
      </c>
      <c r="G2" s="62" t="s">
        <v>17</v>
      </c>
      <c r="H2" s="62" t="s">
        <v>17</v>
      </c>
      <c r="I2" s="66" t="s">
        <v>116</v>
      </c>
      <c r="J2" s="74" t="s">
        <v>123</v>
      </c>
      <c r="K2" s="74" t="s">
        <v>166</v>
      </c>
      <c r="L2" s="77" t="s">
        <v>123</v>
      </c>
      <c r="M2" s="76" t="s">
        <v>166</v>
      </c>
      <c r="N2" s="62" t="s">
        <v>20</v>
      </c>
      <c r="O2" s="62" t="s">
        <v>141</v>
      </c>
      <c r="P2" s="61" t="s">
        <v>144</v>
      </c>
      <c r="Q2" s="64" t="s">
        <v>151</v>
      </c>
      <c r="R2" s="64" t="s">
        <v>153</v>
      </c>
      <c r="S2" s="98" t="s">
        <v>154</v>
      </c>
      <c r="T2" s="38" t="s">
        <v>189</v>
      </c>
    </row>
    <row r="3" spans="1:20" ht="102" thickBot="1" x14ac:dyDescent="0.4">
      <c r="A3" s="58" t="s">
        <v>147</v>
      </c>
      <c r="B3" s="63" t="s">
        <v>17</v>
      </c>
      <c r="C3" s="51" t="s">
        <v>76</v>
      </c>
      <c r="D3" s="70">
        <v>0.64</v>
      </c>
      <c r="E3" s="51" t="s">
        <v>89</v>
      </c>
      <c r="F3" s="70">
        <v>25</v>
      </c>
      <c r="G3" s="72" t="s">
        <v>96</v>
      </c>
      <c r="H3" s="63" t="s">
        <v>103</v>
      </c>
      <c r="I3" s="51" t="s">
        <v>117</v>
      </c>
      <c r="J3" s="38" t="s">
        <v>129</v>
      </c>
      <c r="K3" s="67" t="s">
        <v>131</v>
      </c>
      <c r="L3" s="10"/>
      <c r="M3" s="10"/>
      <c r="N3" s="72" t="s">
        <v>21</v>
      </c>
      <c r="O3" s="72" t="s">
        <v>25</v>
      </c>
      <c r="P3" s="63" t="s">
        <v>126</v>
      </c>
      <c r="Q3" s="62" t="s">
        <v>155</v>
      </c>
      <c r="R3" s="62" t="s">
        <v>164</v>
      </c>
      <c r="S3" s="62" t="s">
        <v>158</v>
      </c>
      <c r="T3" s="38" t="s">
        <v>190</v>
      </c>
    </row>
    <row r="4" spans="1:20" ht="87.5" thickBot="1" x14ac:dyDescent="0.4">
      <c r="A4" s="58" t="s">
        <v>148</v>
      </c>
      <c r="B4" s="10"/>
      <c r="C4" s="51" t="s">
        <v>21</v>
      </c>
      <c r="D4" s="70">
        <v>0.42</v>
      </c>
      <c r="E4" s="52" t="s">
        <v>90</v>
      </c>
      <c r="F4" s="71">
        <v>2</v>
      </c>
      <c r="G4" s="58" t="s">
        <v>98</v>
      </c>
      <c r="H4" s="10"/>
      <c r="I4" s="51" t="s">
        <v>118</v>
      </c>
      <c r="J4" s="38" t="s">
        <v>119</v>
      </c>
      <c r="K4" s="67" t="s">
        <v>119</v>
      </c>
      <c r="L4" s="10"/>
      <c r="M4" s="10"/>
      <c r="N4" s="72" t="s">
        <v>77</v>
      </c>
      <c r="O4" s="59" t="s">
        <v>142</v>
      </c>
      <c r="P4" s="10"/>
      <c r="Q4" s="72" t="s">
        <v>156</v>
      </c>
      <c r="R4" s="63" t="s">
        <v>157</v>
      </c>
      <c r="S4" s="58" t="s">
        <v>159</v>
      </c>
    </row>
    <row r="5" spans="1:20" ht="87.5" thickBot="1" x14ac:dyDescent="0.4">
      <c r="A5" s="59" t="s">
        <v>149</v>
      </c>
      <c r="B5" s="10"/>
      <c r="C5" s="51" t="s">
        <v>77</v>
      </c>
      <c r="D5" s="67">
        <v>0.42</v>
      </c>
      <c r="E5" s="10"/>
      <c r="F5" s="10"/>
      <c r="G5" s="59" t="s">
        <v>101</v>
      </c>
      <c r="H5" s="10"/>
      <c r="I5" s="160" t="s">
        <v>120</v>
      </c>
      <c r="J5" s="38"/>
      <c r="K5" s="67" t="s">
        <v>130</v>
      </c>
      <c r="L5" s="10"/>
      <c r="M5" s="10"/>
      <c r="N5" s="58" t="s">
        <v>23</v>
      </c>
      <c r="O5" s="10"/>
      <c r="P5" s="10"/>
      <c r="Q5" s="59" t="s">
        <v>163</v>
      </c>
      <c r="S5" s="58" t="s">
        <v>160</v>
      </c>
    </row>
    <row r="6" spans="1:20" ht="72.5" x14ac:dyDescent="0.35">
      <c r="A6" s="10"/>
      <c r="B6" s="10"/>
      <c r="C6" s="51" t="s">
        <v>78</v>
      </c>
      <c r="D6" s="67">
        <v>0.52</v>
      </c>
      <c r="E6" s="10"/>
      <c r="F6" s="10"/>
      <c r="G6" s="10"/>
      <c r="H6" s="10"/>
      <c r="I6" s="161"/>
      <c r="J6" s="38"/>
      <c r="K6" s="67" t="s">
        <v>124</v>
      </c>
      <c r="L6" s="10"/>
      <c r="M6" s="10"/>
      <c r="N6" s="58" t="s">
        <v>24</v>
      </c>
      <c r="O6" s="10"/>
      <c r="P6" s="10"/>
      <c r="S6" s="58" t="s">
        <v>161</v>
      </c>
    </row>
    <row r="7" spans="1:20" ht="101.5" x14ac:dyDescent="0.35">
      <c r="A7" s="10"/>
      <c r="B7" s="10"/>
      <c r="C7" s="51" t="s">
        <v>22</v>
      </c>
      <c r="D7" s="67">
        <v>0.36</v>
      </c>
      <c r="E7" s="10"/>
      <c r="F7" s="10"/>
      <c r="G7" s="10"/>
      <c r="H7" s="10"/>
      <c r="I7" s="161"/>
      <c r="J7" s="38"/>
      <c r="K7" s="67" t="s">
        <v>125</v>
      </c>
      <c r="L7" s="10"/>
      <c r="M7" s="10"/>
      <c r="N7" s="58" t="s">
        <v>25</v>
      </c>
      <c r="O7" s="10"/>
      <c r="P7" s="10"/>
      <c r="S7" s="79" t="s">
        <v>162</v>
      </c>
    </row>
    <row r="8" spans="1:20" ht="29.5" thickBot="1" x14ac:dyDescent="0.4">
      <c r="A8" s="10"/>
      <c r="B8" s="10"/>
      <c r="C8" s="51" t="s">
        <v>23</v>
      </c>
      <c r="D8" s="67">
        <v>0.61</v>
      </c>
      <c r="E8" s="10"/>
      <c r="F8" s="10"/>
      <c r="G8" s="10"/>
      <c r="H8" s="10"/>
      <c r="I8" s="162"/>
      <c r="J8" s="38"/>
      <c r="K8" s="67" t="s">
        <v>126</v>
      </c>
      <c r="L8" s="10"/>
      <c r="M8" s="10"/>
      <c r="N8" s="58" t="s">
        <v>26</v>
      </c>
      <c r="O8" s="10"/>
      <c r="P8" s="10"/>
      <c r="S8" s="59" t="s">
        <v>165</v>
      </c>
    </row>
    <row r="9" spans="1:20" ht="29.5" thickBot="1" x14ac:dyDescent="0.4">
      <c r="A9" s="10"/>
      <c r="B9" s="10"/>
      <c r="C9" s="51" t="s">
        <v>24</v>
      </c>
      <c r="D9" s="67">
        <v>0.66</v>
      </c>
      <c r="E9" s="10"/>
      <c r="F9" s="10"/>
      <c r="G9" s="10"/>
      <c r="H9" s="10"/>
      <c r="I9" s="52" t="s">
        <v>121</v>
      </c>
      <c r="J9" s="75" t="s">
        <v>128</v>
      </c>
      <c r="K9" s="68" t="s">
        <v>127</v>
      </c>
      <c r="L9" s="10"/>
      <c r="M9" s="10"/>
      <c r="N9" s="58" t="s">
        <v>27</v>
      </c>
      <c r="O9" s="10"/>
      <c r="P9" s="10"/>
    </row>
    <row r="10" spans="1:20" ht="29" x14ac:dyDescent="0.35">
      <c r="A10" s="10"/>
      <c r="B10" s="10"/>
      <c r="C10" s="51" t="s">
        <v>25</v>
      </c>
      <c r="D10" s="67">
        <v>0.47</v>
      </c>
      <c r="E10" s="10"/>
      <c r="F10" s="10"/>
      <c r="G10" s="10"/>
      <c r="H10" s="10"/>
      <c r="I10" s="10"/>
      <c r="J10" s="10"/>
      <c r="K10" s="10"/>
      <c r="L10" s="10"/>
      <c r="M10" s="10"/>
      <c r="N10" s="58" t="s">
        <v>28</v>
      </c>
      <c r="O10" s="10"/>
      <c r="P10" s="10"/>
    </row>
    <row r="11" spans="1:20" ht="29" x14ac:dyDescent="0.35">
      <c r="A11" s="10"/>
      <c r="B11" s="10"/>
      <c r="C11" s="51" t="s">
        <v>26</v>
      </c>
      <c r="D11" s="67">
        <v>0.67</v>
      </c>
      <c r="E11" s="10"/>
      <c r="F11" s="10"/>
      <c r="G11" s="10"/>
      <c r="H11" s="10"/>
      <c r="I11" s="10"/>
      <c r="J11" s="10"/>
      <c r="K11" s="10"/>
      <c r="L11" s="10"/>
      <c r="M11" s="10"/>
      <c r="N11" s="58" t="s">
        <v>29</v>
      </c>
      <c r="O11" s="10"/>
      <c r="P11" s="10"/>
    </row>
    <row r="12" spans="1:20" ht="43.5" x14ac:dyDescent="0.35">
      <c r="A12" s="10"/>
      <c r="B12" s="10"/>
      <c r="C12" s="51" t="s">
        <v>27</v>
      </c>
      <c r="D12" s="67">
        <v>0.7</v>
      </c>
      <c r="E12" s="10"/>
      <c r="F12" s="10"/>
      <c r="G12" s="10"/>
      <c r="H12" s="10"/>
      <c r="I12" s="10"/>
      <c r="J12" s="10"/>
      <c r="K12" s="10"/>
      <c r="L12" s="10"/>
      <c r="M12" s="10"/>
      <c r="N12" s="58" t="s">
        <v>30</v>
      </c>
      <c r="O12" s="10"/>
      <c r="P12" s="10"/>
    </row>
    <row r="13" spans="1:20" ht="29" x14ac:dyDescent="0.35">
      <c r="A13" s="10"/>
      <c r="B13" s="10"/>
      <c r="C13" s="51" t="s">
        <v>28</v>
      </c>
      <c r="D13" s="67">
        <v>0.54</v>
      </c>
      <c r="E13" s="10"/>
      <c r="F13" s="10"/>
      <c r="G13" s="10"/>
      <c r="H13" s="10"/>
      <c r="I13" s="10"/>
      <c r="J13" s="10"/>
      <c r="K13" s="10"/>
      <c r="L13" s="10"/>
      <c r="M13" s="10"/>
      <c r="N13" s="58" t="s">
        <v>31</v>
      </c>
      <c r="O13" s="10"/>
      <c r="P13" s="10"/>
    </row>
    <row r="14" spans="1:20" x14ac:dyDescent="0.35">
      <c r="A14" s="10"/>
      <c r="B14" s="10"/>
      <c r="C14" s="51" t="s">
        <v>29</v>
      </c>
      <c r="D14" s="67">
        <v>0.65</v>
      </c>
      <c r="E14" s="10"/>
      <c r="F14" s="10"/>
      <c r="G14" s="10"/>
      <c r="H14" s="10"/>
      <c r="I14" s="10"/>
      <c r="J14" s="10"/>
      <c r="K14" s="10"/>
      <c r="L14" s="10"/>
      <c r="M14" s="10"/>
      <c r="N14" s="58" t="s">
        <v>32</v>
      </c>
      <c r="O14" s="10"/>
      <c r="P14" s="10"/>
    </row>
    <row r="15" spans="1:20" ht="43.5" x14ac:dyDescent="0.35">
      <c r="A15" s="10"/>
      <c r="B15" s="10"/>
      <c r="C15" s="51" t="s">
        <v>79</v>
      </c>
      <c r="D15" s="67">
        <v>0.56000000000000005</v>
      </c>
      <c r="E15" s="10"/>
      <c r="F15" s="10"/>
      <c r="G15" s="10"/>
      <c r="H15" s="10"/>
      <c r="I15" s="10"/>
      <c r="J15" s="10"/>
      <c r="K15" s="10"/>
      <c r="L15" s="10"/>
      <c r="M15" s="10"/>
      <c r="N15" s="58" t="s">
        <v>33</v>
      </c>
      <c r="O15" s="10"/>
      <c r="P15" s="10"/>
    </row>
    <row r="16" spans="1:20" ht="29" x14ac:dyDescent="0.35">
      <c r="A16" s="10"/>
      <c r="B16" s="10"/>
      <c r="C16" s="51" t="s">
        <v>30</v>
      </c>
      <c r="D16" s="67">
        <v>0.57999999999999996</v>
      </c>
      <c r="E16" s="10"/>
      <c r="F16" s="10"/>
      <c r="G16" s="10"/>
      <c r="H16" s="10"/>
      <c r="I16" s="10"/>
      <c r="J16" s="10"/>
      <c r="K16" s="10"/>
      <c r="L16" s="10"/>
      <c r="M16" s="10"/>
      <c r="N16" s="58" t="s">
        <v>40</v>
      </c>
      <c r="O16" s="10"/>
      <c r="P16" s="10"/>
    </row>
    <row r="17" spans="1:16" ht="29" x14ac:dyDescent="0.35">
      <c r="A17" s="10"/>
      <c r="B17" s="10"/>
      <c r="C17" s="51" t="s">
        <v>31</v>
      </c>
      <c r="D17" s="67">
        <v>0.64</v>
      </c>
      <c r="E17" s="10"/>
      <c r="F17" s="10"/>
      <c r="G17" s="10"/>
      <c r="H17" s="10"/>
      <c r="I17" s="10"/>
      <c r="J17" s="10"/>
      <c r="K17" s="10"/>
      <c r="L17" s="10"/>
      <c r="M17" s="10"/>
      <c r="N17" s="58" t="s">
        <v>41</v>
      </c>
      <c r="O17" s="10"/>
      <c r="P17" s="10"/>
    </row>
    <row r="18" spans="1:16" x14ac:dyDescent="0.35">
      <c r="A18" s="10"/>
      <c r="B18" s="10"/>
      <c r="C18" s="51" t="s">
        <v>32</v>
      </c>
      <c r="D18" s="67">
        <v>0.73</v>
      </c>
      <c r="E18" s="10"/>
      <c r="F18" s="10"/>
      <c r="G18" s="10"/>
      <c r="H18" s="10"/>
      <c r="I18" s="10"/>
      <c r="J18" s="10"/>
      <c r="K18" s="10"/>
      <c r="L18" s="10"/>
      <c r="M18" s="10"/>
      <c r="N18" s="58" t="s">
        <v>43</v>
      </c>
      <c r="O18" s="10"/>
      <c r="P18" s="10"/>
    </row>
    <row r="19" spans="1:16" x14ac:dyDescent="0.35">
      <c r="A19" s="10"/>
      <c r="B19" s="10"/>
      <c r="C19" s="51" t="s">
        <v>33</v>
      </c>
      <c r="D19" s="67">
        <v>0.56000000000000005</v>
      </c>
      <c r="E19" s="10"/>
      <c r="F19" s="10"/>
      <c r="G19" s="10"/>
      <c r="H19" s="10"/>
      <c r="I19" s="10"/>
      <c r="J19" s="10"/>
      <c r="K19" s="10"/>
      <c r="L19" s="10"/>
      <c r="M19" s="10"/>
      <c r="N19" s="58" t="s">
        <v>81</v>
      </c>
      <c r="O19" s="10"/>
      <c r="P19" s="10"/>
    </row>
    <row r="20" spans="1:16" x14ac:dyDescent="0.35">
      <c r="A20" s="10"/>
      <c r="B20" s="10"/>
      <c r="C20" s="51" t="s">
        <v>34</v>
      </c>
      <c r="D20" s="67">
        <v>0.74</v>
      </c>
      <c r="E20" s="10"/>
      <c r="F20" s="10"/>
      <c r="G20" s="10"/>
      <c r="H20" s="10"/>
      <c r="I20" s="10"/>
      <c r="J20" s="10"/>
      <c r="K20" s="10"/>
      <c r="L20" s="10"/>
      <c r="M20" s="10"/>
      <c r="N20" s="58" t="s">
        <v>84</v>
      </c>
      <c r="O20" s="10"/>
      <c r="P20" s="10"/>
    </row>
    <row r="21" spans="1:16" x14ac:dyDescent="0.35">
      <c r="A21" s="10"/>
      <c r="B21" s="10"/>
      <c r="C21" s="51" t="s">
        <v>35</v>
      </c>
      <c r="D21" s="67">
        <v>0.4</v>
      </c>
      <c r="E21" s="10"/>
      <c r="F21" s="10"/>
      <c r="G21" s="10"/>
      <c r="H21" s="10"/>
      <c r="I21" s="10"/>
      <c r="J21" s="10"/>
      <c r="K21" s="10"/>
      <c r="L21" s="10"/>
      <c r="M21" s="10"/>
      <c r="N21" s="58" t="s">
        <v>51</v>
      </c>
      <c r="O21" s="10"/>
      <c r="P21" s="10"/>
    </row>
    <row r="22" spans="1:16" x14ac:dyDescent="0.35">
      <c r="A22" s="10"/>
      <c r="B22" s="10"/>
      <c r="C22" s="51" t="s">
        <v>36</v>
      </c>
      <c r="D22" s="67">
        <v>0.6</v>
      </c>
      <c r="E22" s="10"/>
      <c r="F22" s="10"/>
      <c r="G22" s="10"/>
      <c r="H22" s="10"/>
      <c r="I22" s="10"/>
      <c r="J22" s="10"/>
      <c r="K22" s="10"/>
      <c r="L22" s="10"/>
      <c r="M22" s="10"/>
      <c r="N22" s="58" t="s">
        <v>64</v>
      </c>
      <c r="O22" s="10"/>
      <c r="P22" s="10"/>
    </row>
    <row r="23" spans="1:16" ht="29" x14ac:dyDescent="0.35">
      <c r="A23" s="10"/>
      <c r="B23" s="10"/>
      <c r="C23" s="51" t="s">
        <v>37</v>
      </c>
      <c r="D23" s="67">
        <v>0.43</v>
      </c>
      <c r="E23" s="10"/>
      <c r="F23" s="10"/>
      <c r="G23" s="10"/>
      <c r="H23" s="10"/>
      <c r="I23" s="10"/>
      <c r="J23" s="10"/>
      <c r="K23" s="10"/>
      <c r="L23" s="10"/>
      <c r="M23" s="10"/>
      <c r="N23" s="58" t="s">
        <v>85</v>
      </c>
      <c r="O23" s="10"/>
      <c r="P23" s="10"/>
    </row>
    <row r="24" spans="1:16" x14ac:dyDescent="0.35">
      <c r="A24" s="10"/>
      <c r="B24" s="10"/>
      <c r="C24" s="51" t="s">
        <v>38</v>
      </c>
      <c r="D24" s="67">
        <v>0.37</v>
      </c>
      <c r="E24" s="10"/>
      <c r="F24" s="10"/>
      <c r="G24" s="10"/>
      <c r="H24" s="10"/>
      <c r="I24" s="10"/>
      <c r="J24" s="10"/>
      <c r="K24" s="10"/>
      <c r="L24" s="10"/>
      <c r="M24" s="10"/>
      <c r="N24" s="58" t="s">
        <v>71</v>
      </c>
      <c r="O24" s="10"/>
      <c r="P24" s="10"/>
    </row>
    <row r="25" spans="1:16" ht="29.5" thickBot="1" x14ac:dyDescent="0.4">
      <c r="A25" s="10"/>
      <c r="B25" s="10"/>
      <c r="C25" s="51" t="s">
        <v>39</v>
      </c>
      <c r="D25" s="67">
        <v>0.36</v>
      </c>
      <c r="E25" s="10"/>
      <c r="F25" s="10"/>
      <c r="G25" s="10"/>
      <c r="H25" s="10"/>
      <c r="I25" s="10"/>
      <c r="J25" s="10"/>
      <c r="K25" s="10"/>
      <c r="L25" s="10"/>
      <c r="M25" s="10"/>
      <c r="N25" s="59" t="s">
        <v>74</v>
      </c>
      <c r="O25" s="10"/>
      <c r="P25" s="10"/>
    </row>
    <row r="26" spans="1:16" x14ac:dyDescent="0.35">
      <c r="A26" s="10"/>
      <c r="B26" s="10"/>
      <c r="C26" s="51" t="s">
        <v>40</v>
      </c>
      <c r="D26" s="67">
        <v>0.51</v>
      </c>
      <c r="E26" s="10"/>
      <c r="F26" s="10"/>
      <c r="G26" s="10"/>
      <c r="H26" s="10"/>
      <c r="I26" s="10"/>
      <c r="J26" s="10"/>
      <c r="K26" s="10"/>
      <c r="L26" s="10"/>
      <c r="M26" s="10"/>
      <c r="N26" s="10"/>
      <c r="O26" s="10"/>
      <c r="P26" s="10"/>
    </row>
    <row r="27" spans="1:16" x14ac:dyDescent="0.35">
      <c r="A27" s="10"/>
      <c r="B27" s="10"/>
      <c r="C27" s="51" t="s">
        <v>41</v>
      </c>
      <c r="D27" s="67">
        <v>0.56000000000000005</v>
      </c>
      <c r="E27" s="10"/>
      <c r="F27" s="10"/>
      <c r="G27" s="10"/>
      <c r="H27" s="10"/>
      <c r="I27" s="10"/>
      <c r="J27" s="10"/>
      <c r="K27" s="10"/>
      <c r="L27" s="10"/>
      <c r="M27" s="10"/>
      <c r="N27" s="10"/>
      <c r="O27" s="10"/>
      <c r="P27" s="10"/>
    </row>
    <row r="28" spans="1:16" x14ac:dyDescent="0.35">
      <c r="A28" s="10"/>
      <c r="B28" s="10"/>
      <c r="C28" s="51" t="s">
        <v>42</v>
      </c>
      <c r="D28" s="67">
        <v>0.56000000000000005</v>
      </c>
      <c r="E28" s="10"/>
      <c r="F28" s="10"/>
      <c r="G28" s="10"/>
      <c r="H28" s="10"/>
      <c r="I28" s="10"/>
      <c r="J28" s="10"/>
      <c r="K28" s="10"/>
      <c r="L28" s="10"/>
      <c r="M28" s="10"/>
      <c r="N28" s="10"/>
      <c r="O28" s="10"/>
      <c r="P28" s="10"/>
    </row>
    <row r="29" spans="1:16" x14ac:dyDescent="0.35">
      <c r="A29" s="10"/>
      <c r="B29" s="10"/>
      <c r="C29" s="51" t="s">
        <v>80</v>
      </c>
      <c r="D29" s="67">
        <v>0.48</v>
      </c>
      <c r="E29" s="10"/>
      <c r="F29" s="10"/>
      <c r="G29" s="10"/>
      <c r="H29" s="10"/>
      <c r="I29" s="10"/>
      <c r="J29" s="10"/>
      <c r="K29" s="10"/>
      <c r="L29" s="10"/>
      <c r="M29" s="10"/>
      <c r="N29" s="10"/>
      <c r="O29" s="10"/>
      <c r="P29" s="10"/>
    </row>
    <row r="30" spans="1:16" x14ac:dyDescent="0.35">
      <c r="A30" s="10"/>
      <c r="B30" s="10"/>
      <c r="C30" s="51" t="s">
        <v>43</v>
      </c>
      <c r="D30" s="67">
        <v>0.55000000000000004</v>
      </c>
      <c r="E30" s="10"/>
      <c r="F30" s="10"/>
      <c r="G30" s="10"/>
      <c r="H30" s="10"/>
      <c r="I30" s="10"/>
      <c r="J30" s="10"/>
      <c r="K30" s="10"/>
      <c r="L30" s="10"/>
      <c r="M30" s="10"/>
      <c r="N30" s="10"/>
      <c r="O30" s="10"/>
      <c r="P30" s="10"/>
    </row>
    <row r="31" spans="1:16" x14ac:dyDescent="0.35">
      <c r="A31" s="10"/>
      <c r="B31" s="10"/>
      <c r="C31" s="51" t="s">
        <v>81</v>
      </c>
      <c r="D31" s="67">
        <v>0.56000000000000005</v>
      </c>
      <c r="E31" s="10"/>
      <c r="F31" s="10"/>
      <c r="G31" s="10"/>
      <c r="H31" s="10"/>
      <c r="I31" s="10"/>
      <c r="J31" s="10"/>
      <c r="K31" s="10"/>
      <c r="L31" s="10"/>
      <c r="M31" s="10"/>
      <c r="N31" s="10"/>
      <c r="O31" s="10"/>
      <c r="P31" s="10"/>
    </row>
    <row r="32" spans="1:16" x14ac:dyDescent="0.35">
      <c r="A32" s="10"/>
      <c r="B32" s="10"/>
      <c r="C32" s="51" t="s">
        <v>44</v>
      </c>
      <c r="D32" s="67">
        <v>0.57999999999999996</v>
      </c>
      <c r="E32" s="10"/>
      <c r="F32" s="10"/>
      <c r="G32" s="10"/>
      <c r="H32" s="10"/>
      <c r="I32" s="10"/>
      <c r="J32" s="10"/>
      <c r="K32" s="10"/>
      <c r="L32" s="10"/>
      <c r="M32" s="10"/>
      <c r="N32" s="10"/>
      <c r="O32" s="10"/>
      <c r="P32" s="10"/>
    </row>
    <row r="33" spans="1:16" x14ac:dyDescent="0.35">
      <c r="A33" s="10"/>
      <c r="B33" s="10"/>
      <c r="C33" s="51" t="s">
        <v>45</v>
      </c>
      <c r="D33" s="67">
        <v>0.57999999999999996</v>
      </c>
      <c r="E33" s="10"/>
      <c r="F33" s="10"/>
      <c r="G33" s="10"/>
      <c r="H33" s="10"/>
      <c r="I33" s="10"/>
      <c r="J33" s="10"/>
      <c r="K33" s="10"/>
      <c r="L33" s="10"/>
      <c r="M33" s="10"/>
      <c r="N33" s="10"/>
      <c r="O33" s="10"/>
      <c r="P33" s="10"/>
    </row>
    <row r="34" spans="1:16" x14ac:dyDescent="0.35">
      <c r="A34" s="10"/>
      <c r="B34" s="10"/>
      <c r="C34" s="51" t="s">
        <v>46</v>
      </c>
      <c r="D34" s="67">
        <v>0.48</v>
      </c>
      <c r="E34" s="10"/>
      <c r="F34" s="10"/>
      <c r="G34" s="10"/>
      <c r="H34" s="10"/>
      <c r="I34" s="10"/>
      <c r="J34" s="10"/>
      <c r="K34" s="10"/>
      <c r="L34" s="10"/>
      <c r="M34" s="10"/>
      <c r="N34" s="10"/>
      <c r="O34" s="10"/>
      <c r="P34" s="10"/>
    </row>
    <row r="35" spans="1:16" x14ac:dyDescent="0.35">
      <c r="A35" s="10"/>
      <c r="B35" s="10"/>
      <c r="C35" s="51" t="s">
        <v>47</v>
      </c>
      <c r="D35" s="67">
        <v>0.42</v>
      </c>
      <c r="E35" s="10"/>
      <c r="F35" s="10"/>
      <c r="G35" s="10"/>
      <c r="H35" s="10"/>
      <c r="I35" s="10"/>
      <c r="J35" s="10"/>
      <c r="K35" s="10"/>
      <c r="L35" s="10"/>
      <c r="M35" s="10"/>
      <c r="N35" s="10"/>
      <c r="O35" s="10"/>
      <c r="P35" s="10"/>
    </row>
    <row r="36" spans="1:16" x14ac:dyDescent="0.35">
      <c r="A36" s="10"/>
      <c r="B36" s="10"/>
      <c r="C36" s="51" t="s">
        <v>82</v>
      </c>
      <c r="D36" s="67">
        <v>0.5</v>
      </c>
      <c r="E36" s="10"/>
      <c r="F36" s="10"/>
      <c r="G36" s="10"/>
      <c r="H36" s="10"/>
      <c r="I36" s="10"/>
      <c r="J36" s="10"/>
      <c r="K36" s="10"/>
      <c r="L36" s="10"/>
      <c r="M36" s="10"/>
      <c r="N36" s="10"/>
      <c r="O36" s="10"/>
      <c r="P36" s="10"/>
    </row>
    <row r="37" spans="1:16" x14ac:dyDescent="0.35">
      <c r="A37" s="10"/>
      <c r="B37" s="10"/>
      <c r="C37" s="51" t="s">
        <v>48</v>
      </c>
      <c r="D37" s="67">
        <v>0.55000000000000004</v>
      </c>
      <c r="E37" s="10"/>
      <c r="F37" s="10"/>
      <c r="G37" s="10"/>
      <c r="H37" s="10"/>
      <c r="I37" s="10"/>
      <c r="J37" s="10"/>
      <c r="K37" s="10"/>
      <c r="L37" s="10"/>
      <c r="M37" s="10"/>
      <c r="N37" s="10"/>
      <c r="O37" s="10"/>
      <c r="P37" s="10"/>
    </row>
    <row r="38" spans="1:16" x14ac:dyDescent="0.35">
      <c r="A38" s="10"/>
      <c r="B38" s="10"/>
      <c r="C38" s="51" t="s">
        <v>83</v>
      </c>
      <c r="D38" s="67">
        <v>0.53</v>
      </c>
      <c r="E38" s="10"/>
      <c r="F38" s="10"/>
      <c r="G38" s="10"/>
      <c r="H38" s="10"/>
      <c r="I38" s="10"/>
      <c r="J38" s="10"/>
      <c r="K38" s="10"/>
      <c r="L38" s="10"/>
      <c r="M38" s="10"/>
      <c r="N38" s="10"/>
      <c r="O38" s="10"/>
      <c r="P38" s="10"/>
    </row>
    <row r="39" spans="1:16" x14ac:dyDescent="0.35">
      <c r="A39" s="10"/>
      <c r="B39" s="10"/>
      <c r="C39" s="51" t="s">
        <v>84</v>
      </c>
      <c r="D39" s="67">
        <v>0.52</v>
      </c>
      <c r="E39" s="10"/>
      <c r="F39" s="10"/>
      <c r="G39" s="10"/>
      <c r="H39" s="10"/>
      <c r="I39" s="10"/>
      <c r="J39" s="10"/>
      <c r="K39" s="10"/>
      <c r="L39" s="10"/>
      <c r="M39" s="10"/>
      <c r="N39" s="10"/>
      <c r="O39" s="10"/>
      <c r="P39" s="10"/>
    </row>
    <row r="40" spans="1:16" x14ac:dyDescent="0.35">
      <c r="A40" s="10"/>
      <c r="B40" s="10"/>
      <c r="C40" s="51" t="s">
        <v>49</v>
      </c>
      <c r="D40" s="67">
        <v>0.52</v>
      </c>
      <c r="E40" s="10"/>
      <c r="F40" s="10"/>
      <c r="G40" s="10"/>
      <c r="H40" s="10"/>
      <c r="I40" s="10"/>
      <c r="J40" s="10"/>
      <c r="K40" s="10"/>
      <c r="L40" s="10"/>
      <c r="M40" s="10"/>
      <c r="N40" s="10"/>
      <c r="O40" s="10"/>
      <c r="P40" s="10"/>
    </row>
    <row r="41" spans="1:16" x14ac:dyDescent="0.35">
      <c r="A41" s="10"/>
      <c r="B41" s="10"/>
      <c r="C41" s="51" t="s">
        <v>50</v>
      </c>
      <c r="D41" s="67">
        <v>0.75</v>
      </c>
      <c r="E41" s="10"/>
      <c r="F41" s="10"/>
      <c r="G41" s="10"/>
      <c r="H41" s="10"/>
      <c r="I41" s="10"/>
      <c r="J41" s="10"/>
      <c r="K41" s="10"/>
      <c r="L41" s="10"/>
      <c r="M41" s="10"/>
      <c r="N41" s="10"/>
      <c r="O41" s="10"/>
      <c r="P41" s="10"/>
    </row>
    <row r="42" spans="1:16" x14ac:dyDescent="0.35">
      <c r="A42" s="10"/>
      <c r="B42" s="10"/>
      <c r="C42" s="51" t="s">
        <v>51</v>
      </c>
      <c r="D42" s="67">
        <v>0.52</v>
      </c>
      <c r="E42" s="10"/>
      <c r="F42" s="10"/>
      <c r="G42" s="10"/>
      <c r="H42" s="10"/>
      <c r="I42" s="10"/>
      <c r="J42" s="10"/>
      <c r="K42" s="10"/>
      <c r="L42" s="10"/>
      <c r="M42" s="10"/>
      <c r="N42" s="10"/>
      <c r="O42" s="10"/>
      <c r="P42" s="10"/>
    </row>
    <row r="43" spans="1:16" x14ac:dyDescent="0.35">
      <c r="A43" s="10"/>
      <c r="B43" s="10"/>
      <c r="C43" s="51" t="s">
        <v>52</v>
      </c>
      <c r="D43" s="67">
        <v>0.35</v>
      </c>
      <c r="E43" s="10"/>
      <c r="F43" s="10"/>
      <c r="G43" s="10"/>
      <c r="H43" s="10"/>
      <c r="I43" s="10"/>
      <c r="J43" s="10"/>
      <c r="K43" s="10"/>
      <c r="L43" s="10"/>
      <c r="M43" s="10"/>
      <c r="N43" s="10"/>
      <c r="O43" s="10"/>
      <c r="P43" s="10"/>
    </row>
    <row r="44" spans="1:16" x14ac:dyDescent="0.35">
      <c r="A44" s="10"/>
      <c r="B44" s="10"/>
      <c r="C44" s="51" t="s">
        <v>53</v>
      </c>
      <c r="D44" s="67">
        <v>0.37</v>
      </c>
      <c r="E44" s="10"/>
      <c r="F44" s="10"/>
      <c r="G44" s="10"/>
      <c r="H44" s="10"/>
      <c r="I44" s="10"/>
      <c r="J44" s="10"/>
      <c r="K44" s="10"/>
      <c r="L44" s="10"/>
      <c r="M44" s="10"/>
      <c r="N44" s="10"/>
      <c r="O44" s="10"/>
      <c r="P44" s="10"/>
    </row>
    <row r="45" spans="1:16" x14ac:dyDescent="0.35">
      <c r="A45" s="10"/>
      <c r="B45" s="10"/>
      <c r="C45" s="51" t="s">
        <v>55</v>
      </c>
      <c r="D45" s="67">
        <v>0.45</v>
      </c>
      <c r="E45" s="10"/>
      <c r="F45" s="10"/>
      <c r="G45" s="10"/>
      <c r="H45" s="10"/>
      <c r="I45" s="10"/>
      <c r="J45" s="10"/>
      <c r="K45" s="10"/>
      <c r="L45" s="10"/>
      <c r="M45" s="10"/>
      <c r="N45" s="10"/>
      <c r="O45" s="10"/>
      <c r="P45" s="10"/>
    </row>
    <row r="46" spans="1:16" x14ac:dyDescent="0.35">
      <c r="A46" s="10"/>
      <c r="B46" s="10"/>
      <c r="C46" s="51" t="s">
        <v>56</v>
      </c>
      <c r="D46" s="67">
        <v>0.39</v>
      </c>
      <c r="E46" s="10"/>
      <c r="F46" s="10"/>
      <c r="G46" s="10"/>
      <c r="H46" s="10"/>
      <c r="I46" s="10"/>
      <c r="J46" s="10"/>
      <c r="K46" s="10"/>
      <c r="L46" s="10"/>
      <c r="M46" s="10"/>
      <c r="N46" s="10"/>
      <c r="O46" s="10"/>
      <c r="P46" s="10"/>
    </row>
    <row r="47" spans="1:16" x14ac:dyDescent="0.35">
      <c r="A47" s="10"/>
      <c r="B47" s="10"/>
      <c r="C47" s="51" t="s">
        <v>57</v>
      </c>
      <c r="D47" s="67">
        <v>0.44</v>
      </c>
      <c r="E47" s="10"/>
      <c r="F47" s="10"/>
      <c r="G47" s="10"/>
      <c r="H47" s="10"/>
      <c r="I47" s="10"/>
      <c r="J47" s="10"/>
      <c r="K47" s="10"/>
      <c r="L47" s="10"/>
      <c r="M47" s="10"/>
      <c r="N47" s="10"/>
      <c r="O47" s="10"/>
      <c r="P47" s="10"/>
    </row>
    <row r="48" spans="1:16" x14ac:dyDescent="0.35">
      <c r="A48" s="10"/>
      <c r="B48" s="10"/>
      <c r="C48" s="51" t="s">
        <v>58</v>
      </c>
      <c r="D48" s="67">
        <v>0.46</v>
      </c>
      <c r="E48" s="10"/>
      <c r="F48" s="10"/>
      <c r="G48" s="10"/>
      <c r="H48" s="10"/>
      <c r="I48" s="10"/>
      <c r="J48" s="10"/>
      <c r="K48" s="10"/>
      <c r="L48" s="10"/>
      <c r="M48" s="10"/>
      <c r="N48" s="10"/>
      <c r="O48" s="10"/>
      <c r="P48" s="10"/>
    </row>
    <row r="49" spans="1:16" x14ac:dyDescent="0.35">
      <c r="A49" s="10"/>
      <c r="B49" s="10"/>
      <c r="C49" s="51" t="s">
        <v>59</v>
      </c>
      <c r="D49" s="67">
        <v>0.46</v>
      </c>
      <c r="E49" s="10"/>
      <c r="F49" s="10"/>
      <c r="G49" s="10"/>
      <c r="H49" s="10"/>
      <c r="I49" s="10"/>
      <c r="J49" s="10"/>
      <c r="K49" s="10"/>
      <c r="L49" s="10"/>
      <c r="M49" s="10"/>
      <c r="N49" s="10"/>
      <c r="O49" s="10"/>
      <c r="P49" s="10"/>
    </row>
    <row r="50" spans="1:16" x14ac:dyDescent="0.35">
      <c r="A50" s="10"/>
      <c r="B50" s="10"/>
      <c r="C50" s="51" t="s">
        <v>60</v>
      </c>
      <c r="D50" s="67">
        <v>0.44</v>
      </c>
      <c r="E50" s="10"/>
      <c r="F50" s="10"/>
      <c r="G50" s="10"/>
      <c r="H50" s="10"/>
      <c r="I50" s="10"/>
      <c r="J50" s="10"/>
      <c r="K50" s="10"/>
      <c r="L50" s="10"/>
      <c r="M50" s="10"/>
      <c r="N50" s="10"/>
      <c r="O50" s="10"/>
      <c r="P50" s="10"/>
    </row>
    <row r="51" spans="1:16" x14ac:dyDescent="0.35">
      <c r="A51" s="10"/>
      <c r="B51" s="10"/>
      <c r="C51" s="51" t="s">
        <v>61</v>
      </c>
      <c r="D51" s="67">
        <v>0.46</v>
      </c>
      <c r="E51" s="10"/>
      <c r="F51" s="10"/>
      <c r="G51" s="10"/>
      <c r="H51" s="10"/>
      <c r="I51" s="10"/>
      <c r="J51" s="10"/>
      <c r="K51" s="10"/>
      <c r="L51" s="10"/>
      <c r="M51" s="10"/>
      <c r="N51" s="10"/>
      <c r="O51" s="10"/>
      <c r="P51" s="10"/>
    </row>
    <row r="52" spans="1:16" x14ac:dyDescent="0.35">
      <c r="A52" s="10"/>
      <c r="B52" s="10"/>
      <c r="C52" s="51" t="s">
        <v>75</v>
      </c>
      <c r="D52" s="67">
        <v>0.48</v>
      </c>
      <c r="E52" s="10"/>
      <c r="F52" s="10"/>
      <c r="G52" s="10"/>
      <c r="H52" s="10"/>
      <c r="I52" s="10"/>
      <c r="J52" s="10"/>
      <c r="K52" s="10"/>
      <c r="L52" s="10"/>
      <c r="M52" s="10"/>
      <c r="N52" s="10"/>
      <c r="O52" s="10"/>
      <c r="P52" s="10"/>
    </row>
    <row r="53" spans="1:16" x14ac:dyDescent="0.35">
      <c r="A53" s="10"/>
      <c r="B53" s="10"/>
      <c r="C53" s="51" t="s">
        <v>62</v>
      </c>
      <c r="D53" s="67">
        <v>0.44</v>
      </c>
      <c r="E53" s="10"/>
      <c r="F53" s="10"/>
      <c r="G53" s="10"/>
      <c r="H53" s="10"/>
      <c r="I53" s="10"/>
      <c r="J53" s="10"/>
      <c r="K53" s="10"/>
      <c r="L53" s="10"/>
      <c r="M53" s="10"/>
      <c r="N53" s="10"/>
      <c r="O53" s="10"/>
      <c r="P53" s="10"/>
    </row>
    <row r="54" spans="1:16" x14ac:dyDescent="0.35">
      <c r="A54" s="10"/>
      <c r="B54" s="10"/>
      <c r="C54" s="51" t="s">
        <v>63</v>
      </c>
      <c r="D54" s="67">
        <v>0.34</v>
      </c>
      <c r="E54" s="10"/>
      <c r="F54" s="10"/>
      <c r="G54" s="10"/>
      <c r="H54" s="10"/>
      <c r="I54" s="10"/>
      <c r="J54" s="10"/>
      <c r="K54" s="10"/>
      <c r="L54" s="10"/>
      <c r="M54" s="10"/>
      <c r="N54" s="10"/>
      <c r="O54" s="10"/>
      <c r="P54" s="10"/>
    </row>
    <row r="55" spans="1:16" x14ac:dyDescent="0.35">
      <c r="A55" s="10"/>
      <c r="B55" s="10"/>
      <c r="C55" s="51" t="s">
        <v>64</v>
      </c>
      <c r="D55" s="67">
        <v>0.5</v>
      </c>
      <c r="E55" s="10"/>
      <c r="F55" s="10"/>
      <c r="G55" s="10"/>
      <c r="H55" s="10"/>
      <c r="I55" s="10"/>
      <c r="J55" s="10"/>
      <c r="K55" s="10"/>
      <c r="L55" s="10"/>
      <c r="M55" s="10"/>
      <c r="N55" s="10"/>
      <c r="O55" s="10"/>
      <c r="P55" s="10"/>
    </row>
    <row r="56" spans="1:16" x14ac:dyDescent="0.35">
      <c r="A56" s="10"/>
      <c r="B56" s="10"/>
      <c r="C56" s="51" t="s">
        <v>85</v>
      </c>
      <c r="D56" s="67">
        <v>0.57999999999999996</v>
      </c>
      <c r="E56" s="10"/>
      <c r="F56" s="10"/>
      <c r="G56" s="10"/>
      <c r="H56" s="10"/>
      <c r="I56" s="10"/>
      <c r="J56" s="10"/>
      <c r="K56" s="10"/>
      <c r="L56" s="10"/>
      <c r="M56" s="10"/>
      <c r="N56" s="10"/>
      <c r="O56" s="10"/>
      <c r="P56" s="10"/>
    </row>
    <row r="57" spans="1:16" x14ac:dyDescent="0.35">
      <c r="A57" s="10"/>
      <c r="B57" s="10"/>
      <c r="C57" s="51" t="s">
        <v>65</v>
      </c>
      <c r="D57" s="67">
        <v>0.37</v>
      </c>
      <c r="E57" s="10"/>
      <c r="F57" s="10"/>
      <c r="G57" s="10"/>
      <c r="H57" s="10"/>
      <c r="I57" s="10"/>
      <c r="J57" s="10"/>
      <c r="K57" s="10"/>
      <c r="L57" s="10"/>
      <c r="M57" s="10"/>
      <c r="N57" s="10"/>
      <c r="O57" s="10"/>
      <c r="P57" s="10"/>
    </row>
    <row r="58" spans="1:16" x14ac:dyDescent="0.35">
      <c r="A58" s="10"/>
      <c r="B58" s="10"/>
      <c r="C58" s="51" t="s">
        <v>66</v>
      </c>
      <c r="D58" s="67">
        <v>0.37</v>
      </c>
      <c r="E58" s="10"/>
      <c r="F58" s="10"/>
      <c r="G58" s="10"/>
      <c r="H58" s="10"/>
      <c r="I58" s="10"/>
      <c r="J58" s="10"/>
      <c r="K58" s="10"/>
      <c r="L58" s="10"/>
      <c r="M58" s="10"/>
      <c r="N58" s="10"/>
      <c r="O58" s="10"/>
      <c r="P58" s="10"/>
    </row>
    <row r="59" spans="1:16" x14ac:dyDescent="0.35">
      <c r="A59" s="10"/>
      <c r="B59" s="10"/>
      <c r="C59" s="51" t="s">
        <v>67</v>
      </c>
      <c r="D59" s="67">
        <v>0.38</v>
      </c>
      <c r="E59" s="10"/>
      <c r="F59" s="10"/>
      <c r="G59" s="10"/>
      <c r="H59" s="10"/>
      <c r="I59" s="10"/>
      <c r="J59" s="10"/>
      <c r="K59" s="10"/>
      <c r="L59" s="10"/>
      <c r="M59" s="10"/>
      <c r="N59" s="10"/>
      <c r="O59" s="10"/>
      <c r="P59" s="10"/>
    </row>
    <row r="60" spans="1:16" x14ac:dyDescent="0.35">
      <c r="A60" s="10"/>
      <c r="B60" s="10"/>
      <c r="C60" s="51" t="s">
        <v>68</v>
      </c>
      <c r="D60" s="67">
        <v>0.36</v>
      </c>
      <c r="E60" s="10"/>
      <c r="F60" s="10"/>
      <c r="G60" s="10"/>
      <c r="H60" s="10"/>
      <c r="I60" s="10"/>
      <c r="J60" s="10"/>
      <c r="K60" s="10"/>
      <c r="L60" s="10"/>
      <c r="M60" s="10"/>
      <c r="N60" s="10"/>
      <c r="O60" s="10"/>
      <c r="P60" s="10"/>
    </row>
    <row r="61" spans="1:16" x14ac:dyDescent="0.35">
      <c r="A61" s="10"/>
      <c r="B61" s="10"/>
      <c r="C61" s="51" t="s">
        <v>69</v>
      </c>
      <c r="D61" s="67">
        <v>0.37</v>
      </c>
      <c r="E61" s="10"/>
      <c r="F61" s="10"/>
      <c r="G61" s="10"/>
      <c r="H61" s="10"/>
      <c r="I61" s="10"/>
      <c r="J61" s="10"/>
      <c r="K61" s="10"/>
      <c r="L61" s="10"/>
      <c r="M61" s="10"/>
      <c r="N61" s="10"/>
      <c r="O61" s="10"/>
      <c r="P61" s="10"/>
    </row>
    <row r="62" spans="1:16" x14ac:dyDescent="0.35">
      <c r="A62" s="10"/>
      <c r="B62" s="10"/>
      <c r="C62" s="51" t="s">
        <v>70</v>
      </c>
      <c r="D62" s="67">
        <v>0.53</v>
      </c>
      <c r="E62" s="10"/>
      <c r="F62" s="10"/>
      <c r="G62" s="10"/>
      <c r="H62" s="10"/>
      <c r="I62" s="10"/>
      <c r="J62" s="10"/>
      <c r="K62" s="10"/>
      <c r="L62" s="10"/>
      <c r="M62" s="10"/>
      <c r="N62" s="10"/>
      <c r="O62" s="10"/>
      <c r="P62" s="10"/>
    </row>
    <row r="63" spans="1:16" x14ac:dyDescent="0.35">
      <c r="A63" s="10"/>
      <c r="B63" s="10"/>
      <c r="C63" s="51" t="s">
        <v>71</v>
      </c>
      <c r="D63" s="67">
        <v>0.43</v>
      </c>
      <c r="E63" s="10"/>
      <c r="F63" s="10"/>
      <c r="G63" s="10"/>
      <c r="H63" s="10"/>
      <c r="I63" s="10"/>
      <c r="J63" s="10"/>
      <c r="K63" s="10"/>
      <c r="L63" s="10"/>
      <c r="M63" s="10"/>
      <c r="N63" s="10"/>
      <c r="O63" s="10"/>
      <c r="P63" s="10"/>
    </row>
    <row r="64" spans="1:16" x14ac:dyDescent="0.35">
      <c r="A64" s="10"/>
      <c r="B64" s="10"/>
      <c r="C64" s="51" t="s">
        <v>72</v>
      </c>
      <c r="D64" s="67">
        <v>0.38</v>
      </c>
      <c r="E64" s="10"/>
      <c r="F64" s="10"/>
      <c r="G64" s="10"/>
      <c r="H64" s="10"/>
      <c r="I64" s="10"/>
      <c r="J64" s="10"/>
      <c r="K64" s="10"/>
      <c r="L64" s="10"/>
      <c r="M64" s="10"/>
      <c r="N64" s="10"/>
      <c r="O64" s="10"/>
      <c r="P64" s="10"/>
    </row>
    <row r="65" spans="1:16" x14ac:dyDescent="0.35">
      <c r="A65" s="10"/>
      <c r="B65" s="10"/>
      <c r="C65" s="51" t="s">
        <v>73</v>
      </c>
      <c r="D65" s="67">
        <v>0.42</v>
      </c>
      <c r="E65" s="10"/>
      <c r="F65" s="10"/>
      <c r="G65" s="10"/>
      <c r="H65" s="10"/>
      <c r="I65" s="10"/>
      <c r="J65" s="10"/>
      <c r="K65" s="10"/>
      <c r="L65" s="10"/>
      <c r="M65" s="10"/>
      <c r="N65" s="10"/>
      <c r="O65" s="10"/>
      <c r="P65" s="10"/>
    </row>
    <row r="66" spans="1:16" ht="15" thickBot="1" x14ac:dyDescent="0.4">
      <c r="A66" s="10"/>
      <c r="B66" s="10"/>
      <c r="C66" s="52" t="s">
        <v>74</v>
      </c>
      <c r="D66" s="68">
        <v>0.56999999999999995</v>
      </c>
      <c r="E66" s="10"/>
      <c r="F66" s="10"/>
      <c r="G66" s="10"/>
      <c r="H66" s="10"/>
      <c r="I66" s="10"/>
      <c r="J66" s="10"/>
      <c r="K66" s="10"/>
      <c r="L66" s="10"/>
      <c r="M66" s="10"/>
      <c r="N66" s="10"/>
      <c r="O66" s="10"/>
      <c r="P66" s="10"/>
    </row>
    <row r="67" spans="1:16" ht="15" thickBot="1" x14ac:dyDescent="0.4">
      <c r="A67" s="10"/>
      <c r="B67" s="10"/>
      <c r="C67" s="96" t="s">
        <v>186</v>
      </c>
      <c r="D67" s="68">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64" t="s">
        <v>133</v>
      </c>
      <c r="B70" s="10"/>
      <c r="C70" s="10"/>
      <c r="D70" s="10"/>
      <c r="E70" s="10"/>
      <c r="F70" s="10"/>
      <c r="G70" s="10"/>
      <c r="H70" s="10"/>
      <c r="I70" s="10"/>
      <c r="J70" s="10"/>
      <c r="K70" s="10"/>
      <c r="L70" s="10"/>
      <c r="M70" s="10"/>
      <c r="N70" s="10"/>
      <c r="O70" s="10"/>
      <c r="P70" s="10"/>
    </row>
    <row r="71" spans="1:16" x14ac:dyDescent="0.35">
      <c r="A71" s="61" t="s">
        <v>134</v>
      </c>
      <c r="B71" s="10"/>
      <c r="C71" s="10"/>
      <c r="D71" s="10"/>
      <c r="E71" s="10"/>
      <c r="F71" s="10"/>
      <c r="G71" s="10"/>
      <c r="H71" s="10"/>
      <c r="I71" s="10"/>
      <c r="J71" s="10"/>
      <c r="K71" s="10"/>
      <c r="L71" s="10"/>
      <c r="M71" s="10"/>
      <c r="N71" s="10"/>
      <c r="O71" s="10"/>
      <c r="P71" s="10"/>
    </row>
    <row r="72" spans="1:16" x14ac:dyDescent="0.35">
      <c r="A72" s="58" t="s">
        <v>135</v>
      </c>
      <c r="B72" s="10"/>
      <c r="C72" s="10"/>
      <c r="D72" s="10"/>
      <c r="E72" s="10"/>
      <c r="F72" s="10"/>
      <c r="G72" s="10"/>
      <c r="H72" s="10"/>
      <c r="I72" s="10"/>
      <c r="J72" s="10"/>
      <c r="K72" s="10"/>
      <c r="L72" s="10"/>
      <c r="M72" s="10"/>
      <c r="N72" s="10"/>
      <c r="O72" s="10"/>
      <c r="P72" s="10"/>
    </row>
    <row r="73" spans="1:16" ht="29.5" thickBot="1" x14ac:dyDescent="0.4">
      <c r="A73" s="59" t="s">
        <v>136</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REAforêtBoisement</vt:lpstr>
      <vt:lpstr>REEsubsMBoisement</vt:lpstr>
      <vt:lpstr>REG&amp;Rabais_Boisement</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2021-01-08T09:22:38Z</dcterms:modified>
</cp:coreProperties>
</file>