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s Naudet\Saison 2025-2026\8_Reboisement Naudet_Romillé (35)\Dossier d_instruction\"/>
    </mc:Choice>
  </mc:AlternateContent>
  <xr:revisionPtr revIDLastSave="0" documentId="13_ncr:1_{77E7DDDA-7CBB-4682-8997-DE829F7C65D3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62" i="2" l="1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<sst xmlns="http://schemas.openxmlformats.org/spreadsheetml/2006/main" count="1176" uniqueCount="328">
  <si>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</si>
  <si>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</si>
  <si>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</si>
  <si>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</si>
  <si>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</si>
  <si>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</si>
  <si>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</si>
  <si>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</si>
  <si>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</si>
  <si>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</si>
  <si>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</si>
  <si>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</si>
  <si>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</si>
  <si>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</si>
  <si>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</si>
  <si>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</si>
  <si>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</si>
  <si>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</si>
  <si>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</si>
  <si>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</si>
  <si>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</si>
  <si>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</si>
  <si>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</si>
  <si>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</si>
  <si>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</si>
  <si>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</si>
  <si>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</si>
  <si>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</si>
  <si>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</si>
  <si>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</si>
  <si>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</si>
  <si>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</si>
  <si>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</si>
  <si>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</si>
  <si>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</si>
  <si>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</si>
  <si>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</si>
  <si>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</si>
  <si>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</si>
  <si>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</si>
  <si>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</si>
  <si>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</si>
  <si>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</si>
  <si>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</si>
  <si>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</si>
  <si>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</si>
  <si>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</si>
  <si>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</si>
  <si>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</si>
  <si>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</si>
  <si>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</si>
  <si>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</si>
  <si>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</si>
  <si>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</si>
  <si>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</si>
  <si>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</si>
  <si>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</si>
  <si>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</si>
  <si>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</si>
  <si>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</si>
  <si>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</si>
  <si>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</si>
  <si>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</si>
  <si>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</si>
  <si>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</si>
  <si>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</si>
  <si>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</si>
  <si>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</si>
  <si>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</si>
  <si>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</si>
  <si>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</si>
  <si>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</si>
  <si>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</si>
  <si>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</si>
  <si>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</si>
  <si>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</si>
  <si>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</si>
  <si>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</si>
  <si>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</si>
  <si>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</si>
  <si>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</si>
  <si>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</si>
  <si>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</si>
  <si>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</si>
  <si>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</si>
  <si>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</si>
  <si>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</si>
  <si>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</si>
  <si>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</si>
  <si>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</si>
  <si>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</si>
  <si>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</si>
  <si>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</si>
  <si>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</si>
  <si>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</si>
  <si>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</si>
  <si>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</si>
  <si>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</si>
  <si>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</si>
  <si>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</si>
  <si>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</si>
  <si>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</si>
  <si>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</si>
  <si>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</si>
  <si>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</si>
  <si>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</si>
  <si>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</si>
  <si>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</si>
  <si>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</si>
  <si>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</si>
  <si>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</si>
  <si>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</si>
  <si>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</si>
  <si>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</si>
  <si>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</si>
  <si>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</si>
  <si>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</si>
  <si>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</si>
  <si>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</si>
  <si>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</si>
  <si>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</si>
  <si>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</si>
  <si>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</si>
  <si>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</si>
  <si>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</si>
  <si>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</si>
  <si>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</si>
  <si>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</si>
  <si>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</si>
  <si>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</si>
  <si>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</si>
  <si>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</si>
  <si>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</si>
  <si>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</si>
  <si>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</si>
  <si>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</si>
  <si>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</si>
  <si>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</si>
  <si>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</si>
  <si>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</si>
  <si>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</si>
  <si>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</si>
  <si>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</si>
  <si>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</si>
  <si>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</si>
  <si>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</si>
  <si>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</si>
  <si>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</si>
  <si>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</si>
  <si>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</si>
  <si>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</si>
  <si>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</si>
  <si>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</si>
  <si>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</si>
  <si>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</si>
  <si>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</si>
  <si>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</si>
  <si>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</si>
  <si>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</si>
  <si>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</si>
  <si>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</si>
  <si>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</si>
  <si>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</si>
  <si>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</si>
  <si>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</si>
  <si>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</si>
  <si>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</si>
  <si>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</si>
  <si>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</si>
  <si>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</si>
  <si>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</si>
  <si>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</si>
  <si>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</si>
  <si>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</si>
  <si>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</si>
  <si>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</si>
  <si>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</si>
  <si>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</si>
  <si>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</si>
  <si>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</si>
  <si>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</si>
  <si>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</si>
  <si>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</si>
  <si>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</si>
  <si>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</si>
  <si>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</si>
  <si>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</si>
  <si>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</si>
  <si>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</si>
  <si>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</si>
  <si>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</si>
  <si>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</si>
  <si>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</si>
  <si>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</si>
  <si>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</si>
  <si>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</si>
  <si>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</si>
  <si>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</si>
  <si>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</si>
  <si>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</si>
  <si>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</si>
  <si>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</si>
  <si>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</si>
  <si>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</si>
  <si>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</si>
  <si>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</si>
  <si>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</si>
  <si>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</si>
  <si>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</si>
  <si>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</si>
  <si>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</si>
  <si>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</si>
  <si>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</si>
  <si>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</si>
  <si>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</si>
  <si>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</si>
  <si>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</si>
  <si>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</si>
  <si>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</si>
  <si>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</si>
  <si>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</si>
  <si>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</si>
  <si>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</si>
  <si>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</si>
  <si>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</si>
  <si>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</si>
  <si>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</si>
  <si>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</si>
  <si>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</si>
  <si>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</si>
  <si>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</si>
  <si>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</si>
  <si>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</si>
  <si>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</si>
  <si>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</si>
  <si>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</si>
  <si>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</si>
  <si>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</si>
  <si>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</si>
  <si>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</si>
  <si>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</si>
  <si>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</si>
  <si>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</si>
  <si>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</si>
  <si>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</si>
  <si>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</si>
  <si>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</si>
  <si>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</si>
  <si>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</si>
  <si>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</si>
  <si>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</si>
  <si>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</si>
  <si>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</si>
  <si>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</si>
  <si>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</si>
  <si>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</si>
  <si>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</si>
  <si>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</si>
  <si>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</si>
  <si>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</si>
  <si>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</si>
  <si>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</si>
  <si>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</si>
  <si>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</si>
  <si>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</si>
  <si>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</si>
  <si>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</si>
  <si>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</si>
  <si>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</si>
  <si>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</si>
  <si>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</si>
  <si>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</si>
  <si>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</si>
  <si>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</si>
  <si>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</si>
  <si>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</si>
  <si>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</si>
  <si>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</si>
  <si>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</si>
  <si>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</si>
  <si>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</si>
  <si>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</si>
  <si>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</si>
  <si>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</si>
  <si>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</si>
  <si>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</si>
  <si>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</si>
  <si>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</si>
  <si>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</si>
  <si>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</si>
  <si>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</si>
  <si>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</si>
  <si>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</si>
  <si>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</si>
  <si>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</si>
  <si>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</si>
  <si>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</si>
  <si>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</si>
  <si>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</si>
  <si>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</si>
  <si>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</si>
  <si>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</si>
  <si>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</si>
  <si>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</si>
  <si>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</si>
  <si>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</si>
  <si>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</si>
  <si>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</si>
  <si>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</si>
  <si>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</si>
  <si>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</si>
  <si>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</si>
  <si>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</si>
  <si>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</si>
  <si>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</si>
  <si>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</si>
  <si>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</si>
  <si>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</si>
  <si>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</si>
  <si>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</si>
  <si>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</si>
  <si>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</si>
  <si>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</si>
  <si>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</si>
  <si>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équivalence pour le peuplier Vesten</t>
  </si>
  <si>
    <t>CR</t>
  </si>
  <si>
    <t>classe 3,5/5</t>
  </si>
  <si>
    <t>Classe 3,5/5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</si>
</sst>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2.379242085631502</c:v>
                </c:pt>
                <c:pt idx="2">
                  <c:v>3.8796775673009343</c:v>
                </c:pt>
                <c:pt idx="3">
                  <c:v>6.3310156505738604</c:v>
                </c:pt>
                <c:pt idx="4">
                  <c:v>10.338662253800186</c:v>
                </c:pt>
                <c:pt idx="5">
                  <c:v>16.895097685445105</c:v>
                </c:pt>
                <c:pt idx="6">
                  <c:v>27.628317118919057</c:v>
                </c:pt>
                <c:pt idx="7">
                  <c:v>45.210291323200103</c:v>
                </c:pt>
                <c:pt idx="8">
                  <c:v>74.028843121206052</c:v>
                </c:pt>
                <c:pt idx="9">
                  <c:v>121.2933325124108</c:v>
                </c:pt>
                <c:pt idx="10">
                  <c:v>164.43807995491247</c:v>
                </c:pt>
                <c:pt idx="11">
                  <c:v>207.31313753029784</c:v>
                </c:pt>
                <c:pt idx="12">
                  <c:v>249.98250756850555</c:v>
                </c:pt>
                <c:pt idx="13">
                  <c:v>292.48633124656754</c:v>
                </c:pt>
                <c:pt idx="14">
                  <c:v>334.85206466783291</c:v>
                </c:pt>
                <c:pt idx="15">
                  <c:v>343.31049081259988</c:v>
                </c:pt>
                <c:pt idx="16">
                  <c:v>351.7643377345442</c:v>
                </c:pt>
                <c:pt idx="17">
                  <c:v>360.21373108398092</c:v>
                </c:pt>
                <c:pt idx="18">
                  <c:v>368.65879013141921</c:v>
                </c:pt>
                <c:pt idx="19">
                  <c:v>377.09962823341669</c:v>
                </c:pt>
                <c:pt idx="20">
                  <c:v>380.16799862439393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1.8807855723351645</c:v>
                </c:pt>
                <c:pt idx="2">
                  <c:v>3.0657680329077333</c:v>
                </c:pt>
                <c:pt idx="3">
                  <c:v>5.001077421230776</c:v>
                </c:pt>
                <c:pt idx="4">
                  <c:v>8.1640327644793036</c:v>
                </c:pt>
                <c:pt idx="5">
                  <c:v>13.336905920924728</c:v>
                </c:pt>
                <c:pt idx="6">
                  <c:v>21.802520023090349</c:v>
                </c:pt>
                <c:pt idx="7">
                  <c:v>35.665755228924034</c:v>
                </c:pt>
                <c:pt idx="8">
                  <c:v>58.382270571297141</c:v>
                </c:pt>
                <c:pt idx="9">
                  <c:v>95.628410589441103</c:v>
                </c:pt>
                <c:pt idx="10">
                  <c:v>129.6207128213255</c:v>
                </c:pt>
                <c:pt idx="11">
                  <c:v>163.39566695137299</c:v>
                </c:pt>
                <c:pt idx="12">
                  <c:v>197.00485365287338</c:v>
                </c:pt>
                <c:pt idx="13">
                  <c:v>230.48062345025201</c:v>
                </c:pt>
                <c:pt idx="14">
                  <c:v>263.84510373009016</c:v>
                </c:pt>
                <c:pt idx="15">
                  <c:v>270.50613622829962</c:v>
                </c:pt>
                <c:pt idx="16">
                  <c:v>277.16347824529447</c:v>
                </c:pt>
                <c:pt idx="17">
                  <c:v>283.81723104501049</c:v>
                </c:pt>
                <c:pt idx="18">
                  <c:v>290.46749074977964</c:v>
                </c:pt>
                <c:pt idx="19">
                  <c:v>297.11434871576853</c:v>
                </c:pt>
                <c:pt idx="20">
                  <c:v>299.53056168182775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D28" sqref="D2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2.81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326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117</v>
      </c>
      <c r="C9" s="264">
        <v>0.42553191489361702</v>
      </c>
      <c r="D9" s="33">
        <f t="shared" ref="D9:D18" si="0">C9*$C$5</f>
        <v>1.1957446808510639</v>
      </c>
      <c r="E9" s="265">
        <v>20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111</v>
      </c>
      <c r="C10" s="264">
        <v>0.57446808510638292</v>
      </c>
      <c r="D10" s="33">
        <f t="shared" si="0"/>
        <v>1.6142553191489359</v>
      </c>
      <c r="E10" s="265">
        <v>20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327</v>
      </c>
      <c r="H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2.8099999999999996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Peuplier Soligo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9</v>
      </c>
      <c r="B36" s="259">
        <v>96.153846153846146</v>
      </c>
      <c r="C36" s="259"/>
      <c r="D36" s="259"/>
      <c r="E36" s="260"/>
      <c r="F36" s="260"/>
      <c r="G36" s="260"/>
      <c r="H36" s="260"/>
      <c r="I36" s="49">
        <f>IFERROR(B36/A36,"")</f>
        <v>10.683760683760683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14</v>
      </c>
      <c r="B37" s="259">
        <v>272.4358974358974</v>
      </c>
      <c r="C37" s="259"/>
      <c r="D37" s="259"/>
      <c r="E37" s="260"/>
      <c r="F37" s="260"/>
      <c r="G37" s="260"/>
      <c r="H37" s="260"/>
      <c r="I37" s="53">
        <f t="shared" ref="I37:I55" si="1">IF(A37&lt;&gt;0,(B37-(B36-D36))/(A37-A36),"")</f>
        <v>35.256410256410255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19</v>
      </c>
      <c r="B38" s="259">
        <v>307.69230769230768</v>
      </c>
      <c r="C38" s="259"/>
      <c r="D38" s="259"/>
      <c r="E38" s="260"/>
      <c r="F38" s="260"/>
      <c r="G38" s="260"/>
      <c r="H38" s="260"/>
      <c r="I38" s="53">
        <f t="shared" si="1"/>
        <v>7.0512820512820555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20</v>
      </c>
      <c r="B39" s="259">
        <v>310.25641025641022</v>
      </c>
      <c r="C39" s="259" t="s">
        <v>325</v>
      </c>
      <c r="D39" s="259">
        <v>310.25641025641022</v>
      </c>
      <c r="E39" s="260">
        <v>0.77</v>
      </c>
      <c r="F39" s="260">
        <v>0.21</v>
      </c>
      <c r="G39" s="260">
        <v>0</v>
      </c>
      <c r="H39" s="260">
        <v>0</v>
      </c>
      <c r="I39" s="49">
        <f t="shared" si="1"/>
        <v>2.5641025641025408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/>
      <c r="B40" s="259"/>
      <c r="C40" s="259"/>
      <c r="D40" s="259"/>
      <c r="E40" s="260"/>
      <c r="F40" s="260"/>
      <c r="G40" s="260"/>
      <c r="H40" s="260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/>
      <c r="B41" s="259"/>
      <c r="C41" s="259"/>
      <c r="D41" s="259"/>
      <c r="E41" s="260"/>
      <c r="F41" s="260"/>
      <c r="G41" s="260"/>
      <c r="H41" s="260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/>
      <c r="B42" s="259"/>
      <c r="C42" s="259"/>
      <c r="D42" s="259"/>
      <c r="E42" s="260"/>
      <c r="F42" s="260"/>
      <c r="G42" s="260"/>
      <c r="H42" s="260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/>
      <c r="B43" s="259"/>
      <c r="C43" s="259"/>
      <c r="D43" s="259"/>
      <c r="E43" s="260"/>
      <c r="F43" s="260"/>
      <c r="G43" s="260"/>
      <c r="H43" s="260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/>
      <c r="B44" s="259"/>
      <c r="C44" s="259"/>
      <c r="D44" s="259"/>
      <c r="E44" s="260"/>
      <c r="F44" s="260"/>
      <c r="G44" s="260"/>
      <c r="H44" s="260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Peuplier I-214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9</v>
      </c>
      <c r="B62" s="261">
        <v>96.153846153846146</v>
      </c>
      <c r="C62" s="261"/>
      <c r="D62" s="261"/>
      <c r="E62" s="260"/>
      <c r="F62" s="260"/>
      <c r="G62" s="260"/>
      <c r="H62" s="260"/>
      <c r="I62" s="53">
        <f>IFERROR(B62/A62,"")</f>
        <v>10.683760683760683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14</v>
      </c>
      <c r="B63" s="261">
        <v>272.4358974358974</v>
      </c>
      <c r="C63" s="261"/>
      <c r="D63" s="261"/>
      <c r="E63" s="260"/>
      <c r="F63" s="260"/>
      <c r="G63" s="260"/>
      <c r="H63" s="260"/>
      <c r="I63" s="49">
        <f>IF(A63&lt;&gt;0,(B63-(B62-D62))/(A63-A62),"")</f>
        <v>35.256410256410255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19</v>
      </c>
      <c r="B64" s="261">
        <v>307.69230769230768</v>
      </c>
      <c r="C64" s="261"/>
      <c r="D64" s="261"/>
      <c r="E64" s="260"/>
      <c r="F64" s="260"/>
      <c r="G64" s="260"/>
      <c r="H64" s="260"/>
      <c r="I64" s="49">
        <f>IF(A64&lt;&gt;0,(B64-(B63-D63))/(A64-A63),"")</f>
        <v>7.0512820512820555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20</v>
      </c>
      <c r="B65" s="261">
        <v>310.25641025641022</v>
      </c>
      <c r="C65" s="261" t="s">
        <v>325</v>
      </c>
      <c r="D65" s="261">
        <v>310.25641025641022</v>
      </c>
      <c r="E65" s="260">
        <v>0.77</v>
      </c>
      <c r="F65" s="260">
        <v>0.21</v>
      </c>
      <c r="G65" s="260">
        <v>0</v>
      </c>
      <c r="H65" s="260">
        <v>0</v>
      </c>
      <c r="I65" s="49">
        <f>IF(A65&lt;&gt;0,(B65-(B64-D64))/(A65-A64),"")</f>
        <v>2.5641025641025408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/>
      <c r="B66" s="261"/>
      <c r="C66" s="261"/>
      <c r="D66" s="261"/>
      <c r="E66" s="260"/>
      <c r="F66" s="260"/>
      <c r="G66" s="260"/>
      <c r="H66" s="260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/>
      <c r="B67" s="261"/>
      <c r="C67" s="261"/>
      <c r="D67" s="261"/>
      <c r="E67" s="260"/>
      <c r="F67" s="260"/>
      <c r="G67" s="260"/>
      <c r="H67" s="260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/>
      <c r="B68" s="261"/>
      <c r="C68" s="261"/>
      <c r="D68" s="261"/>
      <c r="E68" s="260"/>
      <c r="F68" s="260"/>
      <c r="G68" s="260"/>
      <c r="H68" s="260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/>
      <c r="B69" s="261"/>
      <c r="C69" s="261"/>
      <c r="D69" s="261"/>
      <c r="E69" s="260"/>
      <c r="F69" s="260"/>
      <c r="G69" s="260"/>
      <c r="H69" s="260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Peuplier Soligo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Peuplier I-214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164.99145658664128</v>
      </c>
      <c r="T3" s="59">
        <f>IF('Données projet'!E9&gt;30,$R$33-$H$33,LOOKUP('Données projet'!$E$9,$A$3:$A$203,R3:R203)-LOOKUP('Données projet'!$E$9,$A$3:$A$203,$H$3:$H$203))</f>
        <v>354.51323926643181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127.25822594328736</v>
      </c>
      <c r="AO3" s="59">
        <f>IF('Données projet'!E10&gt;30,$AM$33-$H$33,LOOKUP('Données projet'!$E$10,$A$3:$A$203,AM3:AM203)-LOOKUP('Données projet'!$E$10,$A$3:$A$203,$H$3:$H$203))</f>
        <v>273.87580232386563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6">
        <f t="shared" ref="H4:H67" si="1">(B4+E4+F4)*44/12+(C4+D4)*0.475*44/12</f>
        <v>294.75450271279925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10.683760683760683</v>
      </c>
      <c r="N4" s="13">
        <f>IF('Données projet'!$A$36&gt;35,N3+M4-V3,IF(A4&lt;'Données projet'!$A$36,$K$205^A4,IF(A4='Données projet'!$A$36,'Données projet'!$B$36,N3+M4-V3)))</f>
        <v>1.6608470099654447</v>
      </c>
      <c r="O4" s="13">
        <f>N4*VLOOKUP('Données projet'!$B$9,Paramètres!$A$1:$I$89,3,0)*VLOOKUP('Données projet'!$B$9,Paramètres!$A$1:$I$89,5,0)</f>
        <v>0.93273168079659374</v>
      </c>
      <c r="P4" s="13">
        <f>EXP(-1.0587+0.8836*LN(O4)+0.284)</f>
        <v>0.43334033009230699</v>
      </c>
      <c r="Q4" s="20">
        <f t="shared" ref="Q4:Q34" si="2">(O4+P4)*0.475*44/12</f>
        <v>2.379242085631502</v>
      </c>
      <c r="R4" s="59">
        <f t="shared" si="0"/>
        <v>295.71257541896483</v>
      </c>
      <c r="S4" s="59">
        <f ca="1">AVERAGE(OFFSET($R$3,0,0,'Données projet'!$E$9+1,1))-AVERAGE(OFFSET($H$3,0,0,'Données projet'!$E$9+1,1))</f>
        <v>164.99145658664128</v>
      </c>
      <c r="T4" s="59">
        <f>$T$3</f>
        <v>354.51323926643181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10.683760683760683</v>
      </c>
      <c r="AI4" s="13">
        <f>IF('Données projet'!$A$62&gt;35,AI3+AH4-AQ3,IF(A4&lt;'Données projet'!$A$62,$AF$205^A4,IF(A4='Données projet'!$A$62,'Données projet'!$B$62,AI3+AH4-AQ3)))</f>
        <v>1.6608470099654447</v>
      </c>
      <c r="AJ4" s="13">
        <f>AI4*VLOOKUP('Données projet'!$B$10,Paramètres!$A$1:$I$89,3,0)*VLOOKUP('Données projet'!$B$10,Paramètres!$A$1:$I$89,5,0)</f>
        <v>0.73063981662399835</v>
      </c>
      <c r="AK4" s="13">
        <f>EXP(-1.0587+0.8836*LN(AJ4)+0.284)</f>
        <v>0.34923706701341672</v>
      </c>
      <c r="AL4" s="20">
        <f t="shared" ref="AL4:AL67" si="4">(AJ4+AK4)*0.475*44/12</f>
        <v>1.8807855723351645</v>
      </c>
      <c r="AM4" s="59">
        <f t="shared" ref="AM4:AM67" si="5">AL4+(AD4+AE4)*44/12</f>
        <v>295.2141189056685</v>
      </c>
      <c r="AN4" s="59">
        <f ca="1">AVERAGE(OFFSET($AM$3,0,0,'Données projet'!$E$10+1,1))-AVERAGE(OFFSET($H$3,0,0,'Données projet'!$E$10+1,1))</f>
        <v>127.25822594328736</v>
      </c>
      <c r="AO4" s="59">
        <f>$AO$3</f>
        <v>273.87580232386563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6">
        <f t="shared" si="1"/>
        <v>296.10277557080786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10.683760683760683</v>
      </c>
      <c r="N5" s="13">
        <f>IF('Données projet'!$A$36&gt;35,N4+M5-V4,IF(A5&lt;'Données projet'!$A$36,$K$205^A5,IF(A5='Données projet'!$A$36,'Données projet'!$B$36,N4+M5-V4)))</f>
        <v>2.7584127905111577</v>
      </c>
      <c r="O5" s="13">
        <f>N5*VLOOKUP('Données projet'!$B$9,Paramètres!$A$1:$I$89,3,0)*VLOOKUP('Données projet'!$B$9,Paramètres!$A$1:$I$89,5,0)</f>
        <v>1.5491246231510662</v>
      </c>
      <c r="P5" s="13">
        <f t="shared" ref="P5:P68" si="33">EXP(-1.0587+0.8836*LN(O5)+0.284)</f>
        <v>0.67844144419875207</v>
      </c>
      <c r="Q5" s="20">
        <f t="shared" si="2"/>
        <v>3.8796775673009343</v>
      </c>
      <c r="R5" s="59">
        <f t="shared" si="0"/>
        <v>297.21301090063423</v>
      </c>
      <c r="S5" s="59">
        <f ca="1">AVERAGE(OFFSET($R$3,0,0,'Données projet'!$E$9+1,1))-AVERAGE(OFFSET($H$3,0,0,'Données projet'!$E$9+1,1))</f>
        <v>164.99145658664128</v>
      </c>
      <c r="T5" s="59">
        <f t="shared" ref="T5:T68" si="34">$T$3</f>
        <v>354.51323926643181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10.683760683760683</v>
      </c>
      <c r="AI5" s="13">
        <f>IF('Données projet'!$A$62&gt;35,AI4+AH5-AQ4,IF(A5&lt;'Données projet'!$A$62,$AF$205^A5,IF(A5='Données projet'!$A$62,'Données projet'!$B$62,AI4+AH5-AQ4)))</f>
        <v>2.7584127905111577</v>
      </c>
      <c r="AJ5" s="13">
        <f>AI5*VLOOKUP('Données projet'!$B$10,Paramètres!$A$1:$I$89,3,0)*VLOOKUP('Données projet'!$B$10,Paramètres!$A$1:$I$89,5,0)</f>
        <v>1.2134809548016685</v>
      </c>
      <c r="AK5" s="13">
        <f t="shared" ref="AK5:AK68" si="35">EXP(-1.0587+0.8836*LN(AJ5)+0.284)</f>
        <v>0.54676863347071414</v>
      </c>
      <c r="AL5" s="20">
        <f t="shared" si="4"/>
        <v>3.0657680329077333</v>
      </c>
      <c r="AM5" s="59">
        <f t="shared" si="5"/>
        <v>296.39910136624104</v>
      </c>
      <c r="AN5" s="59">
        <f ca="1">AVERAGE(OFFSET($AM$3,0,0,'Données projet'!$E$10+1,1))-AVERAGE(OFFSET($H$3,0,0,'Données projet'!$E$10+1,1))</f>
        <v>127.25822594328736</v>
      </c>
      <c r="AO5" s="59">
        <f t="shared" ref="AO5:AO68" si="36">$AO$3</f>
        <v>273.87580232386563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6">
        <f t="shared" si="1"/>
        <v>297.42750651156223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10.683760683760683</v>
      </c>
      <c r="N6" s="13">
        <f>IF('Données projet'!$A$36&gt;35,N5+M6-V5,IF(A6&lt;'Données projet'!$A$36,$K$205^A6,IF(A6='Données projet'!$A$36,'Données projet'!$B$36,N5+M6-V5)))</f>
        <v>4.5813016353708944</v>
      </c>
      <c r="O6" s="13">
        <f>N6*VLOOKUP('Données projet'!$B$9,Paramètres!$A$1:$I$89,3,0)*VLOOKUP('Données projet'!$B$9,Paramètres!$A$1:$I$89,5,0)</f>
        <v>2.5728589984242944</v>
      </c>
      <c r="P6" s="13">
        <f t="shared" si="33"/>
        <v>1.0621739109961039</v>
      </c>
      <c r="Q6" s="20">
        <f t="shared" si="2"/>
        <v>6.3310156505738604</v>
      </c>
      <c r="R6" s="59">
        <f t="shared" si="0"/>
        <v>299.66434898390719</v>
      </c>
      <c r="S6" s="59">
        <f ca="1">AVERAGE(OFFSET($R$3,0,0,'Données projet'!$E$9+1,1))-AVERAGE(OFFSET($H$3,0,0,'Données projet'!$E$9+1,1))</f>
        <v>164.99145658664128</v>
      </c>
      <c r="T6" s="59">
        <f t="shared" si="34"/>
        <v>354.51323926643181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10.683760683760683</v>
      </c>
      <c r="AI6" s="13">
        <f>IF('Données projet'!$A$62&gt;35,AI5+AH6-AQ5,IF(A6&lt;'Données projet'!$A$62,$AF$205^A6,IF(A6='Données projet'!$A$62,'Données projet'!$B$62,AI5+AH6-AQ5)))</f>
        <v>4.5813016353708944</v>
      </c>
      <c r="AJ6" s="13">
        <f>AI6*VLOOKUP('Données projet'!$B$10,Paramètres!$A$1:$I$89,3,0)*VLOOKUP('Données projet'!$B$10,Paramètres!$A$1:$I$89,5,0)</f>
        <v>2.0154062154323635</v>
      </c>
      <c r="AK6" s="13">
        <f t="shared" si="35"/>
        <v>0.85602579675755586</v>
      </c>
      <c r="AL6" s="20">
        <f t="shared" si="4"/>
        <v>5.001077421230776</v>
      </c>
      <c r="AM6" s="59">
        <f t="shared" si="5"/>
        <v>298.33441075456409</v>
      </c>
      <c r="AN6" s="59">
        <f ca="1">AVERAGE(OFFSET($AM$3,0,0,'Données projet'!$E$10+1,1))-AVERAGE(OFFSET($H$3,0,0,'Données projet'!$E$10+1,1))</f>
        <v>127.25822594328736</v>
      </c>
      <c r="AO6" s="59">
        <f t="shared" si="36"/>
        <v>273.87580232386563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6">
        <f t="shared" si="1"/>
        <v>298.73772566676109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10.683760683760683</v>
      </c>
      <c r="N7" s="13">
        <f>IF('Données projet'!$A$36&gt;35,N6+M7-V6,IF(A7&lt;'Données projet'!$A$36,$K$205^A7,IF(A7='Données projet'!$A$36,'Données projet'!$B$36,N6+M7-V6)))</f>
        <v>7.6088411228555524</v>
      </c>
      <c r="O7" s="13">
        <f>N7*VLOOKUP('Données projet'!$B$9,Paramètres!$A$1:$I$89,3,0)*VLOOKUP('Données projet'!$B$9,Paramètres!$A$1:$I$89,5,0)</f>
        <v>4.2731251745956786</v>
      </c>
      <c r="P7" s="13">
        <f t="shared" si="33"/>
        <v>1.6629488467250024</v>
      </c>
      <c r="Q7" s="20">
        <f t="shared" si="2"/>
        <v>10.338662253800186</v>
      </c>
      <c r="R7" s="59">
        <f t="shared" si="0"/>
        <v>303.67199558713349</v>
      </c>
      <c r="S7" s="59">
        <f ca="1">AVERAGE(OFFSET($R$3,0,0,'Données projet'!$E$9+1,1))-AVERAGE(OFFSET($H$3,0,0,'Données projet'!$E$9+1,1))</f>
        <v>164.99145658664128</v>
      </c>
      <c r="T7" s="59">
        <f t="shared" si="34"/>
        <v>354.51323926643181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10.683760683760683</v>
      </c>
      <c r="AI7" s="13">
        <f>IF('Données projet'!$A$62&gt;35,AI6+AH7-AQ6,IF(A7&lt;'Données projet'!$A$62,$AF$205^A7,IF(A7='Données projet'!$A$62,'Données projet'!$B$62,AI6+AH7-AQ6)))</f>
        <v>7.6088411228555524</v>
      </c>
      <c r="AJ7" s="13">
        <f>AI7*VLOOKUP('Données projet'!$B$10,Paramètres!$A$1:$I$89,3,0)*VLOOKUP('Données projet'!$B$10,Paramètres!$A$1:$I$89,5,0)</f>
        <v>3.3472813867666145</v>
      </c>
      <c r="AK7" s="13">
        <f t="shared" si="35"/>
        <v>1.3402015402071483</v>
      </c>
      <c r="AL7" s="20">
        <f t="shared" si="4"/>
        <v>8.1640327644793036</v>
      </c>
      <c r="AM7" s="59">
        <f t="shared" si="5"/>
        <v>301.49736609781263</v>
      </c>
      <c r="AN7" s="59">
        <f ca="1">AVERAGE(OFFSET($AM$3,0,0,'Données projet'!$E$10+1,1))-AVERAGE(OFFSET($H$3,0,0,'Données projet'!$E$10+1,1))</f>
        <v>127.25822594328736</v>
      </c>
      <c r="AO7" s="59">
        <f t="shared" si="36"/>
        <v>273.87580232386563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6">
        <f t="shared" si="1"/>
        <v>300.03752578811759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10.683760683760683</v>
      </c>
      <c r="N8" s="13">
        <f>IF('Données projet'!$A$36&gt;35,N7+M8-V7,IF(A8&lt;'Données projet'!$A$36,$K$205^A8,IF(A8='Données projet'!$A$36,'Données projet'!$B$36,N7+M8-V7)))</f>
        <v>12.637121028196761</v>
      </c>
      <c r="O8" s="13">
        <f>N8*VLOOKUP('Données projet'!$B$9,Paramètres!$A$1:$I$89,3,0)*VLOOKUP('Données projet'!$B$9,Paramètres!$A$1:$I$89,5,0)</f>
        <v>7.097007169435301</v>
      </c>
      <c r="P8" s="13">
        <f t="shared" si="33"/>
        <v>2.6035273868011224</v>
      </c>
      <c r="Q8" s="20">
        <f t="shared" si="2"/>
        <v>16.895097685445105</v>
      </c>
      <c r="R8" s="59">
        <f t="shared" si="0"/>
        <v>310.22843101877839</v>
      </c>
      <c r="S8" s="59">
        <f ca="1">AVERAGE(OFFSET($R$3,0,0,'Données projet'!$E$9+1,1))-AVERAGE(OFFSET($H$3,0,0,'Données projet'!$E$9+1,1))</f>
        <v>164.99145658664128</v>
      </c>
      <c r="T8" s="59">
        <f t="shared" si="34"/>
        <v>354.51323926643181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10.683760683760683</v>
      </c>
      <c r="AI8" s="13">
        <f>IF('Données projet'!$A$62&gt;35,AI7+AH8-AQ7,IF(A8&lt;'Données projet'!$A$62,$AF$205^A8,IF(A8='Données projet'!$A$62,'Données projet'!$B$62,AI7+AH8-AQ7)))</f>
        <v>12.637121028196761</v>
      </c>
      <c r="AJ8" s="13">
        <f>AI8*VLOOKUP('Données projet'!$B$10,Paramètres!$A$1:$I$89,3,0)*VLOOKUP('Données projet'!$B$10,Paramètres!$A$1:$I$89,5,0)</f>
        <v>5.5593222827243185</v>
      </c>
      <c r="AK8" s="13">
        <f t="shared" si="35"/>
        <v>2.0982313560841388</v>
      </c>
      <c r="AL8" s="20">
        <f t="shared" si="4"/>
        <v>13.336905920924728</v>
      </c>
      <c r="AM8" s="59">
        <f t="shared" si="5"/>
        <v>306.67023925425804</v>
      </c>
      <c r="AN8" s="59">
        <f ca="1">AVERAGE(OFFSET($AM$3,0,0,'Données projet'!$E$10+1,1))-AVERAGE(OFFSET($H$3,0,0,'Données projet'!$E$10+1,1))</f>
        <v>127.25822594328736</v>
      </c>
      <c r="AO8" s="59">
        <f t="shared" si="36"/>
        <v>273.87580232386563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6">
        <f t="shared" si="1"/>
        <v>301.3292415520861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10.683760683760683</v>
      </c>
      <c r="N9" s="13">
        <f>IF('Données projet'!$A$36&gt;35,N8+M9-V8,IF(A9&lt;'Données projet'!$A$36,$K$205^A9,IF(A9='Données projet'!$A$36,'Données projet'!$B$36,N8+M9-V8)))</f>
        <v>20.988324674252034</v>
      </c>
      <c r="O9" s="13">
        <f>N9*VLOOKUP('Données projet'!$B$9,Paramètres!$A$1:$I$89,3,0)*VLOOKUP('Données projet'!$B$9,Paramètres!$A$1:$I$89,5,0)</f>
        <v>11.787043137059943</v>
      </c>
      <c r="P9" s="13">
        <f t="shared" si="33"/>
        <v>4.0761054479653529</v>
      </c>
      <c r="Q9" s="20">
        <f t="shared" si="2"/>
        <v>27.628317118919057</v>
      </c>
      <c r="R9" s="59">
        <f t="shared" si="0"/>
        <v>320.96165045225234</v>
      </c>
      <c r="S9" s="59">
        <f ca="1">AVERAGE(OFFSET($R$3,0,0,'Données projet'!$E$9+1,1))-AVERAGE(OFFSET($H$3,0,0,'Données projet'!$E$9+1,1))</f>
        <v>164.99145658664128</v>
      </c>
      <c r="T9" s="59">
        <f t="shared" si="34"/>
        <v>354.51323926643181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10.683760683760683</v>
      </c>
      <c r="AI9" s="13">
        <f>IF('Données projet'!$A$62&gt;35,AI8+AH9-AQ8,IF(A9&lt;'Données projet'!$A$62,$AF$205^A9,IF(A9='Données projet'!$A$62,'Données projet'!$B$62,AI8+AH9-AQ8)))</f>
        <v>20.988324674252034</v>
      </c>
      <c r="AJ9" s="13">
        <f>AI9*VLOOKUP('Données projet'!$B$10,Paramètres!$A$1:$I$89,3,0)*VLOOKUP('Données projet'!$B$10,Paramètres!$A$1:$I$89,5,0)</f>
        <v>9.2331837906969536</v>
      </c>
      <c r="AK9" s="13">
        <f t="shared" si="35"/>
        <v>3.2850095239960697</v>
      </c>
      <c r="AL9" s="20">
        <f t="shared" si="4"/>
        <v>21.802520023090349</v>
      </c>
      <c r="AM9" s="59">
        <f t="shared" si="5"/>
        <v>315.13585335642364</v>
      </c>
      <c r="AN9" s="59">
        <f ca="1">AVERAGE(OFFSET($AM$3,0,0,'Données projet'!$E$10+1,1))-AVERAGE(OFFSET($H$3,0,0,'Données projet'!$E$10+1,1))</f>
        <v>127.25822594328736</v>
      </c>
      <c r="AO9" s="59">
        <f t="shared" si="36"/>
        <v>273.87580232386563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6">
        <f t="shared" si="1"/>
        <v>302.6143780343051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10.683760683760683</v>
      </c>
      <c r="N10" s="13">
        <f>IF('Données projet'!$A$36&gt;35,N9+M10-V9,IF(A10&lt;'Données projet'!$A$36,$K$205^A10,IF(A10='Données projet'!$A$36,'Données projet'!$B$36,N9+M10-V9)))</f>
        <v>34.858396279415452</v>
      </c>
      <c r="O10" s="13">
        <f>N10*VLOOKUP('Données projet'!$B$9,Paramètres!$A$1:$I$89,3,0)*VLOOKUP('Données projet'!$B$9,Paramètres!$A$1:$I$89,5,0)</f>
        <v>19.576475350519718</v>
      </c>
      <c r="P10" s="13">
        <f t="shared" si="33"/>
        <v>6.3815866532315395</v>
      </c>
      <c r="Q10" s="20">
        <f t="shared" si="2"/>
        <v>45.210291323200103</v>
      </c>
      <c r="R10" s="59">
        <f t="shared" si="0"/>
        <v>338.54362465653344</v>
      </c>
      <c r="S10" s="59">
        <f ca="1">AVERAGE(OFFSET($R$3,0,0,'Données projet'!$E$9+1,1))-AVERAGE(OFFSET($H$3,0,0,'Données projet'!$E$9+1,1))</f>
        <v>164.99145658664128</v>
      </c>
      <c r="T10" s="59">
        <f t="shared" si="34"/>
        <v>354.51323926643181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10.683760683760683</v>
      </c>
      <c r="AI10" s="13">
        <f>IF('Données projet'!$A$62&gt;35,AI9+AH10-AQ9,IF(A10&lt;'Données projet'!$A$62,$AF$205^A10,IF(A10='Données projet'!$A$62,'Données projet'!$B$62,AI9+AH10-AQ9)))</f>
        <v>34.858396279415452</v>
      </c>
      <c r="AJ10" s="13">
        <f>AI10*VLOOKUP('Données projet'!$B$10,Paramètres!$A$1:$I$89,3,0)*VLOOKUP('Données projet'!$B$10,Paramètres!$A$1:$I$89,5,0)</f>
        <v>15.334905691240445</v>
      </c>
      <c r="AK10" s="13">
        <f t="shared" si="35"/>
        <v>5.1430398947446472</v>
      </c>
      <c r="AL10" s="20">
        <f t="shared" si="4"/>
        <v>35.665755228924034</v>
      </c>
      <c r="AM10" s="59">
        <f t="shared" si="5"/>
        <v>328.99908856225733</v>
      </c>
      <c r="AN10" s="59">
        <f ca="1">AVERAGE(OFFSET($AM$3,0,0,'Données projet'!$E$10+1,1))-AVERAGE(OFFSET($H$3,0,0,'Données projet'!$E$10+1,1))</f>
        <v>127.25822594328736</v>
      </c>
      <c r="AO10" s="59">
        <f t="shared" si="36"/>
        <v>273.87580232386563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6">
        <f t="shared" si="1"/>
        <v>303.89398357937728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10.683760683760683</v>
      </c>
      <c r="N11" s="13">
        <f>IF('Données projet'!$A$36&gt;35,N10+M11-V10,IF(A11&lt;'Données projet'!$A$36,$K$205^A11,IF(A11='Données projet'!$A$36,'Données projet'!$B$36,N10+M11-V10)))</f>
        <v>57.894463232857746</v>
      </c>
      <c r="O11" s="13">
        <f>N11*VLOOKUP('Données projet'!$B$9,Paramètres!$A$1:$I$89,3,0)*VLOOKUP('Données projet'!$B$9,Paramètres!$A$1:$I$89,5,0)</f>
        <v>32.513530551572913</v>
      </c>
      <c r="P11" s="13">
        <f t="shared" si="33"/>
        <v>9.9910683696937248</v>
      </c>
      <c r="Q11" s="20">
        <f t="shared" si="2"/>
        <v>74.028843121206052</v>
      </c>
      <c r="R11" s="59">
        <f t="shared" si="0"/>
        <v>367.36217645453939</v>
      </c>
      <c r="S11" s="59">
        <f ca="1">AVERAGE(OFFSET($R$3,0,0,'Données projet'!$E$9+1,1))-AVERAGE(OFFSET($H$3,0,0,'Données projet'!$E$9+1,1))</f>
        <v>164.99145658664128</v>
      </c>
      <c r="T11" s="59">
        <f t="shared" si="34"/>
        <v>354.51323926643181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10.683760683760683</v>
      </c>
      <c r="AI11" s="13">
        <f>IF('Données projet'!$A$62&gt;35,AI10+AH11-AQ10,IF(A11&lt;'Données projet'!$A$62,$AF$205^A11,IF(A11='Données projet'!$A$62,'Données projet'!$B$62,AI10+AH11-AQ10)))</f>
        <v>57.894463232857746</v>
      </c>
      <c r="AJ11" s="13">
        <f>AI11*VLOOKUP('Données projet'!$B$10,Paramètres!$A$1:$I$89,3,0)*VLOOKUP('Données projet'!$B$10,Paramètres!$A$1:$I$89,5,0)</f>
        <v>25.468932265398781</v>
      </c>
      <c r="AK11" s="13">
        <f t="shared" si="35"/>
        <v>8.0519886367813989</v>
      </c>
      <c r="AL11" s="20">
        <f t="shared" si="4"/>
        <v>58.382270571297141</v>
      </c>
      <c r="AM11" s="59">
        <f t="shared" si="5"/>
        <v>351.71560390463048</v>
      </c>
      <c r="AN11" s="59">
        <f ca="1">AVERAGE(OFFSET($AM$3,0,0,'Données projet'!$E$10+1,1))-AVERAGE(OFFSET($H$3,0,0,'Données projet'!$E$10+1,1))</f>
        <v>127.25822594328736</v>
      </c>
      <c r="AO11" s="59">
        <f t="shared" si="36"/>
        <v>273.87580232386563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6">
        <f t="shared" si="1"/>
        <v>305.16882873392143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>
        <f>VLOOKUP(A12,'Données projet'!$A$35:$I$55,2,0)</f>
        <v>96.153846153846146</v>
      </c>
      <c r="L12" s="12">
        <f>VLOOKUP(A12,'Données projet'!$A$35:$I$55,9,0)</f>
        <v>10.683760683760683</v>
      </c>
      <c r="M12" s="12">
        <f t="array" ref="M12">INDEX(L:L,MIN(IF(ISNUMBER(L12:L208),ROW(L12:L208),"")))</f>
        <v>10.683760683760683</v>
      </c>
      <c r="N12" s="13">
        <f>IF('Données projet'!$A$36&gt;35,N11+M12-V11,IF(A12&lt;'Données projet'!$A$36,$K$205^A12,IF(A12='Données projet'!$A$36,'Données projet'!$B$36,N11+M12-V11)))</f>
        <v>96.153846153846146</v>
      </c>
      <c r="O12" s="13">
        <f>N12*VLOOKUP('Données projet'!$B$9,Paramètres!$A$1:$I$89,3,0)*VLOOKUP('Données projet'!$B$9,Paramètres!$A$1:$I$89,5,0)</f>
        <v>54</v>
      </c>
      <c r="P12" s="13">
        <f t="shared" si="33"/>
        <v>15.642104791814804</v>
      </c>
      <c r="Q12" s="20">
        <f t="shared" si="2"/>
        <v>121.2933325124108</v>
      </c>
      <c r="R12" s="59">
        <f t="shared" si="0"/>
        <v>414.62666584574413</v>
      </c>
      <c r="S12" s="59">
        <f ca="1">AVERAGE(OFFSET($R$3,0,0,'Données projet'!$E$9+1,1))-AVERAGE(OFFSET($H$3,0,0,'Données projet'!$E$9+1,1))</f>
        <v>164.99145658664128</v>
      </c>
      <c r="T12" s="59">
        <f t="shared" si="34"/>
        <v>354.51323926643181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>
        <f>VLOOKUP(A12,'Données projet'!$A$61:$I$81,2,0)</f>
        <v>96.153846153846146</v>
      </c>
      <c r="AG12" s="12">
        <f>VLOOKUP(A12,'Données projet'!$A$61:$I$81,9,0)</f>
        <v>10.683760683760683</v>
      </c>
      <c r="AH12" s="12">
        <f t="array" ref="AH12">INDEX(AG:AG,MIN(IF(ISNUMBER(AG12:AG208),ROW(AG12:AG208),"")))</f>
        <v>10.683760683760683</v>
      </c>
      <c r="AI12" s="13">
        <f>IF('Données projet'!$A$62&gt;35,AI11+AH12-AQ11,IF(A12&lt;'Données projet'!$A$62,$AF$205^A12,IF(A12='Données projet'!$A$62,'Données projet'!$B$62,AI11+AH12-AQ11)))</f>
        <v>96.153846153846146</v>
      </c>
      <c r="AJ12" s="13">
        <f>AI12*VLOOKUP('Données projet'!$B$10,Paramètres!$A$1:$I$89,3,0)*VLOOKUP('Données projet'!$B$10,Paramètres!$A$1:$I$89,5,0)</f>
        <v>42.29999999999999</v>
      </c>
      <c r="AK12" s="13">
        <f t="shared" si="35"/>
        <v>12.606264453267638</v>
      </c>
      <c r="AL12" s="20">
        <f t="shared" si="4"/>
        <v>95.628410589441103</v>
      </c>
      <c r="AM12" s="59">
        <f t="shared" si="5"/>
        <v>388.96174392277442</v>
      </c>
      <c r="AN12" s="59">
        <f ca="1">AVERAGE(OFFSET($AM$3,0,0,'Données projet'!$E$10+1,1))-AVERAGE(OFFSET($H$3,0,0,'Données projet'!$E$10+1,1))</f>
        <v>127.25822594328736</v>
      </c>
      <c r="AO12" s="59">
        <f t="shared" si="36"/>
        <v>273.87580232386563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6">
        <f t="shared" si="1"/>
        <v>306.43950276659285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35.256410256410255</v>
      </c>
      <c r="N13" s="13">
        <f>IF('Données projet'!$A$36&gt;35,N12+M13-V12,IF(A13&lt;'Données projet'!$A$36,$K$205^A13,IF(A13='Données projet'!$A$36,'Données projet'!$B$36,N12+M13-V12)))</f>
        <v>131.41025641025641</v>
      </c>
      <c r="O13" s="13">
        <f>N13*VLOOKUP('Données projet'!$B$9,Paramètres!$A$1:$I$89,3,0)*VLOOKUP('Données projet'!$B$9,Paramètres!$A$1:$I$89,5,0)</f>
        <v>73.8</v>
      </c>
      <c r="P13" s="13">
        <f t="shared" si="33"/>
        <v>20.614208586552621</v>
      </c>
      <c r="Q13" s="20">
        <f t="shared" si="2"/>
        <v>164.43807995491247</v>
      </c>
      <c r="R13" s="59">
        <f t="shared" si="0"/>
        <v>457.77141328824575</v>
      </c>
      <c r="S13" s="59">
        <f ca="1">AVERAGE(OFFSET($R$3,0,0,'Données projet'!$E$9+1,1))-AVERAGE(OFFSET($H$3,0,0,'Données projet'!$E$9+1,1))</f>
        <v>164.99145658664128</v>
      </c>
      <c r="T13" s="59">
        <f t="shared" si="34"/>
        <v>354.51323926643181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35.256410256410255</v>
      </c>
      <c r="AI13" s="13">
        <f>IF('Données projet'!$A$62&gt;35,AI12+AH13-AQ12,IF(A13&lt;'Données projet'!$A$62,$AF$205^A13,IF(A13='Données projet'!$A$62,'Données projet'!$B$62,AI12+AH13-AQ12)))</f>
        <v>131.41025641025641</v>
      </c>
      <c r="AJ13" s="13">
        <f>AI13*VLOOKUP('Données projet'!$B$10,Paramètres!$A$1:$I$89,3,0)*VLOOKUP('Données projet'!$B$10,Paramètres!$A$1:$I$89,5,0)</f>
        <v>57.81</v>
      </c>
      <c r="AK13" s="13">
        <f t="shared" si="35"/>
        <v>16.613375782579244</v>
      </c>
      <c r="AL13" s="20">
        <f t="shared" si="4"/>
        <v>129.6207128213255</v>
      </c>
      <c r="AM13" s="59">
        <f t="shared" si="5"/>
        <v>422.95404615465884</v>
      </c>
      <c r="AN13" s="59">
        <f ca="1">AVERAGE(OFFSET($AM$3,0,0,'Données projet'!$E$10+1,1))-AVERAGE(OFFSET($H$3,0,0,'Données projet'!$E$10+1,1))</f>
        <v>127.25822594328736</v>
      </c>
      <c r="AO13" s="59">
        <f t="shared" si="36"/>
        <v>273.87580232386563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6">
        <f t="shared" si="1"/>
        <v>307.70647027243518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35.256410256410255</v>
      </c>
      <c r="N14" s="13">
        <f>IF('Données projet'!$A$36&gt;35,N13+M14-V13,IF(A14&lt;'Données projet'!$A$36,$K$205^A14,IF(A14='Données projet'!$A$36,'Données projet'!$B$36,N13+M14-V13)))</f>
        <v>166.66666666666666</v>
      </c>
      <c r="O14" s="13">
        <f>N14*VLOOKUP('Données projet'!$B$9,Paramètres!$A$1:$I$89,3,0)*VLOOKUP('Données projet'!$B$9,Paramètres!$A$1:$I$89,5,0)</f>
        <v>93.6</v>
      </c>
      <c r="P14" s="13">
        <f t="shared" si="33"/>
        <v>25.431466524572937</v>
      </c>
      <c r="Q14" s="20">
        <f t="shared" si="2"/>
        <v>207.31313753029784</v>
      </c>
      <c r="R14" s="59">
        <f t="shared" si="0"/>
        <v>500.64647086363118</v>
      </c>
      <c r="S14" s="59">
        <f ca="1">AVERAGE(OFFSET($R$3,0,0,'Données projet'!$E$9+1,1))-AVERAGE(OFFSET($H$3,0,0,'Données projet'!$E$9+1,1))</f>
        <v>164.99145658664128</v>
      </c>
      <c r="T14" s="59">
        <f t="shared" si="34"/>
        <v>354.51323926643181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35.256410256410255</v>
      </c>
      <c r="AI14" s="13">
        <f>IF('Données projet'!$A$62&gt;35,AI13+AH14-AQ13,IF(A14&lt;'Données projet'!$A$62,$AF$205^A14,IF(A14='Données projet'!$A$62,'Données projet'!$B$62,AI13+AH14-AQ13)))</f>
        <v>166.66666666666666</v>
      </c>
      <c r="AJ14" s="13">
        <f>AI14*VLOOKUP('Données projet'!$B$10,Paramètres!$A$1:$I$89,3,0)*VLOOKUP('Données projet'!$B$10,Paramètres!$A$1:$I$89,5,0)</f>
        <v>73.319999999999993</v>
      </c>
      <c r="AK14" s="13">
        <f t="shared" si="35"/>
        <v>20.495693943372068</v>
      </c>
      <c r="AL14" s="20">
        <f t="shared" si="4"/>
        <v>163.39566695137299</v>
      </c>
      <c r="AM14" s="59">
        <f t="shared" si="5"/>
        <v>456.72900028470633</v>
      </c>
      <c r="AN14" s="59">
        <f ca="1">AVERAGE(OFFSET($AM$3,0,0,'Données projet'!$E$10+1,1))-AVERAGE(OFFSET($H$3,0,0,'Données projet'!$E$10+1,1))</f>
        <v>127.25822594328736</v>
      </c>
      <c r="AO14" s="59">
        <f t="shared" si="36"/>
        <v>273.87580232386563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6">
        <f t="shared" si="1"/>
        <v>308.97010652964002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35.256410256410255</v>
      </c>
      <c r="N15" s="13">
        <f>IF('Données projet'!$A$36&gt;35,N14+M15-V14,IF(A15&lt;'Données projet'!$A$36,$K$205^A15,IF(A15='Données projet'!$A$36,'Données projet'!$B$36,N14+M15-V14)))</f>
        <v>201.92307692307691</v>
      </c>
      <c r="O15" s="13">
        <f>N15*VLOOKUP('Données projet'!$B$9,Paramètres!$A$1:$I$89,3,0)*VLOOKUP('Données projet'!$B$9,Paramètres!$A$1:$I$89,5,0)</f>
        <v>113.39999999999998</v>
      </c>
      <c r="P15" s="13">
        <f t="shared" si="33"/>
        <v>30.130626355122828</v>
      </c>
      <c r="Q15" s="20">
        <f t="shared" si="2"/>
        <v>249.98250756850555</v>
      </c>
      <c r="R15" s="59">
        <f t="shared" si="0"/>
        <v>543.3158409018389</v>
      </c>
      <c r="S15" s="59">
        <f ca="1">AVERAGE(OFFSET($R$3,0,0,'Données projet'!$E$9+1,1))-AVERAGE(OFFSET($H$3,0,0,'Données projet'!$E$9+1,1))</f>
        <v>164.99145658664128</v>
      </c>
      <c r="T15" s="59">
        <f t="shared" si="34"/>
        <v>354.51323926643181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35.256410256410255</v>
      </c>
      <c r="AI15" s="13">
        <f>IF('Données projet'!$A$62&gt;35,AI14+AH15-AQ14,IF(A15&lt;'Données projet'!$A$62,$AF$205^A15,IF(A15='Données projet'!$A$62,'Données projet'!$B$62,AI14+AH15-AQ14)))</f>
        <v>201.92307692307691</v>
      </c>
      <c r="AJ15" s="13">
        <f>AI15*VLOOKUP('Données projet'!$B$10,Paramètres!$A$1:$I$89,3,0)*VLOOKUP('Données projet'!$B$10,Paramètres!$A$1:$I$89,5,0)</f>
        <v>88.829999999999984</v>
      </c>
      <c r="AK15" s="13">
        <f t="shared" si="35"/>
        <v>24.282834633228756</v>
      </c>
      <c r="AL15" s="20">
        <f t="shared" si="4"/>
        <v>197.00485365287338</v>
      </c>
      <c r="AM15" s="59">
        <f t="shared" si="5"/>
        <v>490.33818698620667</v>
      </c>
      <c r="AN15" s="59">
        <f ca="1">AVERAGE(OFFSET($AM$3,0,0,'Données projet'!$E$10+1,1))-AVERAGE(OFFSET($H$3,0,0,'Données projet'!$E$10+1,1))</f>
        <v>127.25822594328736</v>
      </c>
      <c r="AO15" s="59">
        <f t="shared" si="36"/>
        <v>273.87580232386563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6">
        <f t="shared" si="1"/>
        <v>310.23072070337594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35.256410256410255</v>
      </c>
      <c r="N16" s="13">
        <f>IF('Données projet'!$A$36&gt;35,N15+M16-V15,IF(A16&lt;'Données projet'!$A$36,$K$205^A16,IF(A16='Données projet'!$A$36,'Données projet'!$B$36,N15+M16-V15)))</f>
        <v>237.17948717948715</v>
      </c>
      <c r="O16" s="13">
        <f>N16*VLOOKUP('Données projet'!$B$9,Paramètres!$A$1:$I$89,3,0)*VLOOKUP('Données projet'!$B$9,Paramètres!$A$1:$I$89,5,0)</f>
        <v>133.19999999999999</v>
      </c>
      <c r="P16" s="13">
        <f t="shared" si="33"/>
        <v>34.734735643962274</v>
      </c>
      <c r="Q16" s="20">
        <f t="shared" si="2"/>
        <v>292.48633124656754</v>
      </c>
      <c r="R16" s="59">
        <f t="shared" si="0"/>
        <v>585.81966457990086</v>
      </c>
      <c r="S16" s="59">
        <f ca="1">AVERAGE(OFFSET($R$3,0,0,'Données projet'!$E$9+1,1))-AVERAGE(OFFSET($H$3,0,0,'Données projet'!$E$9+1,1))</f>
        <v>164.99145658664128</v>
      </c>
      <c r="T16" s="59">
        <f t="shared" si="34"/>
        <v>354.51323926643181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35.256410256410255</v>
      </c>
      <c r="AI16" s="13">
        <f>IF('Données projet'!$A$62&gt;35,AI15+AH16-AQ15,IF(A16&lt;'Données projet'!$A$62,$AF$205^A16,IF(A16='Données projet'!$A$62,'Données projet'!$B$62,AI15+AH16-AQ15)))</f>
        <v>237.17948717948715</v>
      </c>
      <c r="AJ16" s="13">
        <f>AI16*VLOOKUP('Données projet'!$B$10,Paramètres!$A$1:$I$89,3,0)*VLOOKUP('Données projet'!$B$10,Paramètres!$A$1:$I$89,5,0)</f>
        <v>104.33999999999999</v>
      </c>
      <c r="AK16" s="13">
        <f t="shared" si="35"/>
        <v>27.993372315934199</v>
      </c>
      <c r="AL16" s="20">
        <f t="shared" si="4"/>
        <v>230.48062345025201</v>
      </c>
      <c r="AM16" s="59">
        <f t="shared" si="5"/>
        <v>523.81395678358535</v>
      </c>
      <c r="AN16" s="59">
        <f ca="1">AVERAGE(OFFSET($AM$3,0,0,'Données projet'!$E$10+1,1))-AVERAGE(OFFSET($H$3,0,0,'Données projet'!$E$10+1,1))</f>
        <v>127.25822594328736</v>
      </c>
      <c r="AO16" s="59">
        <f t="shared" si="36"/>
        <v>273.87580232386563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6">
        <f t="shared" si="1"/>
        <v>311.4885716930055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272.4358974358974</v>
      </c>
      <c r="L17" s="12">
        <f>VLOOKUP(A17,'Données projet'!$A$35:$I$55,9,0)</f>
        <v>35.256410256410255</v>
      </c>
      <c r="M17" s="12">
        <f t="array" ref="M17">INDEX(L:L,MIN(IF(ISNUMBER(L17:L213),ROW(L17:L213),"")))</f>
        <v>35.256410256410255</v>
      </c>
      <c r="N17" s="13">
        <f>IF('Données projet'!$A$36&gt;35,N16+M17-V16,IF(A17&lt;'Données projet'!$A$36,$K$205^A17,IF(A17='Données projet'!$A$36,'Données projet'!$B$36,N16+M17-V16)))</f>
        <v>272.4358974358974</v>
      </c>
      <c r="O17" s="13">
        <f>N17*VLOOKUP('Données projet'!$B$9,Paramètres!$A$1:$I$89,3,0)*VLOOKUP('Données projet'!$B$9,Paramètres!$A$1:$I$89,5,0)</f>
        <v>153</v>
      </c>
      <c r="P17" s="13">
        <f t="shared" si="33"/>
        <v>39.259558660956714</v>
      </c>
      <c r="Q17" s="20">
        <f t="shared" si="2"/>
        <v>334.85206466783291</v>
      </c>
      <c r="R17" s="59">
        <f t="shared" si="0"/>
        <v>628.18539800116628</v>
      </c>
      <c r="S17" s="59">
        <f ca="1">AVERAGE(OFFSET($R$3,0,0,'Données projet'!$E$9+1,1))-AVERAGE(OFFSET($H$3,0,0,'Données projet'!$E$9+1,1))</f>
        <v>164.99145658664128</v>
      </c>
      <c r="T17" s="59">
        <f t="shared" si="34"/>
        <v>354.51323926643181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>
        <f>VLOOKUP(A17,'Données projet'!$A$61:$I$81,2,0)</f>
        <v>272.4358974358974</v>
      </c>
      <c r="AG17" s="12">
        <f>VLOOKUP(A17,'Données projet'!$A$61:$I$81,9,0)</f>
        <v>35.256410256410255</v>
      </c>
      <c r="AH17" s="12">
        <f t="array" ref="AH17">INDEX(AG:AG,MIN(IF(ISNUMBER(AG17:AG213),ROW(AG17:AG213),"")))</f>
        <v>35.256410256410255</v>
      </c>
      <c r="AI17" s="13">
        <f>IF('Données projet'!$A$62&gt;35,AI16+AH17-AQ16,IF(A17&lt;'Données projet'!$A$62,$AF$205^A17,IF(A17='Données projet'!$A$62,'Données projet'!$B$62,AI16+AH17-AQ16)))</f>
        <v>272.4358974358974</v>
      </c>
      <c r="AJ17" s="13">
        <f>AI17*VLOOKUP('Données projet'!$B$10,Paramètres!$A$1:$I$89,3,0)*VLOOKUP('Données projet'!$B$10,Paramètres!$A$1:$I$89,5,0)</f>
        <v>119.84999999999998</v>
      </c>
      <c r="AK17" s="13">
        <f t="shared" si="35"/>
        <v>31.64001171105657</v>
      </c>
      <c r="AL17" s="20">
        <f t="shared" si="4"/>
        <v>263.84510373009016</v>
      </c>
      <c r="AM17" s="59">
        <f t="shared" si="5"/>
        <v>557.17843706342342</v>
      </c>
      <c r="AN17" s="59">
        <f ca="1">AVERAGE(OFFSET($AM$3,0,0,'Données projet'!$E$10+1,1))-AVERAGE(OFFSET($H$3,0,0,'Données projet'!$E$10+1,1))</f>
        <v>127.25822594328736</v>
      </c>
      <c r="AO17" s="59">
        <f t="shared" si="36"/>
        <v>273.87580232386563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6">
        <f t="shared" si="1"/>
        <v>312.74387931648818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7.0512820512820555</v>
      </c>
      <c r="N18" s="13">
        <f>IF('Données projet'!$A$36&gt;35,N17+M18-V17,IF(A18&lt;'Données projet'!$A$36,$K$205^A18,IF(A18='Données projet'!$A$36,'Données projet'!$B$36,N17+M18-V17)))</f>
        <v>279.48717948717945</v>
      </c>
      <c r="O18" s="13">
        <f>N18*VLOOKUP('Données projet'!$B$9,Paramètres!$A$1:$I$89,3,0)*VLOOKUP('Données projet'!$B$9,Paramètres!$A$1:$I$89,5,0)</f>
        <v>156.95999999999998</v>
      </c>
      <c r="P18" s="13">
        <f t="shared" si="33"/>
        <v>40.156071279961651</v>
      </c>
      <c r="Q18" s="20">
        <f t="shared" si="2"/>
        <v>343.31049081259988</v>
      </c>
      <c r="R18" s="59">
        <f t="shared" si="0"/>
        <v>636.64382414593319</v>
      </c>
      <c r="S18" s="59">
        <f ca="1">AVERAGE(OFFSET($R$3,0,0,'Données projet'!$E$9+1,1))-AVERAGE(OFFSET($H$3,0,0,'Données projet'!$E$9+1,1))</f>
        <v>164.99145658664128</v>
      </c>
      <c r="T18" s="59">
        <f t="shared" si="34"/>
        <v>354.51323926643181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7.0512820512820555</v>
      </c>
      <c r="AI18" s="13">
        <f>IF('Données projet'!$A$62&gt;35,AI17+AH18-AQ17,IF(A18&lt;'Données projet'!$A$62,$AF$205^A18,IF(A18='Données projet'!$A$62,'Données projet'!$B$62,AI17+AH18-AQ17)))</f>
        <v>279.48717948717945</v>
      </c>
      <c r="AJ18" s="13">
        <f>AI18*VLOOKUP('Données projet'!$B$10,Paramètres!$A$1:$I$89,3,0)*VLOOKUP('Données projet'!$B$10,Paramètres!$A$1:$I$89,5,0)</f>
        <v>122.95199999999998</v>
      </c>
      <c r="AK18" s="13">
        <f t="shared" si="35"/>
        <v>32.36252797797107</v>
      </c>
      <c r="AL18" s="20">
        <f t="shared" si="4"/>
        <v>270.50613622829962</v>
      </c>
      <c r="AM18" s="59">
        <f t="shared" si="5"/>
        <v>563.839469561633</v>
      </c>
      <c r="AN18" s="59">
        <f ca="1">AVERAGE(OFFSET($AM$3,0,0,'Données projet'!$E$10+1,1))-AVERAGE(OFFSET($H$3,0,0,'Données projet'!$E$10+1,1))</f>
        <v>127.25822594328736</v>
      </c>
      <c r="AO18" s="59">
        <f t="shared" si="36"/>
        <v>273.87580232386563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6">
        <f t="shared" si="1"/>
        <v>313.99683242457326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7.0512820512820555</v>
      </c>
      <c r="N19" s="13">
        <f>IF('Données projet'!$A$36&gt;35,N18+M19-V18,IF(A19&lt;'Données projet'!$A$36,$K$205^A19,IF(A19='Données projet'!$A$36,'Données projet'!$B$36,N18+M19-V18)))</f>
        <v>286.53846153846149</v>
      </c>
      <c r="O19" s="13">
        <f>N19*VLOOKUP('Données projet'!$B$9,Paramètres!$A$1:$I$89,3,0)*VLOOKUP('Données projet'!$B$9,Paramètres!$A$1:$I$89,5,0)</f>
        <v>160.91999999999996</v>
      </c>
      <c r="P19" s="13">
        <f t="shared" si="33"/>
        <v>41.049954680121139</v>
      </c>
      <c r="Q19" s="20">
        <f t="shared" si="2"/>
        <v>351.7643377345442</v>
      </c>
      <c r="R19" s="59">
        <f t="shared" si="0"/>
        <v>645.09767106787751</v>
      </c>
      <c r="S19" s="59">
        <f ca="1">AVERAGE(OFFSET($R$3,0,0,'Données projet'!$E$9+1,1))-AVERAGE(OFFSET($H$3,0,0,'Données projet'!$E$9+1,1))</f>
        <v>164.99145658664128</v>
      </c>
      <c r="T19" s="59">
        <f t="shared" si="34"/>
        <v>354.51323926643181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7.0512820512820555</v>
      </c>
      <c r="AI19" s="13">
        <f>IF('Données projet'!$A$62&gt;35,AI18+AH19-AQ18,IF(A19&lt;'Données projet'!$A$62,$AF$205^A19,IF(A19='Données projet'!$A$62,'Données projet'!$B$62,AI18+AH19-AQ18)))</f>
        <v>286.53846153846149</v>
      </c>
      <c r="AJ19" s="13">
        <f>AI19*VLOOKUP('Données projet'!$B$10,Paramètres!$A$1:$I$89,3,0)*VLOOKUP('Données projet'!$B$10,Paramètres!$A$1:$I$89,5,0)</f>
        <v>126.05399999999997</v>
      </c>
      <c r="AK19" s="13">
        <f t="shared" si="35"/>
        <v>33.082925308303082</v>
      </c>
      <c r="AL19" s="20">
        <f t="shared" si="4"/>
        <v>277.16347824529447</v>
      </c>
      <c r="AM19" s="59">
        <f t="shared" si="5"/>
        <v>570.49681157862778</v>
      </c>
      <c r="AN19" s="59">
        <f ca="1">AVERAGE(OFFSET($AM$3,0,0,'Données projet'!$E$10+1,1))-AVERAGE(OFFSET($H$3,0,0,'Données projet'!$E$10+1,1))</f>
        <v>127.25822594328736</v>
      </c>
      <c r="AO19" s="59">
        <f t="shared" si="36"/>
        <v>273.87580232386563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6">
        <f t="shared" si="1"/>
        <v>315.24759492743152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7.0512820512820555</v>
      </c>
      <c r="N20" s="13">
        <f>IF('Données projet'!$A$36&gt;35,N19+M20-V19,IF(A20&lt;'Données projet'!$A$36,$K$205^A20,IF(A20='Données projet'!$A$36,'Données projet'!$B$36,N19+M20-V19)))</f>
        <v>293.58974358974353</v>
      </c>
      <c r="O20" s="13">
        <f>N20*VLOOKUP('Données projet'!$B$9,Paramètres!$A$1:$I$89,3,0)*VLOOKUP('Données projet'!$B$9,Paramètres!$A$1:$I$89,5,0)</f>
        <v>164.87999999999997</v>
      </c>
      <c r="P20" s="13">
        <f t="shared" si="33"/>
        <v>41.941281005156512</v>
      </c>
      <c r="Q20" s="20">
        <f t="shared" si="2"/>
        <v>360.21373108398092</v>
      </c>
      <c r="R20" s="59">
        <f t="shared" si="0"/>
        <v>653.54706441731423</v>
      </c>
      <c r="S20" s="59">
        <f ca="1">AVERAGE(OFFSET($R$3,0,0,'Données projet'!$E$9+1,1))-AVERAGE(OFFSET($H$3,0,0,'Données projet'!$E$9+1,1))</f>
        <v>164.99145658664128</v>
      </c>
      <c r="T20" s="59">
        <f t="shared" si="34"/>
        <v>354.51323926643181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7.0512820512820555</v>
      </c>
      <c r="AI20" s="13">
        <f>IF('Données projet'!$A$62&gt;35,AI19+AH20-AQ19,IF(A20&lt;'Données projet'!$A$62,$AF$205^A20,IF(A20='Données projet'!$A$62,'Données projet'!$B$62,AI19+AH20-AQ19)))</f>
        <v>293.58974358974353</v>
      </c>
      <c r="AJ20" s="13">
        <f>AI20*VLOOKUP('Données projet'!$B$10,Paramètres!$A$1:$I$89,3,0)*VLOOKUP('Données projet'!$B$10,Paramètres!$A$1:$I$89,5,0)</f>
        <v>129.15599999999998</v>
      </c>
      <c r="AK20" s="13">
        <f t="shared" si="35"/>
        <v>33.801261844025234</v>
      </c>
      <c r="AL20" s="20">
        <f t="shared" si="4"/>
        <v>283.81723104501049</v>
      </c>
      <c r="AM20" s="59">
        <f t="shared" si="5"/>
        <v>577.1505643783438</v>
      </c>
      <c r="AN20" s="59">
        <f ca="1">AVERAGE(OFFSET($AM$3,0,0,'Données projet'!$E$10+1,1))-AVERAGE(OFFSET($H$3,0,0,'Données projet'!$E$10+1,1))</f>
        <v>127.25822594328736</v>
      </c>
      <c r="AO20" s="59">
        <f t="shared" si="36"/>
        <v>273.87580232386563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6">
        <f t="shared" si="1"/>
        <v>316.49631036234257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7.0512820512820555</v>
      </c>
      <c r="N21" s="13">
        <f>IF('Données projet'!$A$36&gt;35,N20+M21-V20,IF(A21&lt;'Données projet'!$A$36,$K$205^A21,IF(A21='Données projet'!$A$36,'Données projet'!$B$36,N20+M21-V20)))</f>
        <v>300.64102564102558</v>
      </c>
      <c r="O21" s="13">
        <f>N21*VLOOKUP('Données projet'!$B$9,Paramètres!$A$1:$I$89,3,0)*VLOOKUP('Données projet'!$B$9,Paramètres!$A$1:$I$89,5,0)</f>
        <v>168.83999999999995</v>
      </c>
      <c r="P21" s="13">
        <f t="shared" si="33"/>
        <v>42.830118735743163</v>
      </c>
      <c r="Q21" s="20">
        <f t="shared" si="2"/>
        <v>368.65879013141921</v>
      </c>
      <c r="R21" s="59">
        <f t="shared" si="0"/>
        <v>661.99212346475247</v>
      </c>
      <c r="S21" s="59">
        <f ca="1">AVERAGE(OFFSET($R$3,0,0,'Données projet'!$E$9+1,1))-AVERAGE(OFFSET($H$3,0,0,'Données projet'!$E$9+1,1))</f>
        <v>164.99145658664128</v>
      </c>
      <c r="T21" s="59">
        <f t="shared" si="34"/>
        <v>354.51323926643181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7.0512820512820555</v>
      </c>
      <c r="AI21" s="13">
        <f>IF('Données projet'!$A$62&gt;35,AI20+AH21-AQ20,IF(A21&lt;'Données projet'!$A$62,$AF$205^A21,IF(A21='Données projet'!$A$62,'Données projet'!$B$62,AI20+AH21-AQ20)))</f>
        <v>300.64102564102558</v>
      </c>
      <c r="AJ21" s="13">
        <f>AI21*VLOOKUP('Données projet'!$B$10,Paramètres!$A$1:$I$89,3,0)*VLOOKUP('Données projet'!$B$10,Paramètres!$A$1:$I$89,5,0)</f>
        <v>132.25799999999998</v>
      </c>
      <c r="AK21" s="13">
        <f t="shared" si="35"/>
        <v>34.517592774993126</v>
      </c>
      <c r="AL21" s="20">
        <f t="shared" si="4"/>
        <v>290.46749074977964</v>
      </c>
      <c r="AM21" s="59">
        <f t="shared" si="5"/>
        <v>583.80082408311296</v>
      </c>
      <c r="AN21" s="59">
        <f ca="1">AVERAGE(OFFSET($AM$3,0,0,'Données projet'!$E$10+1,1))-AVERAGE(OFFSET($H$3,0,0,'Données projet'!$E$10+1,1))</f>
        <v>127.25822594328736</v>
      </c>
      <c r="AO21" s="59">
        <f t="shared" si="36"/>
        <v>273.87580232386563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6">
        <f t="shared" si="1"/>
        <v>317.74310541723986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307.69230769230768</v>
      </c>
      <c r="L22" s="12">
        <f>VLOOKUP(A22,'Données projet'!$A$35:$I$55,9,0)</f>
        <v>7.0512820512820555</v>
      </c>
      <c r="M22" s="12">
        <f t="array" ref="M22">INDEX(L:L,MIN(IF(ISNUMBER(L22:L218),ROW(L22:L218),"")))</f>
        <v>7.0512820512820555</v>
      </c>
      <c r="N22" s="13">
        <f>IF('Données projet'!$A$36&gt;35,N21+M22-V21,IF(A22&lt;'Données projet'!$A$36,$K$205^A22,IF(A22='Données projet'!$A$36,'Données projet'!$B$36,N21+M22-V21)))</f>
        <v>307.69230769230762</v>
      </c>
      <c r="O22" s="13">
        <f>N22*VLOOKUP('Données projet'!$B$9,Paramètres!$A$1:$I$89,3,0)*VLOOKUP('Données projet'!$B$9,Paramètres!$A$1:$I$89,5,0)</f>
        <v>172.79999999999995</v>
      </c>
      <c r="P22" s="13">
        <f t="shared" si="33"/>
        <v>43.716532956985716</v>
      </c>
      <c r="Q22" s="20">
        <f t="shared" si="2"/>
        <v>377.09962823341669</v>
      </c>
      <c r="R22" s="59">
        <f t="shared" si="0"/>
        <v>670.43296156675001</v>
      </c>
      <c r="S22" s="59">
        <f ca="1">AVERAGE(OFFSET($R$3,0,0,'Données projet'!$E$9+1,1))-AVERAGE(OFFSET($H$3,0,0,'Données projet'!$E$9+1,1))</f>
        <v>164.99145658664128</v>
      </c>
      <c r="T22" s="59">
        <f t="shared" si="34"/>
        <v>354.51323926643181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307.69230769230768</v>
      </c>
      <c r="AG22" s="12">
        <f>VLOOKUP(A22,'Données projet'!$A$61:$I$81,9,0)</f>
        <v>7.0512820512820555</v>
      </c>
      <c r="AH22" s="12">
        <f t="array" ref="AH22">INDEX(AG:AG,MIN(IF(ISNUMBER(AG22:AG218),ROW(AG22:AG218),"")))</f>
        <v>7.0512820512820555</v>
      </c>
      <c r="AI22" s="13">
        <f>IF('Données projet'!$A$62&gt;35,AI21+AH22-AQ21,IF(A22&lt;'Données projet'!$A$62,$AF$205^A22,IF(A22='Données projet'!$A$62,'Données projet'!$B$62,AI21+AH22-AQ21)))</f>
        <v>307.69230769230762</v>
      </c>
      <c r="AJ22" s="13">
        <f>AI22*VLOOKUP('Données projet'!$B$10,Paramètres!$A$1:$I$89,3,0)*VLOOKUP('Données projet'!$B$10,Paramètres!$A$1:$I$89,5,0)</f>
        <v>135.35999999999996</v>
      </c>
      <c r="AK22" s="13">
        <f t="shared" si="35"/>
        <v>35.231970554508308</v>
      </c>
      <c r="AL22" s="20">
        <f t="shared" si="4"/>
        <v>297.11434871576853</v>
      </c>
      <c r="AM22" s="59">
        <f t="shared" si="5"/>
        <v>590.44768204910179</v>
      </c>
      <c r="AN22" s="59">
        <f ca="1">AVERAGE(OFFSET($AM$3,0,0,'Données projet'!$E$10+1,1))-AVERAGE(OFFSET($H$3,0,0,'Données projet'!$E$10+1,1))</f>
        <v>127.25822594328736</v>
      </c>
      <c r="AO22" s="59">
        <f t="shared" si="36"/>
        <v>273.87580232386563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6">
        <f t="shared" si="1"/>
        <v>318.98809269129538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310.25641025641022</v>
      </c>
      <c r="L23" s="12">
        <f>VLOOKUP(A23,'Données projet'!$A$35:$I$55,9,0)</f>
        <v>2.5641025641025408</v>
      </c>
      <c r="M23" s="12">
        <f t="array" ref="M23">INDEX(L:L,MIN(IF(ISNUMBER(L23:L219),ROW(L23:L219),"")))</f>
        <v>2.5641025641025408</v>
      </c>
      <c r="N23" s="13">
        <f>IF('Données projet'!$A$36&gt;35,N22+M23-V22,IF(A23&lt;'Données projet'!$A$36,$K$205^A23,IF(A23='Données projet'!$A$36,'Données projet'!$B$36,N22+M23-V22)))</f>
        <v>310.25641025641016</v>
      </c>
      <c r="O23" s="13">
        <f>N23*VLOOKUP('Données projet'!$B$9,Paramètres!$A$1:$I$89,3,0)*VLOOKUP('Données projet'!$B$9,Paramètres!$A$1:$I$89,5,0)</f>
        <v>174.23999999999995</v>
      </c>
      <c r="P23" s="13">
        <f t="shared" si="33"/>
        <v>44.038276722140118</v>
      </c>
      <c r="Q23" s="20">
        <f t="shared" si="2"/>
        <v>380.16799862439393</v>
      </c>
      <c r="R23" s="59">
        <f t="shared" si="0"/>
        <v>673.50133195772719</v>
      </c>
      <c r="S23" s="59">
        <f ca="1">AVERAGE(OFFSET($R$3,0,0,'Données projet'!$E$9+1,1))-AVERAGE(OFFSET($H$3,0,0,'Données projet'!$E$9+1,1))</f>
        <v>164.99145658664128</v>
      </c>
      <c r="T23" s="59">
        <f t="shared" si="34"/>
        <v>354.51323926643181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310.25641025641022</v>
      </c>
      <c r="W23" s="16">
        <f>IF(ISNA(VLOOKUP(A23,'Données projet'!$A$35:$I$55,5,0)),0%,VLOOKUP(A23,'Données projet'!$A$35:$I$55,5,0)*VLOOKUP('Données projet'!$B$9,Paramètres!$A$1:$I$89,7,0))</f>
        <v>0.46199999999999997</v>
      </c>
      <c r="X23" s="16">
        <f>IF(ISNA(VLOOKUP(A23,'Données projet'!$A$35:$I$55,6,0)),0%,VLOOKUP(A23,'Données projet'!$A$35:$I$55,6,0)*VLOOKUP('Données projet'!$B$9,Paramètres!$A$1:$I$89,7,0))</f>
        <v>0.126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88.989127425577394</v>
      </c>
      <c r="AA23" s="21">
        <f>EXP(-LN(2)/25)*AA22+(1-EXP(-LN(2)/25))/(LN(2)/25)*Calculateur!V23*Calculateur!X23*VLOOKUP('Données projet'!$B$9,Paramètres!$A$1:$I$89,3,0)*0.475*44/12</f>
        <v>24.174202724560104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113.1633301501375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310.25641025641022</v>
      </c>
      <c r="AG23" s="12">
        <f>VLOOKUP(A23,'Données projet'!$A$61:$I$81,9,0)</f>
        <v>2.5641025641025408</v>
      </c>
      <c r="AH23" s="12">
        <f t="array" ref="AH23">INDEX(AG:AG,MIN(IF(ISNUMBER(AG23:AG219),ROW(AG23:AG219),"")))</f>
        <v>2.5641025641025408</v>
      </c>
      <c r="AI23" s="13">
        <f>IF('Données projet'!$A$62&gt;35,AI22+AH23-AQ22,IF(A23&lt;'Données projet'!$A$62,$AF$205^A23,IF(A23='Données projet'!$A$62,'Données projet'!$B$62,AI22+AH23-AQ22)))</f>
        <v>310.25641025641016</v>
      </c>
      <c r="AJ23" s="13">
        <f>AI23*VLOOKUP('Données projet'!$B$10,Paramètres!$A$1:$I$89,3,0)*VLOOKUP('Données projet'!$B$10,Paramètres!$A$1:$I$89,5,0)</f>
        <v>136.48799999999997</v>
      </c>
      <c r="AK23" s="13">
        <f t="shared" si="35"/>
        <v>35.491269865164305</v>
      </c>
      <c r="AL23" s="20">
        <f t="shared" si="4"/>
        <v>299.53056168182775</v>
      </c>
      <c r="AM23" s="59">
        <f t="shared" si="5"/>
        <v>592.86389501516101</v>
      </c>
      <c r="AN23" s="59">
        <f ca="1">AVERAGE(OFFSET($AM$3,0,0,'Données projet'!$E$10+1,1))-AVERAGE(OFFSET($H$3,0,0,'Données projet'!$E$10+1,1))</f>
        <v>127.25822594328736</v>
      </c>
      <c r="AO23" s="59">
        <f t="shared" si="36"/>
        <v>273.87580232386563</v>
      </c>
      <c r="AP23" s="15" t="str">
        <f>IF(ISNA(VLOOKUP(A23,'Données projet'!$A$61:$I$81,3,0)),0,VLOOKUP(A23,'Données projet'!$A$61:$I$81,3,0))</f>
        <v>CR</v>
      </c>
      <c r="AQ23" s="15">
        <f>IF(ISNA(VLOOKUP(A23,'Données projet'!$A$61:$I$81,4,0)),0,VLOOKUP(A23,'Données projet'!$A$61:$I$81,4,0))</f>
        <v>310.25641025641022</v>
      </c>
      <c r="AR23" s="16">
        <f>IF(ISNA(VLOOKUP(A23,'Données projet'!$A$61:$I$81,5,0)),0%,VLOOKUP(A23,'Données projet'!$A$61:$I$81,5,0)*VLOOKUP('Données projet'!$B$10,Paramètres!$A$1:$I$89,7,0))</f>
        <v>0.46199999999999997</v>
      </c>
      <c r="AS23" s="16">
        <f>IF(ISNA(VLOOKUP(A23,'Données projet'!$A$61:$I$81,6,0)),0%,VLOOKUP(A23,'Données projet'!$A$61:$I$81,6,0)*VLOOKUP('Données projet'!$B$10,Paramètres!$A$1:$I$89,7,0))</f>
        <v>0.126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69.708149816702274</v>
      </c>
      <c r="AV23" s="21">
        <f>EXP(-LN(2)/25)*AV22+(1-EXP(-LN(2)/25))/(LN(2)/25)*Calculateur!AQ23*Calculateur!AS23*VLOOKUP('Données projet'!$B$10,Paramètres!$A$1:$I$89,3,0)*0.475*44/12</f>
        <v>18.936458800905413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88.644608617607688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6">
        <f t="shared" si="1"/>
        <v>320.23137288769698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-5.6843418860808015E-14</v>
      </c>
      <c r="O24" s="13">
        <f>N24*VLOOKUP('Données projet'!$B$9,Paramètres!$A$1:$I$89,3,0)*VLOOKUP('Données projet'!$B$9,Paramètres!$A$1:$I$89,5,0)</f>
        <v>-3.192326403222978E-14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164.99145658664128</v>
      </c>
      <c r="T24" s="59">
        <f t="shared" si="34"/>
        <v>354.51323926643181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87.244104914770048</v>
      </c>
      <c r="AA24" s="21">
        <f>EXP(-LN(2)/25)*AA23+(1-EXP(-LN(2)/25))/(LN(2)/25)*Calculateur!V24*Calculateur!X24*VLOOKUP('Données projet'!$B$9,Paramètres!$A$1:$I$89,3,0)*0.475*44/12</f>
        <v>23.513157879790938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110.75726279456099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-5.6843418860808015E-14</v>
      </c>
      <c r="AJ24" s="13">
        <f>AI24*VLOOKUP('Données projet'!$B$10,Paramètres!$A$1:$I$89,3,0)*VLOOKUP('Données projet'!$B$10,Paramètres!$A$1:$I$89,5,0)</f>
        <v>-2.5006556825246661E-14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127.25822594328736</v>
      </c>
      <c r="AO24" s="59">
        <f t="shared" si="36"/>
        <v>273.87580232386563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68.341215516569846</v>
      </c>
      <c r="AV24" s="21">
        <f>EXP(-LN(2)/25)*AV23+(1-EXP(-LN(2)/25))/(LN(2)/25)*Calculateur!AQ24*Calculateur!AS24*VLOOKUP('Données projet'!$B$10,Paramètres!$A$1:$I$89,3,0)*0.475*44/12</f>
        <v>18.418640339169567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86.759855855739417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6">
        <f t="shared" si="1"/>
        <v>321.47303657691953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-5.6843418860808015E-14</v>
      </c>
      <c r="O25" s="13">
        <f>N25*VLOOKUP('Données projet'!$B$9,Paramètres!$A$1:$I$89,3,0)*VLOOKUP('Données projet'!$B$9,Paramètres!$A$1:$I$89,5,0)</f>
        <v>-3.192326403222978E-14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164.99145658664128</v>
      </c>
      <c r="T25" s="59">
        <f t="shared" si="34"/>
        <v>354.51323926643181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85.533301231040994</v>
      </c>
      <c r="AA25" s="21">
        <f>EXP(-LN(2)/25)*AA24+(1-EXP(-LN(2)/25))/(LN(2)/25)*Calculateur!V25*Calculateur!X25*VLOOKUP('Données projet'!$B$9,Paramètres!$A$1:$I$89,3,0)*0.475*44/12</f>
        <v>22.870189341064822</v>
      </c>
      <c r="AB25" s="21">
        <f>EXP(-LN(2)/2)*AB24+(1-EXP(-LN(2)/2))/(LN(2)/2)*V25*Y25*VLOOKUP('Données projet'!$B$9,Paramètres!$A$1:$I$89,3,0)*0.475*44/12</f>
        <v>0</v>
      </c>
      <c r="AC25" s="22">
        <f t="shared" si="3"/>
        <v>108.40349057210582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-5.6843418860808015E-14</v>
      </c>
      <c r="AJ25" s="13">
        <f>AI25*VLOOKUP('Données projet'!$B$10,Paramètres!$A$1:$I$89,3,0)*VLOOKUP('Données projet'!$B$10,Paramètres!$A$1:$I$89,5,0)</f>
        <v>-2.5006556825246661E-14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127.25822594328736</v>
      </c>
      <c r="AO25" s="59">
        <f t="shared" si="36"/>
        <v>273.87580232386563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67.001085964315422</v>
      </c>
      <c r="AV25" s="21">
        <f>EXP(-LN(2)/25)*AV24+(1-EXP(-LN(2)/25))/(LN(2)/25)*Calculateur!AQ25*Calculateur!AS25*VLOOKUP('Données projet'!$B$10,Paramètres!$A$1:$I$89,3,0)*0.475*44/12</f>
        <v>17.914981650500778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84.9160676148162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6">
        <f t="shared" si="1"/>
        <v>322.71316563033918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-5.6843418860808015E-14</v>
      </c>
      <c r="O26" s="13">
        <f>N26*VLOOKUP('Données projet'!$B$9,Paramètres!$A$1:$I$89,3,0)*VLOOKUP('Données projet'!$B$9,Paramètres!$A$1:$I$89,5,0)</f>
        <v>-3.192326403222978E-14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164.99145658664128</v>
      </c>
      <c r="T26" s="59">
        <f t="shared" si="34"/>
        <v>354.51323926643181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83.856045364062652</v>
      </c>
      <c r="AA26" s="21">
        <f>EXP(-LN(2)/25)*AA25+(1-EXP(-LN(2)/25))/(LN(2)/25)*Calculateur!V26*Calculateur!X26*VLOOKUP('Données projet'!$B$9,Paramètres!$A$1:$I$89,3,0)*0.475*44/12</f>
        <v>22.244802810842419</v>
      </c>
      <c r="AB26" s="21">
        <f>EXP(-LN(2)/2)*AB25+(1-EXP(-LN(2)/2))/(LN(2)/2)*V26*Y26*VLOOKUP('Données projet'!$B$9,Paramètres!$A$1:$I$89,3,0)*0.475*44/12</f>
        <v>0</v>
      </c>
      <c r="AC26" s="22">
        <f t="shared" si="3"/>
        <v>106.10084817490507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-5.6843418860808015E-14</v>
      </c>
      <c r="AJ26" s="13">
        <f>AI26*VLOOKUP('Données projet'!$B$10,Paramètres!$A$1:$I$89,3,0)*VLOOKUP('Données projet'!$B$10,Paramètres!$A$1:$I$89,5,0)</f>
        <v>-2.5006556825246661E-14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127.25822594328736</v>
      </c>
      <c r="AO26" s="59">
        <f t="shared" si="36"/>
        <v>273.87580232386563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65.687235535182396</v>
      </c>
      <c r="AV26" s="21">
        <f>EXP(-LN(2)/25)*AV25+(1-EXP(-LN(2)/25))/(LN(2)/25)*Calculateur!AQ26*Calculateur!AS26*VLOOKUP('Données projet'!$B$10,Paramètres!$A$1:$I$89,3,0)*0.475*44/12</f>
        <v>17.425095535159894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83.112331070342293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6">
        <f t="shared" si="1"/>
        <v>323.95183439748814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-5.6843418860808015E-14</v>
      </c>
      <c r="O27" s="13">
        <f>N27*VLOOKUP('Données projet'!$B$9,Paramètres!$A$1:$I$89,3,0)*VLOOKUP('Données projet'!$B$9,Paramètres!$A$1:$I$89,5,0)</f>
        <v>-3.192326403222978E-14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164.99145658664128</v>
      </c>
      <c r="T27" s="59">
        <f t="shared" si="34"/>
        <v>354.51323926643181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82.2116794616107</v>
      </c>
      <c r="AA27" s="21">
        <f>EXP(-LN(2)/25)*AA26+(1-EXP(-LN(2)/25))/(LN(2)/25)*Calculateur!V27*Calculateur!X27*VLOOKUP('Données projet'!$B$9,Paramètres!$A$1:$I$89,3,0)*0.475*44/12</f>
        <v>21.636517508176595</v>
      </c>
      <c r="AB27" s="21">
        <f>EXP(-LN(2)/2)*AB26+(1-EXP(-LN(2)/2))/(LN(2)/2)*V27*Y27*VLOOKUP('Données projet'!$B$9,Paramètres!$A$1:$I$89,3,0)*0.475*44/12</f>
        <v>0</v>
      </c>
      <c r="AC27" s="22">
        <f t="shared" si="3"/>
        <v>103.8481969697873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-5.6843418860808015E-14</v>
      </c>
      <c r="AJ27" s="13">
        <f>AI27*VLOOKUP('Données projet'!$B$10,Paramètres!$A$1:$I$89,3,0)*VLOOKUP('Données projet'!$B$10,Paramètres!$A$1:$I$89,5,0)</f>
        <v>-2.5006556825246661E-14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127.25822594328736</v>
      </c>
      <c r="AO27" s="59">
        <f t="shared" si="36"/>
        <v>273.87580232386563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64.399148911595034</v>
      </c>
      <c r="AV27" s="21">
        <f>EXP(-LN(2)/25)*AV26+(1-EXP(-LN(2)/25))/(LN(2)/25)*Calculateur!AQ27*Calculateur!AS27*VLOOKUP('Données projet'!$B$10,Paramètres!$A$1:$I$89,3,0)*0.475*44/12</f>
        <v>16.948605381404999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81.347754293000037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6">
        <f t="shared" si="1"/>
        <v>325.18911068157126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-5.6843418860808015E-14</v>
      </c>
      <c r="O28" s="13">
        <f>N28*VLOOKUP('Données projet'!$B$9,Paramètres!$A$1:$I$89,3,0)*VLOOKUP('Données projet'!$B$9,Paramètres!$A$1:$I$89,5,0)</f>
        <v>-3.192326403222978E-14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164.99145658664128</v>
      </c>
      <c r="T28" s="59">
        <f t="shared" si="34"/>
        <v>354.51323926643181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80.599558571541664</v>
      </c>
      <c r="AA28" s="21">
        <f>EXP(-LN(2)/25)*AA27+(1-EXP(-LN(2)/25))/(LN(2)/25)*Calculateur!V28*Calculateur!X28*VLOOKUP('Données projet'!$B$9,Paramètres!$A$1:$I$89,3,0)*0.475*44/12</f>
        <v>21.044865799100503</v>
      </c>
      <c r="AB28" s="21">
        <f>EXP(-LN(2)/2)*AB27+(1-EXP(-LN(2)/2))/(LN(2)/2)*V28*Y28*VLOOKUP('Données projet'!$B$9,Paramètres!$A$1:$I$89,3,0)*0.475*44/12</f>
        <v>0</v>
      </c>
      <c r="AC28" s="22">
        <f t="shared" si="3"/>
        <v>101.64442437064217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-5.6843418860808015E-14</v>
      </c>
      <c r="AJ28" s="13">
        <f>AI28*VLOOKUP('Données projet'!$B$10,Paramètres!$A$1:$I$89,3,0)*VLOOKUP('Données projet'!$B$10,Paramètres!$A$1:$I$89,5,0)</f>
        <v>-2.5006556825246661E-14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127.25822594328736</v>
      </c>
      <c r="AO28" s="59">
        <f t="shared" si="36"/>
        <v>273.87580232386563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63.136320881040952</v>
      </c>
      <c r="AV28" s="21">
        <f>EXP(-LN(2)/25)*AV27+(1-EXP(-LN(2)/25))/(LN(2)/25)*Calculateur!AQ28*Calculateur!AS28*VLOOKUP('Données projet'!$B$10,Paramètres!$A$1:$I$89,3,0)*0.475*44/12</f>
        <v>16.48514487596206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79.621465757003008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6">
        <f t="shared" si="1"/>
        <v>326.42505655450702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-5.6843418860808015E-14</v>
      </c>
      <c r="O29" s="13">
        <f>N29*VLOOKUP('Données projet'!$B$9,Paramètres!$A$1:$I$89,3,0)*VLOOKUP('Données projet'!$B$9,Paramètres!$A$1:$I$89,5,0)</f>
        <v>-3.192326403222978E-14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164.99145658664128</v>
      </c>
      <c r="T29" s="59">
        <f t="shared" si="34"/>
        <v>354.51323926643181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79.019050388830223</v>
      </c>
      <c r="AA29" s="21">
        <f>EXP(-LN(2)/25)*AA28+(1-EXP(-LN(2)/25))/(LN(2)/25)*Calculateur!V29*Calculateur!X29*VLOOKUP('Données projet'!$B$9,Paramètres!$A$1:$I$89,3,0)*0.475*44/12</f>
        <v>20.469392837122705</v>
      </c>
      <c r="AB29" s="21">
        <f>EXP(-LN(2)/2)*AB28+(1-EXP(-LN(2)/2))/(LN(2)/2)*V29*Y29*VLOOKUP('Données projet'!$B$9,Paramètres!$A$1:$I$89,3,0)*0.475*44/12</f>
        <v>0</v>
      </c>
      <c r="AC29" s="22">
        <f t="shared" si="3"/>
        <v>99.488443225952921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-5.6843418860808015E-14</v>
      </c>
      <c r="AJ29" s="13">
        <f>AI29*VLOOKUP('Données projet'!$B$10,Paramètres!$A$1:$I$89,3,0)*VLOOKUP('Données projet'!$B$10,Paramètres!$A$1:$I$89,5,0)</f>
        <v>-2.5006556825246661E-14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127.25822594328736</v>
      </c>
      <c r="AO29" s="59">
        <f t="shared" si="36"/>
        <v>273.87580232386563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61.898256137916995</v>
      </c>
      <c r="AV29" s="21">
        <f>EXP(-LN(2)/25)*AV28+(1-EXP(-LN(2)/25))/(LN(2)/25)*Calculateur!AQ29*Calculateur!AS29*VLOOKUP('Données projet'!$B$10,Paramètres!$A$1:$I$89,3,0)*0.475*44/12</f>
        <v>16.034357722412786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77.932613860329781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6">
        <f t="shared" si="1"/>
        <v>327.65972904304982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-5.6843418860808015E-14</v>
      </c>
      <c r="O30" s="13">
        <f>N30*VLOOKUP('Données projet'!$B$9,Paramètres!$A$1:$I$89,3,0)*VLOOKUP('Données projet'!$B$9,Paramètres!$A$1:$I$89,5,0)</f>
        <v>-3.192326403222978E-14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164.99145658664128</v>
      </c>
      <c r="T30" s="59">
        <f t="shared" si="34"/>
        <v>354.51323926643181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77.469535007566961</v>
      </c>
      <c r="AA30" s="21">
        <f>EXP(-LN(2)/25)*AA29+(1-EXP(-LN(2)/25))/(LN(2)/25)*Calculateur!V30*Calculateur!X30*VLOOKUP('Données projet'!$B$9,Paramètres!$A$1:$I$89,3,0)*0.475*44/12</f>
        <v>19.909656213552999</v>
      </c>
      <c r="AB30" s="21">
        <f>EXP(-LN(2)/2)*AB29+(1-EXP(-LN(2)/2))/(LN(2)/2)*V30*Y30*VLOOKUP('Données projet'!$B$9,Paramètres!$A$1:$I$89,3,0)*0.475*44/12</f>
        <v>0</v>
      </c>
      <c r="AC30" s="22">
        <f t="shared" si="3"/>
        <v>97.379191221119953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-5.6843418860808015E-14</v>
      </c>
      <c r="AJ30" s="13">
        <f>AI30*VLOOKUP('Données projet'!$B$10,Paramètres!$A$1:$I$89,3,0)*VLOOKUP('Données projet'!$B$10,Paramètres!$A$1:$I$89,5,0)</f>
        <v>-2.5006556825246661E-14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127.25822594328736</v>
      </c>
      <c r="AO30" s="59">
        <f t="shared" si="36"/>
        <v>273.87580232386563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60.684469089260766</v>
      </c>
      <c r="AV30" s="21">
        <f>EXP(-LN(2)/25)*AV29+(1-EXP(-LN(2)/25))/(LN(2)/25)*Calculateur!AQ30*Calculateur!AS30*VLOOKUP('Données projet'!$B$10,Paramètres!$A$1:$I$89,3,0)*0.475*44/12</f>
        <v>15.595897367283182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76.280366456543945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6">
        <f t="shared" si="1"/>
        <v>328.89318071040799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-5.6843418860808015E-14</v>
      </c>
      <c r="O31" s="13">
        <f>N31*VLOOKUP('Données projet'!$B$9,Paramètres!$A$1:$I$89,3,0)*VLOOKUP('Données projet'!$B$9,Paramètres!$A$1:$I$89,5,0)</f>
        <v>-3.192326403222978E-14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164.99145658664128</v>
      </c>
      <c r="T31" s="59">
        <f t="shared" si="34"/>
        <v>354.51323926643181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75.950404677819208</v>
      </c>
      <c r="AA31" s="21">
        <f>EXP(-LN(2)/25)*AA30+(1-EXP(-LN(2)/25))/(LN(2)/25)*Calculateur!V31*Calculateur!X31*VLOOKUP('Données projet'!$B$9,Paramètres!$A$1:$I$89,3,0)*0.475*44/12</f>
        <v>19.365225617390077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95.315630295209289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-5.6843418860808015E-14</v>
      </c>
      <c r="AJ31" s="13">
        <f>AI31*VLOOKUP('Données projet'!$B$10,Paramètres!$A$1:$I$89,3,0)*VLOOKUP('Données projet'!$B$10,Paramètres!$A$1:$I$89,5,0)</f>
        <v>-2.5006556825246661E-14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127.25822594328736</v>
      </c>
      <c r="AO31" s="59">
        <f t="shared" si="36"/>
        <v>273.87580232386563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59.494483664291693</v>
      </c>
      <c r="AV31" s="21">
        <f>EXP(-LN(2)/25)*AV30+(1-EXP(-LN(2)/25))/(LN(2)/25)*Calculateur!AQ31*Calculateur!AS31*VLOOKUP('Données projet'!$B$10,Paramètres!$A$1:$I$89,3,0)*0.475*44/12</f>
        <v>15.169426733622226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74.663910397913924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6">
        <f t="shared" si="1"/>
        <v>330.12546015243771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-5.6843418860808015E-14</v>
      </c>
      <c r="O32" s="13">
        <f>N32*VLOOKUP('Données projet'!$B$9,Paramètres!$A$1:$I$89,3,0)*VLOOKUP('Données projet'!$B$9,Paramètres!$A$1:$I$89,5,0)</f>
        <v>-3.192326403222978E-14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164.99145658664128</v>
      </c>
      <c r="T32" s="59">
        <f t="shared" si="34"/>
        <v>354.51323926643181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74.461063567259799</v>
      </c>
      <c r="AA32" s="21">
        <f>EXP(-LN(2)/25)*AA31+(1-EXP(-LN(2)/25))/(LN(2)/25)*Calculateur!V32*Calculateur!X32*VLOOKUP('Données projet'!$B$9,Paramètres!$A$1:$I$89,3,0)*0.475*44/12</f>
        <v>18.835682504509592</v>
      </c>
      <c r="AB32" s="21">
        <f>EXP(-LN(2)/2)*AB31+(1-EXP(-LN(2)/2))/(LN(2)/2)*V32*Y32*VLOOKUP('Données projet'!$B$9,Paramètres!$A$1:$I$89,3,0)*0.475*44/12</f>
        <v>0</v>
      </c>
      <c r="AC32" s="22">
        <f t="shared" si="3"/>
        <v>93.296746071769391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-5.6843418860808015E-14</v>
      </c>
      <c r="AJ32" s="13">
        <f>AI32*VLOOKUP('Données projet'!$B$10,Paramètres!$A$1:$I$89,3,0)*VLOOKUP('Données projet'!$B$10,Paramètres!$A$1:$I$89,5,0)</f>
        <v>-2.5006556825246661E-14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127.25822594328736</v>
      </c>
      <c r="AO32" s="59">
        <f t="shared" si="36"/>
        <v>273.87580232386563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58.327833127686823</v>
      </c>
      <c r="AV32" s="21">
        <f>EXP(-LN(2)/25)*AV31+(1-EXP(-LN(2)/25))/(LN(2)/25)*Calculateur!AQ32*Calculateur!AS32*VLOOKUP('Données projet'!$B$10,Paramètres!$A$1:$I$89,3,0)*0.475*44/12</f>
        <v>14.754617961865844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73.082451089552663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6">
        <f t="shared" si="1"/>
        <v>331.35661242347447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-5.6843418860808015E-14</v>
      </c>
      <c r="O33" s="13">
        <f>N33*VLOOKUP('Données projet'!$B$9,Paramètres!$A$1:$I$89,3,0)*VLOOKUP('Données projet'!$B$9,Paramètres!$A$1:$I$89,5,0)</f>
        <v>-3.192326403222978E-14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164.99145658664128</v>
      </c>
      <c r="T33" s="59">
        <f t="shared" si="34"/>
        <v>354.51323926643181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73.000927527470083</v>
      </c>
      <c r="AA33" s="21">
        <f>EXP(-LN(2)/25)*AA32+(1-EXP(-LN(2)/25))/(LN(2)/25)*Calculateur!V33*Calculateur!X33*VLOOKUP('Données projet'!$B$9,Paramètres!$A$1:$I$89,3,0)*0.475*44/12</f>
        <v>18.320619775898283</v>
      </c>
      <c r="AB33" s="21">
        <f>EXP(-LN(2)/2)*AB32+(1-EXP(-LN(2)/2))/(LN(2)/2)*V33*Y33*VLOOKUP('Données projet'!$B$9,Paramètres!$A$1:$I$89,3,0)*0.475*44/12</f>
        <v>0</v>
      </c>
      <c r="AC33" s="22">
        <f t="shared" si="3"/>
        <v>91.321547303368362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-5.6843418860808015E-14</v>
      </c>
      <c r="AJ33" s="13">
        <f>AI33*VLOOKUP('Données projet'!$B$10,Paramètres!$A$1:$I$89,3,0)*VLOOKUP('Données projet'!$B$10,Paramètres!$A$1:$I$89,5,0)</f>
        <v>-2.5006556825246661E-14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127.25822594328736</v>
      </c>
      <c r="AO33" s="59">
        <f t="shared" si="36"/>
        <v>273.87580232386563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57.184059896518207</v>
      </c>
      <c r="AV33" s="21">
        <f>EXP(-LN(2)/25)*AV32+(1-EXP(-LN(2)/25))/(LN(2)/25)*Calculateur!AQ33*Calculateur!AS33*VLOOKUP('Données projet'!$B$10,Paramètres!$A$1:$I$89,3,0)*0.475*44/12</f>
        <v>14.351152157786986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71.535212054305191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6">
        <f t="shared" si="1"/>
        <v>332.58667940379132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-5.6843418860808015E-14</v>
      </c>
      <c r="O34" s="13">
        <f>N34*VLOOKUP('Données projet'!$B$9,Paramètres!$A$1:$I$89,3,0)*VLOOKUP('Données projet'!$B$9,Paramètres!$A$1:$I$89,5,0)</f>
        <v>-3.192326403222978E-14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164.99145658664128</v>
      </c>
      <c r="T34" s="59">
        <f t="shared" si="34"/>
        <v>354.51323926643181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71.569423864825595</v>
      </c>
      <c r="AA34" s="21">
        <f>EXP(-LN(2)/25)*AA33+(1-EXP(-LN(2)/25))/(LN(2)/25)*Calculateur!V34*Calculateur!X34*VLOOKUP('Données projet'!$B$9,Paramètres!$A$1:$I$89,3,0)*0.475*44/12</f>
        <v>17.819641464686821</v>
      </c>
      <c r="AB34" s="21">
        <f>EXP(-LN(2)/2)*AB33+(1-EXP(-LN(2)/2))/(LN(2)/2)*V34*Y34*VLOOKUP('Données projet'!$B$9,Paramètres!$A$1:$I$89,3,0)*0.475*44/12</f>
        <v>0</v>
      </c>
      <c r="AC34" s="22">
        <f t="shared" si="3"/>
        <v>89.38906532951242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-5.6843418860808015E-14</v>
      </c>
      <c r="AJ34" s="13">
        <f>AI34*VLOOKUP('Données projet'!$B$10,Paramètres!$A$1:$I$89,3,0)*VLOOKUP('Données projet'!$B$10,Paramètres!$A$1:$I$89,5,0)</f>
        <v>-2.5006556825246661E-14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127.25822594328736</v>
      </c>
      <c r="AO34" s="59">
        <f t="shared" si="36"/>
        <v>273.87580232386563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56.062715360780025</v>
      </c>
      <c r="AV34" s="21">
        <f>EXP(-LN(2)/25)*AV33+(1-EXP(-LN(2)/25))/(LN(2)/25)*Calculateur!AQ34*Calculateur!AS34*VLOOKUP('Données projet'!$B$10,Paramètres!$A$1:$I$89,3,0)*0.475*44/12</f>
        <v>13.958719147338009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70.021434508118034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6">
        <f t="shared" si="1"/>
        <v>333.81570011831167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-5.6843418860808015E-14</v>
      </c>
      <c r="O35" s="13">
        <f>N35*VLOOKUP('Données projet'!$B$9,Paramètres!$A$1:$I$89,3,0)*VLOOKUP('Données projet'!$B$9,Paramètres!$A$1:$I$89,5,0)</f>
        <v>-3.192326403222978E-14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164.99145658664128</v>
      </c>
      <c r="T35" s="59">
        <f t="shared" si="34"/>
        <v>354.51323926643181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70.165991115874547</v>
      </c>
      <c r="AA35" s="21">
        <f>EXP(-LN(2)/25)*AA34+(1-EXP(-LN(2)/25))/(LN(2)/25)*Calculateur!V35*Calculateur!X35*VLOOKUP('Données projet'!$B$9,Paramètres!$A$1:$I$89,3,0)*0.475*44/12</f>
        <v>17.332362431740744</v>
      </c>
      <c r="AB35" s="21">
        <f>EXP(-LN(2)/2)*AB34+(1-EXP(-LN(2)/2))/(LN(2)/2)*V35*Y35*VLOOKUP('Données projet'!$B$9,Paramètres!$A$1:$I$89,3,0)*0.475*44/12</f>
        <v>0</v>
      </c>
      <c r="AC35" s="22">
        <f t="shared" si="3"/>
        <v>87.498353547615295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-5.6843418860808015E-14</v>
      </c>
      <c r="AJ35" s="13">
        <f>AI35*VLOOKUP('Données projet'!$B$10,Paramètres!$A$1:$I$89,3,0)*VLOOKUP('Données projet'!$B$10,Paramètres!$A$1:$I$89,5,0)</f>
        <v>-2.5006556825246661E-14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127.25822594328736</v>
      </c>
      <c r="AO35" s="59">
        <f t="shared" si="36"/>
        <v>273.87580232386563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54.963359707435032</v>
      </c>
      <c r="AV35" s="21">
        <f>EXP(-LN(2)/25)*AV34+(1-EXP(-LN(2)/25))/(LN(2)/25)*Calculateur!AQ35*Calculateur!AS35*VLOOKUP('Données projet'!$B$10,Paramètres!$A$1:$I$89,3,0)*0.475*44/12</f>
        <v>13.577017238196914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68.540376945631948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6">
        <f t="shared" si="1"/>
        <v>335.04371101436357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-5.6843418860808015E-14</v>
      </c>
      <c r="O36" s="13">
        <f>N36*VLOOKUP('Données projet'!$B$9,Paramètres!$A$1:$I$89,3,0)*VLOOKUP('Données projet'!$B$9,Paramètres!$A$1:$I$89,5,0)</f>
        <v>-3.192326403222978E-14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164.99145658664128</v>
      </c>
      <c r="T36" s="59">
        <f t="shared" si="34"/>
        <v>354.51323926643181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68.790078827120979</v>
      </c>
      <c r="AA36" s="21">
        <f>EXP(-LN(2)/25)*AA35+(1-EXP(-LN(2)/25))/(LN(2)/25)*Calculateur!V36*Calculateur!X36*VLOOKUP('Données projet'!$B$9,Paramètres!$A$1:$I$89,3,0)*0.475*44/12</f>
        <v>16.858408069575468</v>
      </c>
      <c r="AB36" s="21">
        <f>EXP(-LN(2)/2)*AB35+(1-EXP(-LN(2)/2))/(LN(2)/2)*V36*Y36*VLOOKUP('Données projet'!$B$9,Paramètres!$A$1:$I$89,3,0)*0.475*44/12</f>
        <v>0</v>
      </c>
      <c r="AC36" s="22">
        <f t="shared" si="3"/>
        <v>85.648486896696454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-5.6843418860808015E-14</v>
      </c>
      <c r="AJ36" s="13">
        <f>AI36*VLOOKUP('Données projet'!$B$10,Paramètres!$A$1:$I$89,3,0)*VLOOKUP('Données projet'!$B$10,Paramètres!$A$1:$I$89,5,0)</f>
        <v>-2.5006556825246661E-14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127.25822594328736</v>
      </c>
      <c r="AO36" s="59">
        <f t="shared" si="36"/>
        <v>273.87580232386563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53.885561747911396</v>
      </c>
      <c r="AV36" s="21">
        <f>EXP(-LN(2)/25)*AV35+(1-EXP(-LN(2)/25))/(LN(2)/25)*Calculateur!AQ36*Calculateur!AS36*VLOOKUP('Données projet'!$B$10,Paramètres!$A$1:$I$89,3,0)*0.475*44/12</f>
        <v>13.205752987834114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67.091314735745513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6">
        <f t="shared" si="1"/>
        <v>336.27074620482119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-5.6843418860808015E-14</v>
      </c>
      <c r="O37" s="13">
        <f>N37*VLOOKUP('Données projet'!$B$9,Paramètres!$A$1:$I$89,3,0)*VLOOKUP('Données projet'!$B$9,Paramètres!$A$1:$I$89,5,0)</f>
        <v>-3.192326403222978E-14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164.99145658664128</v>
      </c>
      <c r="T37" s="59">
        <f t="shared" si="34"/>
        <v>354.51323926643181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67.441147339126232</v>
      </c>
      <c r="AA37" s="21">
        <f>EXP(-LN(2)/25)*AA36+(1-EXP(-LN(2)/25))/(LN(2)/25)*Calculateur!V37*Calculateur!X37*VLOOKUP('Données projet'!$B$9,Paramètres!$A$1:$I$89,3,0)*0.475*44/12</f>
        <v>16.397414014367776</v>
      </c>
      <c r="AB37" s="21">
        <f>EXP(-LN(2)/2)*AB36+(1-EXP(-LN(2)/2))/(LN(2)/2)*V37*Y37*VLOOKUP('Données projet'!$B$9,Paramètres!$A$1:$I$89,3,0)*0.475*44/12</f>
        <v>0</v>
      </c>
      <c r="AC37" s="22">
        <f t="shared" si="3"/>
        <v>83.838561353494015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-5.6843418860808015E-14</v>
      </c>
      <c r="AJ37" s="13">
        <f>AI37*VLOOKUP('Données projet'!$B$10,Paramètres!$A$1:$I$89,3,0)*VLOOKUP('Données projet'!$B$10,Paramètres!$A$1:$I$89,5,0)</f>
        <v>-2.5006556825246661E-14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127.25822594328736</v>
      </c>
      <c r="AO37" s="59">
        <f t="shared" si="36"/>
        <v>273.87580232386563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52.828898748982176</v>
      </c>
      <c r="AV37" s="21">
        <f>EXP(-LN(2)/25)*AV36+(1-EXP(-LN(2)/25))/(LN(2)/25)*Calculateur!AQ37*Calculateur!AS37*VLOOKUP('Données projet'!$B$10,Paramètres!$A$1:$I$89,3,0)*0.475*44/12</f>
        <v>12.844640977921422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65.673539726903599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6">
        <f t="shared" si="1"/>
        <v>337.49683768183723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-5.6843418860808015E-14</v>
      </c>
      <c r="O38" s="13">
        <f>N38*VLOOKUP('Données projet'!$B$9,Paramètres!$A$1:$I$89,3,0)*VLOOKUP('Données projet'!$B$9,Paramètres!$A$1:$I$89,5,0)</f>
        <v>-3.192326403222978E-14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164.99145658664128</v>
      </c>
      <c r="T38" s="59">
        <f t="shared" si="34"/>
        <v>354.51323926643181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66.118667574844096</v>
      </c>
      <c r="AA38" s="21">
        <f>EXP(-LN(2)/25)*AA37+(1-EXP(-LN(2)/25))/(LN(2)/25)*Calculateur!V38*Calculateur!X38*VLOOKUP('Données projet'!$B$9,Paramètres!$A$1:$I$89,3,0)*0.475*44/12</f>
        <v>15.949025865842362</v>
      </c>
      <c r="AB38" s="21">
        <f>EXP(-LN(2)/2)*AB37+(1-EXP(-LN(2)/2))/(LN(2)/2)*V38*Y38*VLOOKUP('Données projet'!$B$9,Paramètres!$A$1:$I$89,3,0)*0.475*44/12</f>
        <v>0</v>
      </c>
      <c r="AC38" s="22">
        <f t="shared" si="3"/>
        <v>82.067693440686455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-5.6843418860808015E-14</v>
      </c>
      <c r="AJ38" s="13">
        <f>AI38*VLOOKUP('Données projet'!$B$10,Paramètres!$A$1:$I$89,3,0)*VLOOKUP('Données projet'!$B$10,Paramètres!$A$1:$I$89,5,0)</f>
        <v>-2.5006556825246661E-14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127.25822594328736</v>
      </c>
      <c r="AO38" s="59">
        <f t="shared" si="36"/>
        <v>273.87580232386563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51.79295626696117</v>
      </c>
      <c r="AV38" s="21">
        <f>EXP(-LN(2)/25)*AV37+(1-EXP(-LN(2)/25))/(LN(2)/25)*Calculateur!AQ38*Calculateur!AS38*VLOOKUP('Données projet'!$B$10,Paramètres!$A$1:$I$89,3,0)*0.475*44/12</f>
        <v>12.493403594909848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64.28635986187102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6">
        <f t="shared" si="1"/>
        <v>338.72201550546265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-5.6843418860808015E-14</v>
      </c>
      <c r="O39" s="13">
        <f>N39*VLOOKUP('Données projet'!$B$9,Paramètres!$A$1:$I$89,3,0)*VLOOKUP('Données projet'!$B$9,Paramètres!$A$1:$I$89,5,0)</f>
        <v>-3.192326403222978E-14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164.99145658664128</v>
      </c>
      <c r="T39" s="59">
        <f t="shared" si="34"/>
        <v>354.51323926643181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64.822120832106521</v>
      </c>
      <c r="AA39" s="21">
        <f>EXP(-LN(2)/25)*AA38+(1-EXP(-LN(2)/25))/(LN(2)/25)*Calculateur!V39*Calculateur!X39*VLOOKUP('Données projet'!$B$9,Paramètres!$A$1:$I$89,3,0)*0.475*44/12</f>
        <v>15.512898914818084</v>
      </c>
      <c r="AB39" s="21">
        <f>EXP(-LN(2)/2)*AB38+(1-EXP(-LN(2)/2))/(LN(2)/2)*V39*Y39*VLOOKUP('Données projet'!$B$9,Paramètres!$A$1:$I$89,3,0)*0.475*44/12</f>
        <v>0</v>
      </c>
      <c r="AC39" s="22">
        <f t="shared" si="3"/>
        <v>80.335019746924601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-5.6843418860808015E-14</v>
      </c>
      <c r="AJ39" s="13">
        <f>AI39*VLOOKUP('Données projet'!$B$10,Paramètres!$A$1:$I$89,3,0)*VLOOKUP('Données projet'!$B$10,Paramètres!$A$1:$I$89,5,0)</f>
        <v>-2.5006556825246661E-14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127.25822594328736</v>
      </c>
      <c r="AO39" s="59">
        <f t="shared" si="36"/>
        <v>273.87580232386563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50.777327985150073</v>
      </c>
      <c r="AV39" s="21">
        <f>EXP(-LN(2)/25)*AV38+(1-EXP(-LN(2)/25))/(LN(2)/25)*Calculateur!AQ39*Calculateur!AS39*VLOOKUP('Données projet'!$B$10,Paramètres!$A$1:$I$89,3,0)*0.475*44/12</f>
        <v>12.151770816607497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62.929098801757569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6">
        <f t="shared" si="1"/>
        <v>339.94630797071892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-5.6843418860808015E-14</v>
      </c>
      <c r="O40" s="13">
        <f>N40*VLOOKUP('Données projet'!$B$9,Paramètres!$A$1:$I$89,3,0)*VLOOKUP('Données projet'!$B$9,Paramètres!$A$1:$I$89,5,0)</f>
        <v>-3.192326403222978E-14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164.99145658664128</v>
      </c>
      <c r="T40" s="59">
        <f t="shared" si="34"/>
        <v>354.51323926643181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63.550998580178607</v>
      </c>
      <c r="AA40" s="21">
        <f>EXP(-LN(2)/25)*AA39+(1-EXP(-LN(2)/25))/(LN(2)/25)*Calculateur!V40*Calculateur!X40*VLOOKUP('Données projet'!$B$9,Paramètres!$A$1:$I$89,3,0)*0.475*44/12</f>
        <v>15.088697878204485</v>
      </c>
      <c r="AB40" s="21">
        <f>EXP(-LN(2)/2)*AB39+(1-EXP(-LN(2)/2))/(LN(2)/2)*V40*Y40*VLOOKUP('Données projet'!$B$9,Paramètres!$A$1:$I$89,3,0)*0.475*44/12</f>
        <v>0</v>
      </c>
      <c r="AC40" s="22">
        <f t="shared" si="3"/>
        <v>78.639696458383099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-5.6843418860808015E-14</v>
      </c>
      <c r="AJ40" s="13">
        <f>AI40*VLOOKUP('Données projet'!$B$10,Paramètres!$A$1:$I$89,3,0)*VLOOKUP('Données projet'!$B$10,Paramètres!$A$1:$I$89,5,0)</f>
        <v>-2.5006556825246661E-14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127.25822594328736</v>
      </c>
      <c r="AO40" s="59">
        <f t="shared" si="36"/>
        <v>273.87580232386563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49.781615554473206</v>
      </c>
      <c r="AV40" s="21">
        <f>EXP(-LN(2)/25)*AV39+(1-EXP(-LN(2)/25))/(LN(2)/25)*Calculateur!AQ40*Calculateur!AS40*VLOOKUP('Données projet'!$B$10,Paramètres!$A$1:$I$89,3,0)*0.475*44/12</f>
        <v>11.819480004593512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61.601095559066721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6">
        <f t="shared" si="1"/>
        <v>341.16974175610096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-5.6843418860808015E-14</v>
      </c>
      <c r="O41" s="13">
        <f>N41*VLOOKUP('Données projet'!$B$9,Paramètres!$A$1:$I$89,3,0)*VLOOKUP('Données projet'!$B$9,Paramètres!$A$1:$I$89,5,0)</f>
        <v>-3.192326403222978E-14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164.99145658664128</v>
      </c>
      <c r="T41" s="59">
        <f t="shared" si="34"/>
        <v>354.51323926643181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62.304802260302978</v>
      </c>
      <c r="AA41" s="21">
        <f>EXP(-LN(2)/25)*AA40+(1-EXP(-LN(2)/25))/(LN(2)/25)*Calculateur!V41*Calculateur!X41*VLOOKUP('Données projet'!$B$9,Paramètres!$A$1:$I$89,3,0)*0.475*44/12</f>
        <v>14.676096641244847</v>
      </c>
      <c r="AB41" s="21">
        <f>EXP(-LN(2)/2)*AB40+(1-EXP(-LN(2)/2))/(LN(2)/2)*V41*Y41*VLOOKUP('Données projet'!$B$9,Paramètres!$A$1:$I$89,3,0)*0.475*44/12</f>
        <v>0</v>
      </c>
      <c r="AC41" s="22">
        <f t="shared" si="3"/>
        <v>76.980898901547818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-5.6843418860808015E-14</v>
      </c>
      <c r="AJ41" s="13">
        <f>AI41*VLOOKUP('Données projet'!$B$10,Paramètres!$A$1:$I$89,3,0)*VLOOKUP('Données projet'!$B$10,Paramètres!$A$1:$I$89,5,0)</f>
        <v>-2.5006556825246661E-14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127.25822594328736</v>
      </c>
      <c r="AO41" s="59">
        <f t="shared" si="36"/>
        <v>273.87580232386563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48.805428437237296</v>
      </c>
      <c r="AV41" s="21">
        <f>EXP(-LN(2)/25)*AV40+(1-EXP(-LN(2)/25))/(LN(2)/25)*Calculateur!AQ41*Calculateur!AS41*VLOOKUP('Données projet'!$B$10,Paramètres!$A$1:$I$89,3,0)*0.475*44/12</f>
        <v>11.496275702308463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60.301704139545762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6">
        <f t="shared" si="1"/>
        <v>342.3923420560082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-5.6843418860808015E-14</v>
      </c>
      <c r="O42" s="13">
        <f>N42*VLOOKUP('Données projet'!$B$9,Paramètres!$A$1:$I$89,3,0)*VLOOKUP('Données projet'!$B$9,Paramètres!$A$1:$I$89,5,0)</f>
        <v>-3.192326403222978E-14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164.99145658664128</v>
      </c>
      <c r="T42" s="59">
        <f t="shared" si="34"/>
        <v>354.51323926643181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61.083043090155414</v>
      </c>
      <c r="AA42" s="21">
        <f>EXP(-LN(2)/25)*AA41+(1-EXP(-LN(2)/25))/(LN(2)/25)*Calculateur!V42*Calculateur!X42*VLOOKUP('Données projet'!$B$9,Paramètres!$A$1:$I$89,3,0)*0.475*44/12</f>
        <v>14.274778006807626</v>
      </c>
      <c r="AB42" s="21">
        <f>EXP(-LN(2)/2)*AB41+(1-EXP(-LN(2)/2))/(LN(2)/2)*V42*Y42*VLOOKUP('Données projet'!$B$9,Paramètres!$A$1:$I$89,3,0)*0.475*44/12</f>
        <v>0</v>
      </c>
      <c r="AC42" s="22">
        <f t="shared" si="3"/>
        <v>75.357821096963036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-5.6843418860808015E-14</v>
      </c>
      <c r="AJ42" s="13">
        <f>AI42*VLOOKUP('Données projet'!$B$10,Paramètres!$A$1:$I$89,3,0)*VLOOKUP('Données projet'!$B$10,Paramètres!$A$1:$I$89,5,0)</f>
        <v>-2.5006556825246661E-14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127.25822594328736</v>
      </c>
      <c r="AO42" s="59">
        <f t="shared" si="36"/>
        <v>273.87580232386563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47.848383753955034</v>
      </c>
      <c r="AV42" s="21">
        <f>EXP(-LN(2)/25)*AV41+(1-EXP(-LN(2)/25))/(LN(2)/25)*Calculateur!AQ42*Calculateur!AS42*VLOOKUP('Données projet'!$B$10,Paramètres!$A$1:$I$89,3,0)*0.475*44/12</f>
        <v>11.181909438665974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59.030293192621009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6">
        <f t="shared" si="1"/>
        <v>343.61413269921093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-5.6843418860808015E-14</v>
      </c>
      <c r="O43" s="13">
        <f>N43*VLOOKUP('Données projet'!$B$9,Paramètres!$A$1:$I$89,3,0)*VLOOKUP('Données projet'!$B$9,Paramètres!$A$1:$I$89,5,0)</f>
        <v>-3.192326403222978E-14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164.99145658664128</v>
      </c>
      <c r="T43" s="59">
        <f t="shared" si="34"/>
        <v>354.51323926643181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59.885241872134927</v>
      </c>
      <c r="AA43" s="21">
        <f>EXP(-LN(2)/25)*AA42+(1-EXP(-LN(2)/25))/(LN(2)/25)*Calculateur!V43*Calculateur!X43*VLOOKUP('Données projet'!$B$9,Paramètres!$A$1:$I$89,3,0)*0.475*44/12</f>
        <v>13.884433451533521</v>
      </c>
      <c r="AB43" s="21">
        <f>EXP(-LN(2)/2)*AB42+(1-EXP(-LN(2)/2))/(LN(2)/2)*V43*Y43*VLOOKUP('Données projet'!$B$9,Paramètres!$A$1:$I$89,3,0)*0.475*44/12</f>
        <v>0</v>
      </c>
      <c r="AC43" s="22">
        <f t="shared" si="3"/>
        <v>73.769675323668451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-5.6843418860808015E-14</v>
      </c>
      <c r="AJ43" s="13">
        <f>AI43*VLOOKUP('Données projet'!$B$10,Paramètres!$A$1:$I$89,3,0)*VLOOKUP('Données projet'!$B$10,Paramètres!$A$1:$I$89,5,0)</f>
        <v>-2.5006556825246661E-14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127.25822594328736</v>
      </c>
      <c r="AO43" s="59">
        <f t="shared" si="36"/>
        <v>273.87580232386563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46.91010613317232</v>
      </c>
      <c r="AV43" s="21">
        <f>EXP(-LN(2)/25)*AV42+(1-EXP(-LN(2)/25))/(LN(2)/25)*Calculateur!AQ43*Calculateur!AS43*VLOOKUP('Données projet'!$B$10,Paramètres!$A$1:$I$89,3,0)*0.475*44/12</f>
        <v>10.876139537034591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57.78624567020691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6">
        <f t="shared" si="1"/>
        <v>344.83513625513632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-5.6843418860808015E-14</v>
      </c>
      <c r="O44" s="13">
        <f>N44*VLOOKUP('Données projet'!$B$9,Paramètres!$A$1:$I$89,3,0)*VLOOKUP('Données projet'!$B$9,Paramètres!$A$1:$I$89,5,0)</f>
        <v>-3.192326403222978E-14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164.99145658664128</v>
      </c>
      <c r="T44" s="59">
        <f t="shared" si="34"/>
        <v>354.51323926643181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58.710928805413218</v>
      </c>
      <c r="AA44" s="21">
        <f>EXP(-LN(2)/25)*AA43+(1-EXP(-LN(2)/25))/(LN(2)/25)*Calculateur!V44*Calculateur!X44*VLOOKUP('Données projet'!$B$9,Paramètres!$A$1:$I$89,3,0)*0.475*44/12</f>
        <v>13.504762888650715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72.215691694063935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-5.6843418860808015E-14</v>
      </c>
      <c r="AJ44" s="13">
        <f>AI44*VLOOKUP('Données projet'!$B$10,Paramètres!$A$1:$I$89,3,0)*VLOOKUP('Données projet'!$B$10,Paramètres!$A$1:$I$89,5,0)</f>
        <v>-2.5006556825246661E-14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127.25822594328736</v>
      </c>
      <c r="AO44" s="59">
        <f t="shared" si="36"/>
        <v>273.87580232386563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45.990227564240321</v>
      </c>
      <c r="AV44" s="21">
        <f>EXP(-LN(2)/25)*AV43+(1-EXP(-LN(2)/25))/(LN(2)/25)*Calculateur!AQ44*Calculateur!AS44*VLOOKUP('Données projet'!$B$10,Paramètres!$A$1:$I$89,3,0)*0.475*44/12</f>
        <v>10.57873092944306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56.568958493683382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6">
        <f t="shared" si="1"/>
        <v>346.05537412949326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-5.6843418860808015E-14</v>
      </c>
      <c r="O45" s="13">
        <f>N45*VLOOKUP('Données projet'!$B$9,Paramètres!$A$1:$I$89,3,0)*VLOOKUP('Données projet'!$B$9,Paramètres!$A$1:$I$89,5,0)</f>
        <v>-3.192326403222978E-14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164.99145658664128</v>
      </c>
      <c r="T45" s="59">
        <f t="shared" si="34"/>
        <v>354.51323926643181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57.559643301669681</v>
      </c>
      <c r="AA45" s="21">
        <f>EXP(-LN(2)/25)*AA44+(1-EXP(-LN(2)/25))/(LN(2)/25)*Calculateur!V45*Calculateur!X45*VLOOKUP('Données projet'!$B$9,Paramètres!$A$1:$I$89,3,0)*0.475*44/12</f>
        <v>13.135474437275947</v>
      </c>
      <c r="AB45" s="21">
        <f>EXP(-LN(2)/2)*AB44+(1-EXP(-LN(2)/2))/(LN(2)/2)*V45*Y45*VLOOKUP('Données projet'!$B$9,Paramètres!$A$1:$I$89,3,0)*0.475*44/12</f>
        <v>0</v>
      </c>
      <c r="AC45" s="22">
        <f t="shared" si="3"/>
        <v>70.695117738945626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-5.6843418860808015E-14</v>
      </c>
      <c r="AJ45" s="13">
        <f>AI45*VLOOKUP('Données projet'!$B$10,Paramètres!$A$1:$I$89,3,0)*VLOOKUP('Données projet'!$B$10,Paramètres!$A$1:$I$89,5,0)</f>
        <v>-2.5006556825246661E-14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127.25822594328736</v>
      </c>
      <c r="AO45" s="59">
        <f t="shared" si="36"/>
        <v>273.87580232386563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45.088387252974549</v>
      </c>
      <c r="AV45" s="21">
        <f>EXP(-LN(2)/25)*AV44+(1-EXP(-LN(2)/25))/(LN(2)/25)*Calculateur!AQ45*Calculateur!AS45*VLOOKUP('Données projet'!$B$10,Paramètres!$A$1:$I$89,3,0)*0.475*44/12</f>
        <v>10.289454975866157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55.377842228840706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6">
        <f t="shared" si="1"/>
        <v>347.27486665053362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-5.6843418860808015E-14</v>
      </c>
      <c r="O46" s="13">
        <f>N46*VLOOKUP('Données projet'!$B$9,Paramètres!$A$1:$I$89,3,0)*VLOOKUP('Données projet'!$B$9,Paramètres!$A$1:$I$89,5,0)</f>
        <v>-3.192326403222978E-14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164.99145658664128</v>
      </c>
      <c r="T46" s="59">
        <f t="shared" si="34"/>
        <v>354.51323926643181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56.430933804439732</v>
      </c>
      <c r="AA46" s="21">
        <f>EXP(-LN(2)/25)*AA45+(1-EXP(-LN(2)/25))/(LN(2)/25)*Calculateur!V46*Calculateur!X46*VLOOKUP('Données projet'!$B$9,Paramètres!$A$1:$I$89,3,0)*0.475*44/12</f>
        <v>12.776284198024058</v>
      </c>
      <c r="AB46" s="21">
        <f>EXP(-LN(2)/2)*AB45+(1-EXP(-LN(2)/2))/(LN(2)/2)*V46*Y46*VLOOKUP('Données projet'!$B$9,Paramètres!$A$1:$I$89,3,0)*0.475*44/12</f>
        <v>0</v>
      </c>
      <c r="AC46" s="22">
        <f t="shared" si="3"/>
        <v>69.20721800246379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-5.6843418860808015E-14</v>
      </c>
      <c r="AJ46" s="13">
        <f>AI46*VLOOKUP('Données projet'!$B$10,Paramètres!$A$1:$I$89,3,0)*VLOOKUP('Données projet'!$B$10,Paramètres!$A$1:$I$89,5,0)</f>
        <v>-2.5006556825246661E-14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127.25822594328736</v>
      </c>
      <c r="AO46" s="59">
        <f t="shared" si="36"/>
        <v>273.87580232386563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44.204231480144422</v>
      </c>
      <c r="AV46" s="21">
        <f>EXP(-LN(2)/25)*AV45+(1-EXP(-LN(2)/25))/(LN(2)/25)*Calculateur!AQ46*Calculateur!AS46*VLOOKUP('Données projet'!$B$10,Paramètres!$A$1:$I$89,3,0)*0.475*44/12</f>
        <v>10.008089288452176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54.212320768596598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6">
        <f t="shared" si="1"/>
        <v>348.49363314706295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-5.6843418860808015E-14</v>
      </c>
      <c r="O47" s="13">
        <f>N47*VLOOKUP('Données projet'!$B$9,Paramètres!$A$1:$I$89,3,0)*VLOOKUP('Données projet'!$B$9,Paramètres!$A$1:$I$89,5,0)</f>
        <v>-3.192326403222978E-14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164.99145658664128</v>
      </c>
      <c r="T47" s="59">
        <f t="shared" si="34"/>
        <v>354.51323926643181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55.324357612005649</v>
      </c>
      <c r="AA47" s="21">
        <f>EXP(-LN(2)/25)*AA46+(1-EXP(-LN(2)/25))/(LN(2)/25)*Calculateur!V47*Calculateur!X47*VLOOKUP('Données projet'!$B$9,Paramètres!$A$1:$I$89,3,0)*0.475*44/12</f>
        <v>12.426916034753505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67.751273646759159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-5.6843418860808015E-14</v>
      </c>
      <c r="AJ47" s="13">
        <f>AI47*VLOOKUP('Données projet'!$B$10,Paramètres!$A$1:$I$89,3,0)*VLOOKUP('Données projet'!$B$10,Paramètres!$A$1:$I$89,5,0)</f>
        <v>-2.5006556825246661E-14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127.25822594328736</v>
      </c>
      <c r="AO47" s="59">
        <f t="shared" si="36"/>
        <v>273.87580232386563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43.337413462737722</v>
      </c>
      <c r="AV47" s="21">
        <f>EXP(-LN(2)/25)*AV46+(1-EXP(-LN(2)/25))/(LN(2)/25)*Calculateur!AQ47*Calculateur!AS47*VLOOKUP('Données projet'!$B$10,Paramètres!$A$1:$I$89,3,0)*0.475*44/12</f>
        <v>9.7344175605569099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53.071831023294635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6">
        <f t="shared" si="1"/>
        <v>349.7116920191595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-5.6843418860808015E-14</v>
      </c>
      <c r="O48" s="13">
        <f>N48*VLOOKUP('Données projet'!$B$9,Paramètres!$A$1:$I$89,3,0)*VLOOKUP('Données projet'!$B$9,Paramètres!$A$1:$I$89,5,0)</f>
        <v>-3.192326403222978E-14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164.99145658664128</v>
      </c>
      <c r="T48" s="59">
        <f t="shared" si="34"/>
        <v>354.51323926643181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54.239480703760364</v>
      </c>
      <c r="AA48" s="21">
        <f>EXP(-LN(2)/25)*AA47+(1-EXP(-LN(2)/25))/(LN(2)/25)*Calculateur!V48*Calculateur!X48*VLOOKUP('Données projet'!$B$9,Paramètres!$A$1:$I$89,3,0)*0.475*44/12</f>
        <v>12.087101362280059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66.32658206604043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-5.6843418860808015E-14</v>
      </c>
      <c r="AJ48" s="13">
        <f>AI48*VLOOKUP('Données projet'!$B$10,Paramètres!$A$1:$I$89,3,0)*VLOOKUP('Données projet'!$B$10,Paramètres!$A$1:$I$89,5,0)</f>
        <v>-2.5006556825246661E-14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127.25822594328736</v>
      </c>
      <c r="AO48" s="59">
        <f t="shared" si="36"/>
        <v>273.87580232386563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42.487593217945587</v>
      </c>
      <c r="AV48" s="21">
        <f>EXP(-LN(2)/25)*AV47+(1-EXP(-LN(2)/25))/(LN(2)/25)*Calculateur!AQ48*Calculateur!AS48*VLOOKUP('Données projet'!$B$10,Paramètres!$A$1:$I$89,3,0)*0.475*44/12</f>
        <v>9.4682294004527101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51.955822618398301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6">
        <f t="shared" si="1"/>
        <v>350.92906080242972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-3.192326403222978E-14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164.99145658664128</v>
      </c>
      <c r="T49" s="59">
        <f t="shared" si="34"/>
        <v>354.51323926643181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53.175877569976194</v>
      </c>
      <c r="AA49" s="21">
        <f>EXP(-LN(2)/25)*AA48+(1-EXP(-LN(2)/25))/(LN(2)/25)*Calculateur!V49*Calculateur!X49*VLOOKUP('Données projet'!$B$9,Paramètres!$A$1:$I$89,3,0)*0.475*44/12</f>
        <v>11.756578939895476</v>
      </c>
      <c r="AB49" s="21">
        <f>EXP(-LN(2)/2)*AB48+(1-EXP(-LN(2)/2))/(LN(2)/2)*V49*Y49*VLOOKUP('Données projet'!$B$9,Paramètres!$A$1:$I$89,3,0)*0.475*44/12</f>
        <v>0</v>
      </c>
      <c r="AC49" s="22">
        <f t="shared" si="3"/>
        <v>64.93245650987167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-5.6843418860808015E-14</v>
      </c>
      <c r="AJ49" s="13">
        <f>AI49*VLOOKUP('Données projet'!$B$10,Paramètres!$A$1:$I$89,3,0)*VLOOKUP('Données projet'!$B$10,Paramètres!$A$1:$I$89,5,0)</f>
        <v>-2.5006556825246661E-14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127.25822594328736</v>
      </c>
      <c r="AO49" s="59">
        <f t="shared" si="36"/>
        <v>273.87580232386563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41.654437429814656</v>
      </c>
      <c r="AV49" s="21">
        <f>EXP(-LN(2)/25)*AV48+(1-EXP(-LN(2)/25))/(LN(2)/25)*Calculateur!AQ49*Calculateur!AS49*VLOOKUP('Données projet'!$B$10,Paramètres!$A$1:$I$89,3,0)*0.475*44/12</f>
        <v>9.2093201695847871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50.863757599399442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6">
        <f t="shared" si="1"/>
        <v>352.14575622651876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-3.192326403222978E-14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164.99145658664128</v>
      </c>
      <c r="T50" s="59">
        <f t="shared" si="34"/>
        <v>354.51323926643181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52.133131044911678</v>
      </c>
      <c r="AA50" s="21">
        <f>EXP(-LN(2)/25)*AA49+(1-EXP(-LN(2)/25))/(LN(2)/25)*Calculateur!V50*Calculateur!X50*VLOOKUP('Données projet'!$B$9,Paramètres!$A$1:$I$89,3,0)*0.475*44/12</f>
        <v>11.435094670532418</v>
      </c>
      <c r="AB50" s="21">
        <f>EXP(-LN(2)/2)*AB49+(1-EXP(-LN(2)/2))/(LN(2)/2)*V50*Y50*VLOOKUP('Données projet'!$B$9,Paramètres!$A$1:$I$89,3,0)*0.475*44/12</f>
        <v>0</v>
      </c>
      <c r="AC50" s="22">
        <f t="shared" si="3"/>
        <v>63.5682257154441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-5.6843418860808015E-14</v>
      </c>
      <c r="AJ50" s="13">
        <f>AI50*VLOOKUP('Données projet'!$B$10,Paramètres!$A$1:$I$89,3,0)*VLOOKUP('Données projet'!$B$10,Paramètres!$A$1:$I$89,5,0)</f>
        <v>-2.5006556825246661E-14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127.25822594328736</v>
      </c>
      <c r="AO50" s="59">
        <f t="shared" si="36"/>
        <v>273.87580232386563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40.837619318514122</v>
      </c>
      <c r="AV50" s="21">
        <f>EXP(-LN(2)/25)*AV49+(1-EXP(-LN(2)/25))/(LN(2)/25)*Calculateur!AQ50*Calculateur!AS50*VLOOKUP('Données projet'!$B$10,Paramètres!$A$1:$I$89,3,0)*0.475*44/12</f>
        <v>8.9574908252503906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49.795110143764511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6">
        <f t="shared" si="1"/>
        <v>353.361794268501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-3.192326403222978E-14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164.99145658664128</v>
      </c>
      <c r="T51" s="59">
        <f t="shared" si="34"/>
        <v>354.51323926643181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51.110832143191097</v>
      </c>
      <c r="AA51" s="21">
        <f>EXP(-LN(2)/25)*AA50+(1-EXP(-LN(2)/25))/(LN(2)/25)*Calculateur!V51*Calculateur!X51*VLOOKUP('Données projet'!$B$9,Paramètres!$A$1:$I$89,3,0)*0.475*44/12</f>
        <v>11.122401405421217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62.233233548612311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-5.6843418860808015E-14</v>
      </c>
      <c r="AJ51" s="13">
        <f>AI51*VLOOKUP('Données projet'!$B$10,Paramètres!$A$1:$I$89,3,0)*VLOOKUP('Données projet'!$B$10,Paramètres!$A$1:$I$89,5,0)</f>
        <v>-2.5006556825246661E-14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127.25822594328736</v>
      </c>
      <c r="AO51" s="59">
        <f t="shared" si="36"/>
        <v>273.87580232386563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40.036818512166334</v>
      </c>
      <c r="AV51" s="21">
        <f>EXP(-LN(2)/25)*AV50+(1-EXP(-LN(2)/25))/(LN(2)/25)*Calculateur!AQ51*Calculateur!AS51*VLOOKUP('Données projet'!$B$10,Paramètres!$A$1:$I$89,3,0)*0.475*44/12</f>
        <v>8.7125477675799488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48.749366279746283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6">
        <f t="shared" si="1"/>
        <v>354.57719020169571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-3.192326403222978E-14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164.99145658664128</v>
      </c>
      <c r="T52" s="59">
        <f t="shared" si="34"/>
        <v>354.51323926643181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50.108579899392495</v>
      </c>
      <c r="AA52" s="21">
        <f>EXP(-LN(2)/25)*AA51+(1-EXP(-LN(2)/25))/(LN(2)/25)*Calculateur!V52*Calculateur!X52*VLOOKUP('Données projet'!$B$9,Paramètres!$A$1:$I$89,3,0)*0.475*44/12</f>
        <v>10.818258754088305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60.9268386534808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-5.6843418860808015E-14</v>
      </c>
      <c r="AJ52" s="13">
        <f>AI52*VLOOKUP('Données projet'!$B$10,Paramètres!$A$1:$I$89,3,0)*VLOOKUP('Données projet'!$B$10,Paramètres!$A$1:$I$89,5,0)</f>
        <v>-2.5006556825246661E-14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127.25822594328736</v>
      </c>
      <c r="AO52" s="59">
        <f t="shared" si="36"/>
        <v>273.87580232386563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39.251720921190767</v>
      </c>
      <c r="AV52" s="21">
        <f>EXP(-LN(2)/25)*AV51+(1-EXP(-LN(2)/25))/(LN(2)/25)*Calculateur!AQ52*Calculateur!AS52*VLOOKUP('Données projet'!$B$10,Paramètres!$A$1:$I$89,3,0)*0.475*44/12</f>
        <v>8.4743026907025012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47.726023611893268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6">
        <f t="shared" si="1"/>
        <v>355.79195864038502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-3.192326403222978E-14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164.99145658664128</v>
      </c>
      <c r="T53" s="59">
        <f t="shared" si="34"/>
        <v>354.51323926643181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49.125981210781283</v>
      </c>
      <c r="AA53" s="21">
        <f>EXP(-LN(2)/25)*AA52+(1-EXP(-LN(2)/25))/(LN(2)/25)*Calculateur!V53*Calculateur!X53*VLOOKUP('Données projet'!$B$9,Paramètres!$A$1:$I$89,3,0)*0.475*44/12</f>
        <v>10.522432899550259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59.648414110331544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-5.6843418860808015E-14</v>
      </c>
      <c r="AJ53" s="13">
        <f>AI53*VLOOKUP('Données projet'!$B$10,Paramètres!$A$1:$I$89,3,0)*VLOOKUP('Données projet'!$B$10,Paramètres!$A$1:$I$89,5,0)</f>
        <v>-2.5006556825246661E-14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127.25822594328736</v>
      </c>
      <c r="AO53" s="59">
        <f t="shared" si="36"/>
        <v>273.87580232386563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38.482018615111983</v>
      </c>
      <c r="AV53" s="21">
        <f>EXP(-LN(2)/25)*AV52+(1-EXP(-LN(2)/25))/(LN(2)/25)*Calculateur!AQ53*Calculateur!AS53*VLOOKUP('Données projet'!$B$10,Paramètres!$A$1:$I$89,3,0)*0.475*44/12</f>
        <v>8.2425724379810319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46.724591053093015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6">
        <f t="shared" si="1"/>
        <v>357.00611358085365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-3.192326403222978E-14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164.99145658664128</v>
      </c>
      <c r="T54" s="59">
        <f t="shared" si="34"/>
        <v>354.51323926643181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48.162650683127715</v>
      </c>
      <c r="AA54" s="21">
        <f>EXP(-LN(2)/25)*AA53+(1-EXP(-LN(2)/25))/(LN(2)/25)*Calculateur!V54*Calculateur!X54*VLOOKUP('Données projet'!$B$9,Paramètres!$A$1:$I$89,3,0)*0.475*44/12</f>
        <v>10.234696418561359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58.397347101689078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-5.6843418860808015E-14</v>
      </c>
      <c r="AJ54" s="13">
        <f>AI54*VLOOKUP('Données projet'!$B$10,Paramètres!$A$1:$I$89,3,0)*VLOOKUP('Données projet'!$B$10,Paramètres!$A$1:$I$89,5,0)</f>
        <v>-2.5006556825246661E-14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127.25822594328736</v>
      </c>
      <c r="AO54" s="59">
        <f t="shared" si="36"/>
        <v>273.87580232386563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37.727409701783351</v>
      </c>
      <c r="AV54" s="21">
        <f>EXP(-LN(2)/25)*AV53+(1-EXP(-LN(2)/25))/(LN(2)/25)*Calculateur!AQ54*Calculateur!AS54*VLOOKUP('Données projet'!$B$10,Paramètres!$A$1:$I$89,3,0)*0.475*44/12</f>
        <v>8.0171788612063946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45.744588562989748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6">
        <f t="shared" si="1"/>
        <v>358.21966843911872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-3.192326403222978E-14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164.99145658664128</v>
      </c>
      <c r="T55" s="59">
        <f t="shared" si="34"/>
        <v>354.51323926643181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47.218210479547828</v>
      </c>
      <c r="AA55" s="21">
        <f>EXP(-LN(2)/25)*AA54+(1-EXP(-LN(2)/25))/(LN(2)/25)*Calculateur!V55*Calculateur!X55*VLOOKUP('Données projet'!$B$9,Paramètres!$A$1:$I$89,3,0)*0.475*44/12</f>
        <v>9.9548281067765068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57.173038586324338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-5.6843418860808015E-14</v>
      </c>
      <c r="AJ55" s="13">
        <f>AI55*VLOOKUP('Données projet'!$B$10,Paramètres!$A$1:$I$89,3,0)*VLOOKUP('Données projet'!$B$10,Paramètres!$A$1:$I$89,5,0)</f>
        <v>-2.5006556825246661E-14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127.25822594328736</v>
      </c>
      <c r="AO55" s="59">
        <f t="shared" si="36"/>
        <v>273.87580232386563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36.987598208979108</v>
      </c>
      <c r="AV55" s="21">
        <f>EXP(-LN(2)/25)*AV54+(1-EXP(-LN(2)/25))/(LN(2)/25)*Calculateur!AQ55*Calculateur!AS55*VLOOKUP('Données projet'!$B$10,Paramètres!$A$1:$I$89,3,0)*0.475*44/12</f>
        <v>7.797948683641593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44.785546892620701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6">
        <f t="shared" si="1"/>
        <v>359.43263608567548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-3.192326403222978E-14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164.99145658664128</v>
      </c>
      <c r="T56" s="59">
        <f t="shared" si="34"/>
        <v>354.51323926643181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46.292290172308498</v>
      </c>
      <c r="AA56" s="21">
        <f>EXP(-LN(2)/25)*AA55+(1-EXP(-LN(2)/25))/(LN(2)/25)*Calculateur!V56*Calculateur!X56*VLOOKUP('Données projet'!$B$9,Paramètres!$A$1:$I$89,3,0)*0.475*44/12</f>
        <v>9.6826128086950458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55.974902981003545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-5.6843418860808015E-14</v>
      </c>
      <c r="AJ56" s="13">
        <f>AI56*VLOOKUP('Données projet'!$B$10,Paramètres!$A$1:$I$89,3,0)*VLOOKUP('Données projet'!$B$10,Paramètres!$A$1:$I$89,5,0)</f>
        <v>-2.5006556825246661E-14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127.25822594328736</v>
      </c>
      <c r="AO56" s="59">
        <f t="shared" si="36"/>
        <v>273.87580232386563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36.262293968308299</v>
      </c>
      <c r="AV56" s="21">
        <f>EXP(-LN(2)/25)*AV55+(1-EXP(-LN(2)/25))/(LN(2)/25)*Calculateur!AQ56*Calculateur!AS56*VLOOKUP('Données projet'!$B$10,Paramètres!$A$1:$I$89,3,0)*0.475*44/12</f>
        <v>7.5847133668111146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43.847007335119415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6">
        <f t="shared" si="1"/>
        <v>360.64502887754611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-3.192326403222978E-14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164.99145658664128</v>
      </c>
      <c r="T57" s="59">
        <f t="shared" si="34"/>
        <v>354.51323926643181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45.38452659753851</v>
      </c>
      <c r="AA57" s="21">
        <f>EXP(-LN(2)/25)*AA56+(1-EXP(-LN(2)/25))/(LN(2)/25)*Calculateur!V57*Calculateur!X57*VLOOKUP('Données projet'!$B$9,Paramètres!$A$1:$I$89,3,0)*0.475*44/12</f>
        <v>9.417841252254803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54.802367849793313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-5.6843418860808015E-14</v>
      </c>
      <c r="AJ57" s="13">
        <f>AI57*VLOOKUP('Données projet'!$B$10,Paramètres!$A$1:$I$89,3,0)*VLOOKUP('Données projet'!$B$10,Paramètres!$A$1:$I$89,5,0)</f>
        <v>-2.5006556825246661E-14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127.25822594328736</v>
      </c>
      <c r="AO57" s="59">
        <f t="shared" si="36"/>
        <v>273.87580232386563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35.551212501405139</v>
      </c>
      <c r="AV57" s="21">
        <f>EXP(-LN(2)/25)*AV56+(1-EXP(-LN(2)/25))/(LN(2)/25)*Calculateur!AQ57*Calculateur!AS57*VLOOKUP('Données projet'!$B$10,Paramètres!$A$1:$I$89,3,0)*0.475*44/12</f>
        <v>7.3773089809329235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42.928521482338063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6">
        <f t="shared" si="1"/>
        <v>361.85685868788795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-3.192326403222978E-14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164.99145658664128</v>
      </c>
      <c r="T58" s="59">
        <f t="shared" si="34"/>
        <v>354.51323926643181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44.494563712788654</v>
      </c>
      <c r="AA58" s="21">
        <f>EXP(-LN(2)/25)*AA57+(1-EXP(-LN(2)/25))/(LN(2)/25)*Calculateur!V58*Calculateur!X58*VLOOKUP('Données projet'!$B$9,Paramètres!$A$1:$I$89,3,0)*0.475*44/12</f>
        <v>9.1603098879491487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53.654873600737801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-5.6843418860808015E-14</v>
      </c>
      <c r="AJ58" s="13">
        <f>AI58*VLOOKUP('Données projet'!$B$10,Paramètres!$A$1:$I$89,3,0)*VLOOKUP('Données projet'!$B$10,Paramètres!$A$1:$I$89,5,0)</f>
        <v>-2.5006556825246661E-14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127.25822594328736</v>
      </c>
      <c r="AO58" s="59">
        <f t="shared" si="36"/>
        <v>273.87580232386563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34.85407490835108</v>
      </c>
      <c r="AV58" s="21">
        <f>EXP(-LN(2)/25)*AV57+(1-EXP(-LN(2)/25))/(LN(2)/25)*Calculateur!AQ58*Calculateur!AS58*VLOOKUP('Données projet'!$B$10,Paramètres!$A$1:$I$89,3,0)*0.475*44/12</f>
        <v>7.1755760788934948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42.029650987244572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6">
        <f t="shared" si="1"/>
        <v>363.068136933387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-3.192326403222978E-14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164.99145658664128</v>
      </c>
      <c r="T59" s="59">
        <f t="shared" si="34"/>
        <v>354.51323926643181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43.622052457384981</v>
      </c>
      <c r="AA59" s="21">
        <f>EXP(-LN(2)/25)*AA58+(1-EXP(-LN(2)/25))/(LN(2)/25)*Calculateur!V59*Calculateur!X59*VLOOKUP('Données projet'!$B$9,Paramètres!$A$1:$I$89,3,0)*0.475*44/12</f>
        <v>8.9098207323434178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52.531873189728401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-5.6843418860808015E-14</v>
      </c>
      <c r="AJ59" s="13">
        <f>AI59*VLOOKUP('Données projet'!$B$10,Paramètres!$A$1:$I$89,3,0)*VLOOKUP('Données projet'!$B$10,Paramètres!$A$1:$I$89,5,0)</f>
        <v>-2.5006556825246661E-14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127.25822594328736</v>
      </c>
      <c r="AO59" s="59">
        <f t="shared" si="36"/>
        <v>273.87580232386563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34.170607758284866</v>
      </c>
      <c r="AV59" s="21">
        <f>EXP(-LN(2)/25)*AV58+(1-EXP(-LN(2)/25))/(LN(2)/25)*Calculateur!AQ59*Calculateur!AS59*VLOOKUP('Données projet'!$B$10,Paramètres!$A$1:$I$89,3,0)*0.475*44/12</f>
        <v>6.9793595736690062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41.149967331953874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6">
        <f t="shared" si="1"/>
        <v>364.27887459963966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-3.192326403222978E-14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164.99145658664128</v>
      </c>
      <c r="T60" s="59">
        <f t="shared" si="34"/>
        <v>354.51323926643181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42.766650615520454</v>
      </c>
      <c r="AA60" s="21">
        <f>EXP(-LN(2)/25)*AA59+(1-EXP(-LN(2)/25))/(LN(2)/25)*Calculateur!V60*Calculateur!X60*VLOOKUP('Données projet'!$B$9,Paramètres!$A$1:$I$89,3,0)*0.475*44/12</f>
        <v>8.6661812158703775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51.432831831390828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-5.6843418860808015E-14</v>
      </c>
      <c r="AJ60" s="13">
        <f>AI60*VLOOKUP('Données projet'!$B$10,Paramètres!$A$1:$I$89,3,0)*VLOOKUP('Données projet'!$B$10,Paramètres!$A$1:$I$89,5,0)</f>
        <v>-2.5006556825246661E-14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127.25822594328736</v>
      </c>
      <c r="AO60" s="59">
        <f t="shared" si="36"/>
        <v>273.87580232386563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33.500542982157654</v>
      </c>
      <c r="AV60" s="21">
        <f>EXP(-LN(2)/25)*AV59+(1-EXP(-LN(2)/25))/(LN(2)/25)*Calculateur!AQ60*Calculateur!AS60*VLOOKUP('Données projet'!$B$10,Paramètres!$A$1:$I$89,3,0)*0.475*44/12</f>
        <v>6.7885086190984589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40.289051601256112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6">
        <f t="shared" si="1"/>
        <v>365.48908226470269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-3.192326403222978E-14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164.99145658664128</v>
      </c>
      <c r="T61" s="59">
        <f t="shared" si="34"/>
        <v>354.51323926643181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41.928022682031283</v>
      </c>
      <c r="AA61" s="21">
        <f>EXP(-LN(2)/25)*AA60+(1-EXP(-LN(2)/25))/(LN(2)/25)*Calculateur!V61*Calculateur!X61*VLOOKUP('Données projet'!$B$9,Paramètres!$A$1:$I$89,3,0)*0.475*44/12</f>
        <v>8.4292040347877393</v>
      </c>
      <c r="AB61" s="21">
        <f>EXP(-LN(2)/2)*AB60+(1-EXP(-LN(2)/2))/(LN(2)/2)*V61*Y61*VLOOKUP('Données projet'!$B$9,Paramètres!$A$1:$I$89,3,0)*0.475*44/12</f>
        <v>0</v>
      </c>
      <c r="AC61" s="22">
        <f t="shared" si="3"/>
        <v>50.357226716819021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-5.6843418860808015E-14</v>
      </c>
      <c r="AJ61" s="13">
        <f>AI61*VLOOKUP('Données projet'!$B$10,Paramètres!$A$1:$I$89,3,0)*VLOOKUP('Données projet'!$B$10,Paramètres!$A$1:$I$89,5,0)</f>
        <v>-2.5006556825246661E-14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127.25822594328736</v>
      </c>
      <c r="AO61" s="59">
        <f t="shared" si="36"/>
        <v>273.87580232386563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32.843617767591141</v>
      </c>
      <c r="AV61" s="21">
        <f>EXP(-LN(2)/25)*AV60+(1-EXP(-LN(2)/25))/(LN(2)/25)*Calculateur!AQ61*Calculateur!AS61*VLOOKUP('Données projet'!$B$10,Paramètres!$A$1:$I$89,3,0)*0.475*44/12</f>
        <v>6.6028764939170586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39.446494261508199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6">
        <f t="shared" si="1"/>
        <v>366.69877012097305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-3.192326403222978E-14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164.99145658664128</v>
      </c>
      <c r="T62" s="59">
        <f t="shared" si="34"/>
        <v>354.51323926643181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41.105839730805307</v>
      </c>
      <c r="AA62" s="21">
        <f>EXP(-LN(2)/25)*AA61+(1-EXP(-LN(2)/25))/(LN(2)/25)*Calculateur!V62*Calculateur!X62*VLOOKUP('Données projet'!$B$9,Paramètres!$A$1:$I$89,3,0)*0.475*44/12</f>
        <v>8.1987070071838932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49.304546737989199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-5.6843418860808015E-14</v>
      </c>
      <c r="AJ62" s="13">
        <f>AI62*VLOOKUP('Données projet'!$B$10,Paramètres!$A$1:$I$89,3,0)*VLOOKUP('Données projet'!$B$10,Paramètres!$A$1:$I$89,5,0)</f>
        <v>-2.5006556825246661E-14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127.25822594328736</v>
      </c>
      <c r="AO62" s="59">
        <f t="shared" si="36"/>
        <v>273.87580232386563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32.19957445579746</v>
      </c>
      <c r="AV62" s="21">
        <f>EXP(-LN(2)/25)*AV61+(1-EXP(-LN(2)/25))/(LN(2)/25)*Calculateur!AQ62*Calculateur!AS62*VLOOKUP('Données projet'!$B$10,Paramètres!$A$1:$I$89,3,0)*0.475*44/12</f>
        <v>6.4223204889607128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38.621894944758175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6">
        <f t="shared" si="1"/>
        <v>367.90794799554254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-3.192326403222978E-14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164.99145658664128</v>
      </c>
      <c r="T63" s="59">
        <f t="shared" si="34"/>
        <v>354.51323926643181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40.299779285770789</v>
      </c>
      <c r="AA63" s="21">
        <f>EXP(-LN(2)/25)*AA62+(1-EXP(-LN(2)/25))/(LN(2)/25)*Calculateur!V63*Calculateur!X63*VLOOKUP('Données projet'!$B$9,Paramètres!$A$1:$I$89,3,0)*0.475*44/12</f>
        <v>7.9745129329211863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48.274292218691976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-5.6843418860808015E-14</v>
      </c>
      <c r="AJ63" s="13">
        <f>AI63*VLOOKUP('Données projet'!$B$10,Paramètres!$A$1:$I$89,3,0)*VLOOKUP('Données projet'!$B$10,Paramètres!$A$1:$I$89,5,0)</f>
        <v>-2.5006556825246661E-14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127.25822594328736</v>
      </c>
      <c r="AO63" s="59">
        <f t="shared" si="36"/>
        <v>273.87580232386563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31.568160440520423</v>
      </c>
      <c r="AV63" s="21">
        <f>EXP(-LN(2)/25)*AV62+(1-EXP(-LN(2)/25))/(LN(2)/25)*Calculateur!AQ63*Calculateur!AS63*VLOOKUP('Données projet'!$B$10,Paramètres!$A$1:$I$89,3,0)*0.475*44/12</f>
        <v>6.2467017974549259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37.814862237975348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6">
        <f t="shared" si="1"/>
        <v>369.11662536915674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-3.192326403222978E-14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164.99145658664128</v>
      </c>
      <c r="T64" s="59">
        <f t="shared" si="34"/>
        <v>354.51323926643181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39.509525194415069</v>
      </c>
      <c r="AA64" s="21">
        <f>EXP(-LN(2)/25)*AA63+(1-EXP(-LN(2)/25))/(LN(2)/25)*Calculateur!V64*Calculateur!X64*VLOOKUP('Données projet'!$B$9,Paramètres!$A$1:$I$89,3,0)*0.475*44/12</f>
        <v>7.7564494574090475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47.265974651824116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-5.6843418860808015E-14</v>
      </c>
      <c r="AJ64" s="13">
        <f>AI64*VLOOKUP('Données projet'!$B$10,Paramètres!$A$1:$I$89,3,0)*VLOOKUP('Données projet'!$B$10,Paramètres!$A$1:$I$89,5,0)</f>
        <v>-2.5006556825246661E-14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127.25822594328736</v>
      </c>
      <c r="AO64" s="59">
        <f t="shared" si="36"/>
        <v>273.87580232386563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30.949128068958444</v>
      </c>
      <c r="AV64" s="21">
        <f>EXP(-LN(2)/25)*AV63+(1-EXP(-LN(2)/25))/(LN(2)/25)*Calculateur!AQ64*Calculateur!AS64*VLOOKUP('Données projet'!$B$10,Paramètres!$A$1:$I$89,3,0)*0.475*44/12</f>
        <v>6.0758854083037503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37.025013477262192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6">
        <f t="shared" si="1"/>
        <v>370.32481139389552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-3.192326403222978E-14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164.99145658664128</v>
      </c>
      <c r="T65" s="59">
        <f t="shared" si="34"/>
        <v>354.51323926643181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38.734767503783438</v>
      </c>
      <c r="AA65" s="21">
        <f>EXP(-LN(2)/25)*AA64+(1-EXP(-LN(2)/25))/(LN(2)/25)*Calculateur!V65*Calculateur!X65*VLOOKUP('Données projet'!$B$9,Paramètres!$A$1:$I$89,3,0)*0.475*44/12</f>
        <v>7.5443489391022478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46.279116442885687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-5.6843418860808015E-14</v>
      </c>
      <c r="AJ65" s="13">
        <f>AI65*VLOOKUP('Données projet'!$B$10,Paramètres!$A$1:$I$89,3,0)*VLOOKUP('Données projet'!$B$10,Paramètres!$A$1:$I$89,5,0)</f>
        <v>-2.5006556825246661E-14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127.25822594328736</v>
      </c>
      <c r="AO65" s="59">
        <f t="shared" si="36"/>
        <v>273.87580232386563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30.342234544630333</v>
      </c>
      <c r="AV65" s="21">
        <f>EXP(-LN(2)/25)*AV64+(1-EXP(-LN(2)/25))/(LN(2)/25)*Calculateur!AQ65*Calculateur!AS65*VLOOKUP('Données projet'!$B$10,Paramètres!$A$1:$I$89,3,0)*0.475*44/12</f>
        <v>5.9097400022967577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36.251974546927087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6">
        <f t="shared" si="1"/>
        <v>371.53251490968091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-3.192326403222978E-14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164.99145658664128</v>
      </c>
      <c r="T66" s="59">
        <f t="shared" si="34"/>
        <v>354.51323926643181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37.975202338909561</v>
      </c>
      <c r="AA66" s="21">
        <f>EXP(-LN(2)/25)*AA65+(1-EXP(-LN(2)/25))/(LN(2)/25)*Calculateur!V66*Calculateur!X66*VLOOKUP('Données projet'!$B$9,Paramètres!$A$1:$I$89,3,0)*0.475*44/12</f>
        <v>7.3380483206224287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45.313250659531988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-5.6843418860808015E-14</v>
      </c>
      <c r="AJ66" s="13">
        <f>AI66*VLOOKUP('Données projet'!$B$10,Paramètres!$A$1:$I$89,3,0)*VLOOKUP('Données projet'!$B$10,Paramètres!$A$1:$I$89,5,0)</f>
        <v>-2.5006556825246661E-14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127.25822594328736</v>
      </c>
      <c r="AO66" s="59">
        <f t="shared" si="36"/>
        <v>273.87580232386563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29.747241832145797</v>
      </c>
      <c r="AV66" s="21">
        <f>EXP(-LN(2)/25)*AV65+(1-EXP(-LN(2)/25))/(LN(2)/25)*Calculateur!AQ66*Calculateur!AS66*VLOOKUP('Données projet'!$B$10,Paramètres!$A$1:$I$89,3,0)*0.475*44/12</f>
        <v>5.7481378511542331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35.49537968330003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6">
        <f t="shared" si="1"/>
        <v>372.73974445970646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-3.192326403222978E-14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164.99145658664128</v>
      </c>
      <c r="T67" s="59">
        <f t="shared" si="34"/>
        <v>354.51323926643181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37.230531783629857</v>
      </c>
      <c r="AA67" s="21">
        <f>EXP(-LN(2)/25)*AA66+(1-EXP(-LN(2)/25))/(LN(2)/25)*Calculateur!V67*Calculateur!X67*VLOOKUP('Données projet'!$B$9,Paramètres!$A$1:$I$89,3,0)*0.475*44/12</f>
        <v>7.1373890034038183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44.367920787033675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-5.6843418860808015E-14</v>
      </c>
      <c r="AJ67" s="13">
        <f>AI67*VLOOKUP('Données projet'!$B$10,Paramètres!$A$1:$I$89,3,0)*VLOOKUP('Données projet'!$B$10,Paramètres!$A$1:$I$89,5,0)</f>
        <v>-2.5006556825246661E-14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127.25822594328736</v>
      </c>
      <c r="AO67" s="59">
        <f t="shared" si="36"/>
        <v>273.87580232386563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29.163916563843362</v>
      </c>
      <c r="AV67" s="21">
        <f>EXP(-LN(2)/25)*AV66+(1-EXP(-LN(2)/25))/(LN(2)/25)*Calculateur!AQ67*Calculateur!AS67*VLOOKUP('Données projet'!$B$10,Paramètres!$A$1:$I$89,3,0)*0.475*44/12</f>
        <v>5.5909547193329887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34.75487128317635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6">
        <f t="shared" ref="H68:H131" si="56">(B68+E68+F68)*44/12+(C68+D68)*0.475*44/12</f>
        <v>373.94650830487547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-3.192326403222978E-14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164.99145658664128</v>
      </c>
      <c r="T68" s="59">
        <f t="shared" si="34"/>
        <v>354.51323926643181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36.500463763734999</v>
      </c>
      <c r="AA68" s="21">
        <f>EXP(-LN(2)/25)*AA67+(1-EXP(-LN(2)/25))/(LN(2)/25)*Calculateur!V68*Calculateur!X68*VLOOKUP('Données projet'!$B$9,Paramètres!$A$1:$I$89,3,0)*0.475*44/12</f>
        <v>6.942216725766766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43.442680489501768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-5.6843418860808015E-14</v>
      </c>
      <c r="AJ68" s="13">
        <f>AI68*VLOOKUP('Données projet'!$B$10,Paramètres!$A$1:$I$89,3,0)*VLOOKUP('Données projet'!$B$10,Paramètres!$A$1:$I$89,5,0)</f>
        <v>-2.5006556825246661E-14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127.25822594328736</v>
      </c>
      <c r="AO68" s="59">
        <f t="shared" si="36"/>
        <v>273.87580232386563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28.592029948259054</v>
      </c>
      <c r="AV68" s="21">
        <f>EXP(-LN(2)/25)*AV67+(1-EXP(-LN(2)/25))/(LN(2)/25)*Calculateur!AQ68*Calculateur!AS68*VLOOKUP('Données projet'!$B$10,Paramètres!$A$1:$I$89,3,0)*0.475*44/12</f>
        <v>5.4380697685172974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34.030099716776348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6">
        <f t="shared" si="56"/>
        <v>375.15281443732528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-3.192326403222978E-14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164.99145658664128</v>
      </c>
      <c r="T69" s="59">
        <f t="shared" ref="T69:T132" si="88">$T$3</f>
        <v>354.51323926643181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35.784711932412755</v>
      </c>
      <c r="AA69" s="21">
        <f>EXP(-LN(2)/25)*AA68+(1-EXP(-LN(2)/25))/(LN(2)/25)*Calculateur!V69*Calculateur!X69*VLOOKUP('Données projet'!$B$9,Paramètres!$A$1:$I$89,3,0)*0.475*44/12</f>
        <v>6.7523814443253629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42.53709337673812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-5.6843418860808015E-14</v>
      </c>
      <c r="AJ69" s="13">
        <f>AI69*VLOOKUP('Données projet'!$B$10,Paramètres!$A$1:$I$89,3,0)*VLOOKUP('Données projet'!$B$10,Paramètres!$A$1:$I$89,5,0)</f>
        <v>-2.5006556825246661E-14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127.25822594328736</v>
      </c>
      <c r="AO69" s="59">
        <f t="shared" ref="AO69:AO132" si="90">$AO$3</f>
        <v>273.87580232386563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28.031357680389963</v>
      </c>
      <c r="AV69" s="21">
        <f>EXP(-LN(2)/25)*AV68+(1-EXP(-LN(2)/25))/(LN(2)/25)*Calculateur!AQ69*Calculateur!AS69*VLOOKUP('Données projet'!$B$10,Paramètres!$A$1:$I$89,3,0)*0.475*44/12</f>
        <v>5.2893654647215316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33.320723145111494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6">
        <f t="shared" si="56"/>
        <v>376.3586705931088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-3.192326403222978E-14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164.99145658664128</v>
      </c>
      <c r="T70" s="59">
        <f t="shared" si="88"/>
        <v>354.51323926643181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35.082995557937231</v>
      </c>
      <c r="AA70" s="21">
        <f>EXP(-LN(2)/25)*AA69+(1-EXP(-LN(2)/25))/(LN(2)/25)*Calculateur!V70*Calculateur!X70*VLOOKUP('Données projet'!$B$9,Paramètres!$A$1:$I$89,3,0)*0.475*44/12</f>
        <v>6.5677372186379781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41.650732776575211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-5.6843418860808015E-14</v>
      </c>
      <c r="AJ70" s="13">
        <f>AI70*VLOOKUP('Données projet'!$B$10,Paramètres!$A$1:$I$89,3,0)*VLOOKUP('Données projet'!$B$10,Paramètres!$A$1:$I$89,5,0)</f>
        <v>-2.5006556825246661E-14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127.25822594328736</v>
      </c>
      <c r="AO70" s="59">
        <f t="shared" si="90"/>
        <v>273.87580232386563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27.48167985371747</v>
      </c>
      <c r="AV70" s="21">
        <f>EXP(-LN(2)/25)*AV69+(1-EXP(-LN(2)/25))/(LN(2)/25)*Calculateur!AQ70*Calculateur!AS70*VLOOKUP('Données projet'!$B$10,Paramètres!$A$1:$I$89,3,0)*0.475*44/12</f>
        <v>5.1447274879330802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32.626407341650548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6">
        <f t="shared" si="56"/>
        <v>377.56408426409683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-3.192326403222978E-14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164.99145658664128</v>
      </c>
      <c r="T71" s="59">
        <f t="shared" si="88"/>
        <v>354.51323926643181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34.395039413560447</v>
      </c>
      <c r="AA71" s="21">
        <f>EXP(-LN(2)/25)*AA70+(1-EXP(-LN(2)/25))/(LN(2)/25)*Calculateur!V71*Calculateur!X71*VLOOKUP('Données projet'!$B$9,Paramètres!$A$1:$I$89,3,0)*0.475*44/12</f>
        <v>6.3881420990120334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40.783181512572483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-5.6843418860808015E-14</v>
      </c>
      <c r="AJ71" s="13">
        <f>AI71*VLOOKUP('Données projet'!$B$10,Paramètres!$A$1:$I$89,3,0)*VLOOKUP('Données projet'!$B$10,Paramètres!$A$1:$I$89,5,0)</f>
        <v>-2.5006556825246661E-14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127.25822594328736</v>
      </c>
      <c r="AO71" s="59">
        <f t="shared" si="90"/>
        <v>273.87580232386563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26.942780873955655</v>
      </c>
      <c r="AV71" s="21">
        <f>EXP(-LN(2)/25)*AV70+(1-EXP(-LN(2)/25))/(LN(2)/25)*Calculateur!AQ71*Calculateur!AS71*VLOOKUP('Données projet'!$B$10,Paramètres!$A$1:$I$89,3,0)*0.475*44/12</f>
        <v>5.0040446442260897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31.946825518181747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6">
        <f t="shared" si="56"/>
        <v>378.76906270916135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-3.192326403222978E-14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164.99145658664128</v>
      </c>
      <c r="T72" s="59">
        <f t="shared" si="88"/>
        <v>354.51323926643181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33.720573669563073</v>
      </c>
      <c r="AA72" s="21">
        <f>EXP(-LN(2)/25)*AA71+(1-EXP(-LN(2)/25))/(LN(2)/25)*Calculateur!V72*Calculateur!X72*VLOOKUP('Données projet'!$B$9,Paramètres!$A$1:$I$89,3,0)*0.475*44/12</f>
        <v>6.2134580173767571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39.934031686939832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-5.6843418860808015E-14</v>
      </c>
      <c r="AJ72" s="13">
        <f>AI72*VLOOKUP('Données projet'!$B$10,Paramètres!$A$1:$I$89,3,0)*VLOOKUP('Données projet'!$B$10,Paramètres!$A$1:$I$89,5,0)</f>
        <v>-2.5006556825246661E-14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127.25822594328736</v>
      </c>
      <c r="AO72" s="59">
        <f t="shared" si="90"/>
        <v>273.87580232386563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26.414449374491046</v>
      </c>
      <c r="AV72" s="21">
        <f>EXP(-LN(2)/25)*AV71+(1-EXP(-LN(2)/25))/(LN(2)/25)*Calculateur!AQ72*Calculateur!AS72*VLOOKUP('Données projet'!$B$10,Paramètres!$A$1:$I$89,3,0)*0.475*44/12</f>
        <v>4.8672087802784567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31.281658154769502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6">
        <f t="shared" si="56"/>
        <v>379.97361296469114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-3.192326403222978E-14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164.99145658664128</v>
      </c>
      <c r="T73" s="59">
        <f t="shared" si="88"/>
        <v>354.51323926643181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33.059333787422005</v>
      </c>
      <c r="AA73" s="21">
        <f>EXP(-LN(2)/25)*AA72+(1-EXP(-LN(2)/25))/(LN(2)/25)*Calculateur!V73*Calculateur!X73*VLOOKUP('Données projet'!$B$9,Paramètres!$A$1:$I$89,3,0)*0.475*44/12</f>
        <v>6.0435506811400339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39.102884468562038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-5.6843418860808015E-14</v>
      </c>
      <c r="AJ73" s="13">
        <f>AI73*VLOOKUP('Données projet'!$B$10,Paramètres!$A$1:$I$89,3,0)*VLOOKUP('Données projet'!$B$10,Paramètres!$A$1:$I$89,5,0)</f>
        <v>-2.5006556825246661E-14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127.25822594328736</v>
      </c>
      <c r="AO73" s="59">
        <f t="shared" si="90"/>
        <v>273.87580232386563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25.896478133480542</v>
      </c>
      <c r="AV73" s="21">
        <f>EXP(-LN(2)/25)*AV72+(1-EXP(-LN(2)/25))/(LN(2)/25)*Calculateur!AQ73*Calculateur!AS73*VLOOKUP('Données projet'!$B$10,Paramètres!$A$1:$I$89,3,0)*0.475*44/12</f>
        <v>4.7341147002263568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30.630592833706899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6">
        <f t="shared" si="56"/>
        <v>381.17774185449025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-3.192326403222978E-14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164.99145658664128</v>
      </c>
      <c r="T74" s="59">
        <f t="shared" si="88"/>
        <v>354.51323926643181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32.411060416053218</v>
      </c>
      <c r="AA74" s="21">
        <f>EXP(-LN(2)/25)*AA73+(1-EXP(-LN(2)/25))/(LN(2)/25)*Calculateur!V74*Calculateur!X74*VLOOKUP('Données projet'!$B$9,Paramètres!$A$1:$I$89,3,0)*0.475*44/12</f>
        <v>5.8782894699477417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38.289349886000963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-5.6843418860808015E-14</v>
      </c>
      <c r="AJ74" s="13">
        <f>AI74*VLOOKUP('Données projet'!$B$10,Paramètres!$A$1:$I$89,3,0)*VLOOKUP('Données projet'!$B$10,Paramètres!$A$1:$I$89,5,0)</f>
        <v>-2.5006556825246661E-14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127.25822594328736</v>
      </c>
      <c r="AO74" s="59">
        <f t="shared" si="90"/>
        <v>273.87580232386563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25.388663992574994</v>
      </c>
      <c r="AV74" s="21">
        <f>EXP(-LN(2)/25)*AV73+(1-EXP(-LN(2)/25))/(LN(2)/25)*Calculateur!AQ74*Calculateur!AS74*VLOOKUP('Données projet'!$B$10,Paramètres!$A$1:$I$89,3,0)*0.475*44/12</f>
        <v>4.6046600847923953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29.99332407736739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6">
        <f t="shared" si="56"/>
        <v>382.38145599910195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-3.192326403222978E-14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164.99145658664128</v>
      </c>
      <c r="T75" s="59">
        <f t="shared" si="88"/>
        <v>354.51323926643181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31.775499290089261</v>
      </c>
      <c r="AA75" s="21">
        <f>EXP(-LN(2)/25)*AA74+(1-EXP(-LN(2)/25))/(LN(2)/25)*Calculateur!V75*Calculateur!X75*VLOOKUP('Données projet'!$B$9,Paramètres!$A$1:$I$89,3,0)*0.475*44/12</f>
        <v>5.7175473352662127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37.493046625355475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-5.6843418860808015E-14</v>
      </c>
      <c r="AJ75" s="13">
        <f>AI75*VLOOKUP('Données projet'!$B$10,Paramètres!$A$1:$I$89,3,0)*VLOOKUP('Données projet'!$B$10,Paramètres!$A$1:$I$89,5,0)</f>
        <v>-2.5006556825246661E-14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127.25822594328736</v>
      </c>
      <c r="AO75" s="59">
        <f t="shared" si="90"/>
        <v>273.87580232386563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24.890807777236564</v>
      </c>
      <c r="AV75" s="21">
        <f>EXP(-LN(2)/25)*AV74+(1-EXP(-LN(2)/25))/(LN(2)/25)*Calculateur!AQ75*Calculateur!AS75*VLOOKUP('Données projet'!$B$10,Paramètres!$A$1:$I$89,3,0)*0.475*44/12</f>
        <v>4.4787454126251971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29.369553189861762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6">
        <f t="shared" si="56"/>
        <v>383.58476182460123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-3.192326403222978E-14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164.99145658664128</v>
      </c>
      <c r="T76" s="59">
        <f t="shared" si="88"/>
        <v>354.51323926643181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31.15240113015145</v>
      </c>
      <c r="AA76" s="21">
        <f>EXP(-LN(2)/25)*AA75+(1-EXP(-LN(2)/25))/(LN(2)/25)*Calculateur!V76*Calculateur!X76*VLOOKUP('Données projet'!$B$9,Paramètres!$A$1:$I$89,3,0)*0.475*44/12</f>
        <v>5.5612007027106118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36.713601832862061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-5.6843418860808015E-14</v>
      </c>
      <c r="AJ76" s="13">
        <f>AI76*VLOOKUP('Données projet'!$B$10,Paramètres!$A$1:$I$89,3,0)*VLOOKUP('Données projet'!$B$10,Paramètres!$A$1:$I$89,5,0)</f>
        <v>-2.5006556825246661E-14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127.25822594328736</v>
      </c>
      <c r="AO76" s="59">
        <f t="shared" si="90"/>
        <v>273.87580232386563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24.402714218618613</v>
      </c>
      <c r="AV76" s="21">
        <f>EXP(-LN(2)/25)*AV75+(1-EXP(-LN(2)/25))/(LN(2)/25)*Calculateur!AQ76*Calculateur!AS76*VLOOKUP('Données projet'!$B$10,Paramètres!$A$1:$I$89,3,0)*0.475*44/12</f>
        <v>4.3562738837899762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28.758988102408587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6">
        <f t="shared" si="56"/>
        <v>384.78766557089068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-3.192326403222978E-14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164.99145658664128</v>
      </c>
      <c r="T77" s="59">
        <f t="shared" si="88"/>
        <v>354.51323926643181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30.541521545077668</v>
      </c>
      <c r="AA77" s="21">
        <f>EXP(-LN(2)/25)*AA76+(1-EXP(-LN(2)/25))/(LN(2)/25)*Calculateur!V77*Calculateur!X77*VLOOKUP('Données projet'!$B$9,Paramètres!$A$1:$I$89,3,0)*0.475*44/12</f>
        <v>5.4091293770441551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35.950650922121824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-5.6843418860808015E-14</v>
      </c>
      <c r="AJ77" s="13">
        <f>AI77*VLOOKUP('Données projet'!$B$10,Paramètres!$A$1:$I$89,3,0)*VLOOKUP('Données projet'!$B$10,Paramètres!$A$1:$I$89,5,0)</f>
        <v>-2.5006556825246661E-14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127.25822594328736</v>
      </c>
      <c r="AO77" s="59">
        <f t="shared" si="90"/>
        <v>273.87580232386563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23.924191876977485</v>
      </c>
      <c r="AV77" s="21">
        <f>EXP(-LN(2)/25)*AV76+(1-EXP(-LN(2)/25))/(LN(2)/25)*Calculateur!AQ77*Calculateur!AS77*VLOOKUP('Données projet'!$B$10,Paramètres!$A$1:$I$89,3,0)*0.475*44/12</f>
        <v>4.2371513453512524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28.161343222328739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6">
        <f t="shared" si="56"/>
        <v>385.99017329953574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-3.192326403222978E-14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164.99145658664128</v>
      </c>
      <c r="T78" s="59">
        <f t="shared" si="88"/>
        <v>354.51323926643181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29.942620936067428</v>
      </c>
      <c r="AA78" s="21">
        <f>EXP(-LN(2)/25)*AA77+(1-EXP(-LN(2)/25))/(LN(2)/25)*Calculateur!V78*Calculateur!X78*VLOOKUP('Données projet'!$B$9,Paramètres!$A$1:$I$89,3,0)*0.475*44/12</f>
        <v>5.261216449775131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35.203837385842562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-5.6843418860808015E-14</v>
      </c>
      <c r="AJ78" s="13">
        <f>AI78*VLOOKUP('Données projet'!$B$10,Paramètres!$A$1:$I$89,3,0)*VLOOKUP('Données projet'!$B$10,Paramètres!$A$1:$I$89,5,0)</f>
        <v>-2.5006556825246661E-14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127.25822594328736</v>
      </c>
      <c r="AO78" s="59">
        <f t="shared" si="90"/>
        <v>273.87580232386563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23.455053066586128</v>
      </c>
      <c r="AV78" s="21">
        <f>EXP(-LN(2)/25)*AV77+(1-EXP(-LN(2)/25))/(LN(2)/25)*Calculateur!AQ78*Calculateur!AS78*VLOOKUP('Données projet'!$B$10,Paramètres!$A$1:$I$89,3,0)*0.475*44/12</f>
        <v>4.1212862189905168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27.576339285576644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6">
        <f t="shared" si="56"/>
        <v>387.19229090117022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-3.192326403222978E-14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164.99145658664128</v>
      </c>
      <c r="T79" s="59">
        <f t="shared" si="88"/>
        <v>354.51323926643181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29.355464402706577</v>
      </c>
      <c r="AA79" s="21">
        <f>EXP(-LN(2)/25)*AA78+(1-EXP(-LN(2)/25))/(LN(2)/25)*Calculateur!V79*Calculateur!X79*VLOOKUP('Données projet'!$B$9,Paramètres!$A$1:$I$89,3,0)*0.475*44/12</f>
        <v>5.1173482092806815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34.472812611987258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-5.6843418860808015E-14</v>
      </c>
      <c r="AJ79" s="13">
        <f>AI79*VLOOKUP('Données projet'!$B$10,Paramètres!$A$1:$I$89,3,0)*VLOOKUP('Données projet'!$B$10,Paramètres!$A$1:$I$89,5,0)</f>
        <v>-2.5006556825246661E-14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127.25822594328736</v>
      </c>
      <c r="AO79" s="59">
        <f t="shared" si="90"/>
        <v>273.87580232386563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22.995113782120129</v>
      </c>
      <c r="AV79" s="21">
        <f>EXP(-LN(2)/25)*AV78+(1-EXP(-LN(2)/25))/(LN(2)/25)*Calculateur!AQ79*Calculateur!AS79*VLOOKUP('Données projet'!$B$10,Paramètres!$A$1:$I$89,3,0)*0.475*44/12</f>
        <v>4.0085894306031982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27.003703212723327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6">
        <f t="shared" si="56"/>
        <v>388.39402410250074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-3.192326403222978E-14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164.99145658664128</v>
      </c>
      <c r="T80" s="59">
        <f t="shared" si="88"/>
        <v>354.51323926643181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28.779821650834808</v>
      </c>
      <c r="AA80" s="21">
        <f>EXP(-LN(2)/25)*AA79+(1-EXP(-LN(2)/25))/(LN(2)/25)*Calculateur!V80*Calculateur!X80*VLOOKUP('Données projet'!$B$9,Paramètres!$A$1:$I$89,3,0)*0.475*44/12</f>
        <v>4.9774140533882552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33.757235704223064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-5.6843418860808015E-14</v>
      </c>
      <c r="AJ80" s="13">
        <f>AI80*VLOOKUP('Données projet'!$B$10,Paramètres!$A$1:$I$89,3,0)*VLOOKUP('Données projet'!$B$10,Paramètres!$A$1:$I$89,5,0)</f>
        <v>-2.5006556825246661E-14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127.25822594328736</v>
      </c>
      <c r="AO80" s="59">
        <f t="shared" si="90"/>
        <v>273.87580232386563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22.544193626487242</v>
      </c>
      <c r="AV80" s="21">
        <f>EXP(-LN(2)/25)*AV79+(1-EXP(-LN(2)/25))/(LN(2)/25)*Calculateur!AQ80*Calculateur!AS80*VLOOKUP('Données projet'!$B$10,Paramètres!$A$1:$I$89,3,0)*0.475*44/12</f>
        <v>3.8989743418207974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26.443167968308039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6">
        <f t="shared" si="56"/>
        <v>389.59537847293694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-3.192326403222978E-14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164.99145658664128</v>
      </c>
      <c r="T81" s="59">
        <f t="shared" si="88"/>
        <v>354.51323926643181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28.215466902219834</v>
      </c>
      <c r="AA81" s="21">
        <f>EXP(-LN(2)/25)*AA80+(1-EXP(-LN(2)/25))/(LN(2)/25)*Calculateur!V81*Calculateur!X81*VLOOKUP('Données projet'!$B$9,Paramètres!$A$1:$I$89,3,0)*0.475*44/12</f>
        <v>4.8413064043475247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33.056773306567358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-5.6843418860808015E-14</v>
      </c>
      <c r="AJ81" s="13">
        <f>AI81*VLOOKUP('Données projet'!$B$10,Paramètres!$A$1:$I$89,3,0)*VLOOKUP('Données projet'!$B$10,Paramètres!$A$1:$I$89,5,0)</f>
        <v>-2.5006556825246661E-14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127.25822594328736</v>
      </c>
      <c r="AO81" s="59">
        <f t="shared" si="90"/>
        <v>273.87580232386563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22.102115740072179</v>
      </c>
      <c r="AV81" s="21">
        <f>EXP(-LN(2)/25)*AV80+(1-EXP(-LN(2)/25))/(LN(2)/25)*Calculateur!AQ81*Calculateur!AS81*VLOOKUP('Données projet'!$B$10,Paramètres!$A$1:$I$89,3,0)*0.475*44/12</f>
        <v>3.7923566834055582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25.894472423477737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6">
        <f t="shared" si="56"/>
        <v>390.79635943087231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-3.192326403222978E-14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164.99145658664128</v>
      </c>
      <c r="T82" s="59">
        <f t="shared" si="88"/>
        <v>354.51323926643181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27.662178806002792</v>
      </c>
      <c r="AA82" s="21">
        <f>EXP(-LN(2)/25)*AA81+(1-EXP(-LN(2)/25))/(LN(2)/25)*Calculateur!V82*Calculateur!X82*VLOOKUP('Données projet'!$B$9,Paramètres!$A$1:$I$89,3,0)*0.475*44/12</f>
        <v>4.7089206261274024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32.371099432130194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-5.6843418860808015E-14</v>
      </c>
      <c r="AJ82" s="13">
        <f>AI82*VLOOKUP('Données projet'!$B$10,Paramètres!$A$1:$I$89,3,0)*VLOOKUP('Données projet'!$B$10,Paramètres!$A$1:$I$89,5,0)</f>
        <v>-2.5006556825246661E-14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127.25822594328736</v>
      </c>
      <c r="AO82" s="59">
        <f t="shared" si="90"/>
        <v>273.87580232386563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21.668706731368832</v>
      </c>
      <c r="AV82" s="21">
        <f>EXP(-LN(2)/25)*AV81+(1-EXP(-LN(2)/25))/(LN(2)/25)*Calculateur!AQ82*Calculateur!AS82*VLOOKUP('Données projet'!$B$10,Paramètres!$A$1:$I$89,3,0)*0.475*44/12</f>
        <v>3.6886544904664627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25.357361221835294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6">
        <f t="shared" si="56"/>
        <v>391.99697224963751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-3.192326403222978E-14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164.99145658664128</v>
      </c>
      <c r="T83" s="59">
        <f t="shared" si="88"/>
        <v>354.51323926643181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27.11974035188015</v>
      </c>
      <c r="AA83" s="21">
        <f>EXP(-LN(2)/25)*AA82+(1-EXP(-LN(2)/25))/(LN(2)/25)*Calculateur!V83*Calculateur!X83*VLOOKUP('Données projet'!$B$9,Paramètres!$A$1:$I$89,3,0)*0.475*44/12</f>
        <v>4.5801549439745752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31.699895295854724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-5.6843418860808015E-14</v>
      </c>
      <c r="AJ83" s="13">
        <f>AI83*VLOOKUP('Données projet'!$B$10,Paramètres!$A$1:$I$89,3,0)*VLOOKUP('Données projet'!$B$10,Paramètres!$A$1:$I$89,5,0)</f>
        <v>-2.5006556825246661E-14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127.25822594328736</v>
      </c>
      <c r="AO83" s="59">
        <f t="shared" si="90"/>
        <v>273.87580232386563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21.243796608972765</v>
      </c>
      <c r="AV83" s="21">
        <f>EXP(-LN(2)/25)*AV82+(1-EXP(-LN(2)/25))/(LN(2)/25)*Calculateur!AQ83*Calculateur!AS83*VLOOKUP('Données projet'!$B$10,Paramètres!$A$1:$I$89,3,0)*0.475*44/12</f>
        <v>3.5877880394467483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24.831584648419515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6">
        <f t="shared" si="56"/>
        <v>393.19722206314799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-3.192326403222978E-14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164.99145658664128</v>
      </c>
      <c r="T84" s="59">
        <f t="shared" si="88"/>
        <v>354.51323926643181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26.587938784988065</v>
      </c>
      <c r="AA84" s="21">
        <f>EXP(-LN(2)/25)*AA83+(1-EXP(-LN(2)/25))/(LN(2)/25)*Calculateur!V84*Calculateur!X84*VLOOKUP('Données projet'!$B$9,Paramètres!$A$1:$I$89,3,0)*0.475*44/12</f>
        <v>4.4549103661717098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31.042849151159775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-5.6843418860808015E-14</v>
      </c>
      <c r="AJ84" s="13">
        <f>AI84*VLOOKUP('Données projet'!$B$10,Paramètres!$A$1:$I$89,3,0)*VLOOKUP('Données projet'!$B$10,Paramètres!$A$1:$I$89,5,0)</f>
        <v>-2.5006556825246661E-14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127.25822594328736</v>
      </c>
      <c r="AO84" s="59">
        <f t="shared" si="90"/>
        <v>273.87580232386563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20.8272187149073</v>
      </c>
      <c r="AV84" s="21">
        <f>EXP(-LN(2)/25)*AV83+(1-EXP(-LN(2)/25))/(LN(2)/25)*Calculateur!AQ84*Calculateur!AS84*VLOOKUP('Données projet'!$B$10,Paramètres!$A$1:$I$89,3,0)*0.475*44/12</f>
        <v>3.489679786834504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24.316898501741804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6">
        <f t="shared" si="56"/>
        <v>394.39711387126425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-3.192326403222978E-14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164.99145658664128</v>
      </c>
      <c r="T85" s="59">
        <f t="shared" si="88"/>
        <v>354.51323926643181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26.066565522455807</v>
      </c>
      <c r="AA85" s="21">
        <f>EXP(-LN(2)/25)*AA84+(1-EXP(-LN(2)/25))/(LN(2)/25)*Calculateur!V85*Calculateur!X85*VLOOKUP('Données projet'!$B$9,Paramètres!$A$1:$I$89,3,0)*0.475*44/12</f>
        <v>4.3330906079351896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30.399656130390998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-5.6843418860808015E-14</v>
      </c>
      <c r="AJ85" s="13">
        <f>AI85*VLOOKUP('Données projet'!$B$10,Paramètres!$A$1:$I$89,3,0)*VLOOKUP('Données projet'!$B$10,Paramètres!$A$1:$I$89,5,0)</f>
        <v>-2.5006556825246661E-14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127.25822594328736</v>
      </c>
      <c r="AO85" s="59">
        <f t="shared" si="90"/>
        <v>273.87580232386563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20.418809659257033</v>
      </c>
      <c r="AV85" s="21">
        <f>EXP(-LN(2)/25)*AV84+(1-EXP(-LN(2)/25))/(LN(2)/25)*Calculateur!AQ85*Calculateur!AS85*VLOOKUP('Données projet'!$B$10,Paramètres!$A$1:$I$89,3,0)*0.475*44/12</f>
        <v>3.3942543095492304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23.813063968806262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6">
        <f t="shared" si="56"/>
        <v>395.59665254488391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-3.192326403222978E-14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164.99145658664128</v>
      </c>
      <c r="T86" s="59">
        <f t="shared" si="88"/>
        <v>354.51323926643181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25.55541607159552</v>
      </c>
      <c r="AA86" s="21">
        <f>EXP(-LN(2)/25)*AA85+(1-EXP(-LN(2)/25))/(LN(2)/25)*Calculateur!V86*Calculateur!X86*VLOOKUP('Données projet'!$B$9,Paramètres!$A$1:$I$89,3,0)*0.475*44/12</f>
        <v>4.2146020173938705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29.770018088989389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-5.6843418860808015E-14</v>
      </c>
      <c r="AJ86" s="13">
        <f>AI86*VLOOKUP('Données projet'!$B$10,Paramètres!$A$1:$I$89,3,0)*VLOOKUP('Données projet'!$B$10,Paramètres!$A$1:$I$89,5,0)</f>
        <v>-2.5006556825246661E-14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127.25822594328736</v>
      </c>
      <c r="AO86" s="59">
        <f t="shared" si="90"/>
        <v>273.87580232386563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20.018409256083139</v>
      </c>
      <c r="AV86" s="21">
        <f>EXP(-LN(2)/25)*AV85+(1-EXP(-LN(2)/25))/(LN(2)/25)*Calculateur!AQ86*Calculateur!AS86*VLOOKUP('Données projet'!$B$10,Paramètres!$A$1:$I$89,3,0)*0.475*44/12</f>
        <v>3.3014382469585302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23.319847503041668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6">
        <f t="shared" si="56"/>
        <v>396.79584283078037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-3.192326403222978E-14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164.99145658664128</v>
      </c>
      <c r="T87" s="59">
        <f t="shared" si="88"/>
        <v>354.51323926643181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25.054289949696219</v>
      </c>
      <c r="AA87" s="21">
        <f>EXP(-LN(2)/25)*AA86+(1-EXP(-LN(2)/25))/(LN(2)/25)*Calculateur!V87*Calculateur!X87*VLOOKUP('Données projet'!$B$9,Paramètres!$A$1:$I$89,3,0)*0.475*44/12</f>
        <v>4.0993535035919475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29.153643453288169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-5.6843418860808015E-14</v>
      </c>
      <c r="AJ87" s="13">
        <f>AI87*VLOOKUP('Données projet'!$B$10,Paramètres!$A$1:$I$89,3,0)*VLOOKUP('Données projet'!$B$10,Paramètres!$A$1:$I$89,5,0)</f>
        <v>-2.5006556825246661E-14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127.25822594328736</v>
      </c>
      <c r="AO87" s="59">
        <f t="shared" si="90"/>
        <v>273.87580232386563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19.625860460595355</v>
      </c>
      <c r="AV87" s="21">
        <f>EXP(-LN(2)/25)*AV86+(1-EXP(-LN(2)/25))/(LN(2)/25)*Calculateur!AQ87*Calculateur!AS87*VLOOKUP('Données projet'!$B$10,Paramètres!$A$1:$I$89,3,0)*0.475*44/12</f>
        <v>3.2111602444803573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22.837020705075712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6">
        <f t="shared" si="56"/>
        <v>397.99468935620564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-3.192326403222978E-14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164.99145658664128</v>
      </c>
      <c r="T88" s="59">
        <f t="shared" si="88"/>
        <v>354.51323926643181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24.562990605390613</v>
      </c>
      <c r="AA88" s="21">
        <f>EXP(-LN(2)/25)*AA87+(1-EXP(-LN(2)/25))/(LN(2)/25)*Calculateur!V88*Calculateur!X88*VLOOKUP('Données projet'!$B$9,Paramètres!$A$1:$I$89,3,0)*0.475*44/12</f>
        <v>3.9872564664605941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28.550247071851206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-5.6843418860808015E-14</v>
      </c>
      <c r="AJ88" s="13">
        <f>AI88*VLOOKUP('Données projet'!$B$10,Paramètres!$A$1:$I$89,3,0)*VLOOKUP('Données projet'!$B$10,Paramètres!$A$1:$I$89,5,0)</f>
        <v>-2.5006556825246661E-14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127.25822594328736</v>
      </c>
      <c r="AO88" s="59">
        <f t="shared" si="90"/>
        <v>273.87580232386563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19.241009307555963</v>
      </c>
      <c r="AV88" s="21">
        <f>EXP(-LN(2)/25)*AV87+(1-EXP(-LN(2)/25))/(LN(2)/25)*Calculateur!AQ88*Calculateur!AS88*VLOOKUP('Données projet'!$B$10,Paramètres!$A$1:$I$89,3,0)*0.475*44/12</f>
        <v>3.1233508987274639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22.364360206283425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6">
        <f t="shared" si="56"/>
        <v>399.19319663326939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-3.192326403222978E-14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164.99145658664128</v>
      </c>
      <c r="T89" s="59">
        <f t="shared" si="88"/>
        <v>354.51323926643181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24.081325341563829</v>
      </c>
      <c r="AA89" s="21">
        <f>EXP(-LN(2)/25)*AA88+(1-EXP(-LN(2)/25))/(LN(2)/25)*Calculateur!V89*Calculateur!X89*VLOOKUP('Données projet'!$B$9,Paramètres!$A$1:$I$89,3,0)*0.475*44/12</f>
        <v>3.8782247287045246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27.959550070268353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-5.6843418860808015E-14</v>
      </c>
      <c r="AJ89" s="13">
        <f>AI89*VLOOKUP('Données projet'!$B$10,Paramètres!$A$1:$I$89,3,0)*VLOOKUP('Données projet'!$B$10,Paramètres!$A$1:$I$89,5,0)</f>
        <v>-2.5006556825246661E-14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127.25822594328736</v>
      </c>
      <c r="AO89" s="59">
        <f t="shared" si="90"/>
        <v>273.87580232386563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18.863704850891647</v>
      </c>
      <c r="AV89" s="21">
        <f>EXP(-LN(2)/25)*AV88+(1-EXP(-LN(2)/25))/(LN(2)/25)*Calculateur!AQ89*Calculateur!AS89*VLOOKUP('Données projet'!$B$10,Paramètres!$A$1:$I$89,3,0)*0.475*44/12</f>
        <v>3.0379427041518761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21.901647555043525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6">
        <f t="shared" si="56"/>
        <v>400.39136906310915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-3.192326403222978E-14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164.99145658664128</v>
      </c>
      <c r="T90" s="59">
        <f t="shared" si="88"/>
        <v>354.51323926643181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23.609105239773886</v>
      </c>
      <c r="AA90" s="21">
        <f>EXP(-LN(2)/25)*AA89+(1-EXP(-LN(2)/25))/(LN(2)/25)*Calculateur!V90*Calculateur!X90*VLOOKUP('Données projet'!$B$9,Paramètres!$A$1:$I$89,3,0)*0.475*44/12</f>
        <v>3.7721744695511248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27.38127970932501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-5.6843418860808015E-14</v>
      </c>
      <c r="AJ90" s="13">
        <f>AI90*VLOOKUP('Données projet'!$B$10,Paramètres!$A$1:$I$89,3,0)*VLOOKUP('Données projet'!$B$10,Paramètres!$A$1:$I$89,5,0)</f>
        <v>-2.5006556825246661E-14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127.25822594328736</v>
      </c>
      <c r="AO90" s="59">
        <f t="shared" si="90"/>
        <v>273.87580232386563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18.493799104489526</v>
      </c>
      <c r="AV90" s="21">
        <f>EXP(-LN(2)/25)*AV89+(1-EXP(-LN(2)/25))/(LN(2)/25)*Calculateur!AQ90*Calculateur!AS90*VLOOKUP('Données projet'!$B$10,Paramètres!$A$1:$I$89,3,0)*0.475*44/12</f>
        <v>2.9548700011483797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21.448669105637904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6">
        <f t="shared" si="56"/>
        <v>401.58921093986299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-3.192326403222978E-14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164.99145658664128</v>
      </c>
      <c r="T91" s="59">
        <f t="shared" si="88"/>
        <v>354.51323926643181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23.14614508615422</v>
      </c>
      <c r="AA91" s="21">
        <f>EXP(-LN(2)/25)*AA90+(1-EXP(-LN(2)/25))/(LN(2)/25)*Calculateur!V91*Calculateur!X91*VLOOKUP('Données projet'!$B$9,Paramètres!$A$1:$I$89,3,0)*0.475*44/12</f>
        <v>3.6690241603112153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26.815169246465437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-5.6843418860808015E-14</v>
      </c>
      <c r="AJ91" s="13">
        <f>AI91*VLOOKUP('Données projet'!$B$10,Paramètres!$A$1:$I$89,3,0)*VLOOKUP('Données projet'!$B$10,Paramètres!$A$1:$I$89,5,0)</f>
        <v>-2.5006556825246661E-14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127.25822594328736</v>
      </c>
      <c r="AO91" s="59">
        <f t="shared" si="90"/>
        <v>273.87580232386563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18.131146984154121</v>
      </c>
      <c r="AV91" s="21">
        <f>EXP(-LN(2)/25)*AV90+(1-EXP(-LN(2)/25))/(LN(2)/25)*Calculateur!AQ91*Calculateur!AS91*VLOOKUP('Données projet'!$B$10,Paramètres!$A$1:$I$89,3,0)*0.475*44/12</f>
        <v>2.8740689255771175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21.005215909731238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6">
        <f t="shared" si="56"/>
        <v>402.78672645445664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-3.192326403222978E-14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164.99145658664128</v>
      </c>
      <c r="T92" s="59">
        <f t="shared" si="88"/>
        <v>354.51323926643181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22.692263298769227</v>
      </c>
      <c r="AA92" s="21">
        <f>EXP(-LN(2)/25)*AA91+(1-EXP(-LN(2)/25))/(LN(2)/25)*Calculateur!V92*Calculateur!X92*VLOOKUP('Données projet'!$B$9,Paramètres!$A$1:$I$89,3,0)*0.475*44/12</f>
        <v>3.56869450170191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26.260957800471136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-5.6843418860808015E-14</v>
      </c>
      <c r="AJ92" s="13">
        <f>AI92*VLOOKUP('Données projet'!$B$10,Paramètres!$A$1:$I$89,3,0)*VLOOKUP('Données projet'!$B$10,Paramètres!$A$1:$I$89,5,0)</f>
        <v>-2.5006556825246661E-14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127.25822594328736</v>
      </c>
      <c r="AO92" s="59">
        <f t="shared" si="90"/>
        <v>273.87580232386563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17.775606250702541</v>
      </c>
      <c r="AV92" s="21">
        <f>EXP(-LN(2)/25)*AV91+(1-EXP(-LN(2)/25))/(LN(2)/25)*Calculateur!AQ92*Calculateur!AS92*VLOOKUP('Données projet'!$B$10,Paramètres!$A$1:$I$89,3,0)*0.475*44/12</f>
        <v>2.7954773596664952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20.571083610369037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6">
        <f t="shared" si="56"/>
        <v>403.98391969821557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-3.192326403222978E-14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164.99145658664128</v>
      </c>
      <c r="T93" s="59">
        <f t="shared" si="88"/>
        <v>354.51323926643181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22.247281856394299</v>
      </c>
      <c r="AA93" s="21">
        <f>EXP(-LN(2)/25)*AA92+(1-EXP(-LN(2)/25))/(LN(2)/25)*Calculateur!V93*Calculateur!X93*VLOOKUP('Données projet'!$B$9,Paramètres!$A$1:$I$89,3,0)*0.475*44/12</f>
        <v>3.4711083628833839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25.718390219277683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-5.6843418860808015E-14</v>
      </c>
      <c r="AJ93" s="13">
        <f>AI93*VLOOKUP('Données projet'!$B$10,Paramètres!$A$1:$I$89,3,0)*VLOOKUP('Données projet'!$B$10,Paramètres!$A$1:$I$89,5,0)</f>
        <v>-2.5006556825246661E-14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127.25822594328736</v>
      </c>
      <c r="AO93" s="59">
        <f t="shared" si="90"/>
        <v>273.87580232386563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17.427037454175515</v>
      </c>
      <c r="AV93" s="21">
        <f>EXP(-LN(2)/25)*AV92+(1-EXP(-LN(2)/25))/(LN(2)/25)*Calculateur!AQ93*Calculateur!AS93*VLOOKUP('Données projet'!$B$10,Paramètres!$A$1:$I$89,3,0)*0.475*44/12</f>
        <v>2.7190348842586496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20.146072338434166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6">
        <f t="shared" si="56"/>
        <v>405.18079466631161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-3.192326403222978E-14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164.99145658664128</v>
      </c>
      <c r="T94" s="59">
        <f t="shared" si="88"/>
        <v>354.51323926643181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21.811026228692462</v>
      </c>
      <c r="AA94" s="21">
        <f>EXP(-LN(2)/25)*AA93+(1-EXP(-LN(2)/25))/(LN(2)/25)*Calculateur!V94*Calculateur!X94*VLOOKUP('Données projet'!$B$9,Paramètres!$A$1:$I$89,3,0)*0.475*44/12</f>
        <v>3.3761907221626823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25.187216950855145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-5.6843418860808015E-14</v>
      </c>
      <c r="AJ94" s="13">
        <f>AI94*VLOOKUP('Données projet'!$B$10,Paramètres!$A$1:$I$89,3,0)*VLOOKUP('Données projet'!$B$10,Paramètres!$A$1:$I$89,5,0)</f>
        <v>-2.5006556825246661E-14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127.25822594328736</v>
      </c>
      <c r="AO94" s="59">
        <f t="shared" si="90"/>
        <v>273.87580232386563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17.085303879142412</v>
      </c>
      <c r="AV94" s="21">
        <f>EXP(-LN(2)/25)*AV93+(1-EXP(-LN(2)/25))/(LN(2)/25)*Calculateur!AQ94*Calculateur!AS94*VLOOKUP('Données projet'!$B$10,Paramètres!$A$1:$I$89,3,0)*0.475*44/12</f>
        <v>2.6446827323607667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19.729986611503179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6">
        <f t="shared" si="56"/>
        <v>406.37735526105428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-3.192326403222978E-14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164.99145658664128</v>
      </c>
      <c r="T95" s="59">
        <f t="shared" si="88"/>
        <v>354.51323926643181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21.383325307760199</v>
      </c>
      <c r="AA95" s="21">
        <f>EXP(-LN(2)/25)*AA94+(1-EXP(-LN(2)/25))/(LN(2)/25)*Calculateur!V95*Calculateur!X95*VLOOKUP('Données projet'!$B$9,Paramètres!$A$1:$I$89,3,0)*0.475*44/12</f>
        <v>3.2838686093189899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24.667193917079189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-5.6843418860808015E-14</v>
      </c>
      <c r="AJ95" s="13">
        <f>AI95*VLOOKUP('Données projet'!$B$10,Paramètres!$A$1:$I$89,3,0)*VLOOKUP('Données projet'!$B$10,Paramètres!$A$1:$I$89,5,0)</f>
        <v>-2.5006556825246661E-14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127.25822594328736</v>
      </c>
      <c r="AO95" s="59">
        <f t="shared" si="90"/>
        <v>273.87580232386563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16.750271491078806</v>
      </c>
      <c r="AV95" s="21">
        <f>EXP(-LN(2)/25)*AV94+(1-EXP(-LN(2)/25))/(LN(2)/25)*Calculateur!AQ95*Calculateur!AS95*VLOOKUP('Données projet'!$B$10,Paramètres!$A$1:$I$89,3,0)*0.475*44/12</f>
        <v>2.572363743966541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19.322635235045347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6">
        <f t="shared" si="56"/>
        <v>407.57360529503438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-3.192326403222978E-14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164.99145658664128</v>
      </c>
      <c r="T96" s="59">
        <f t="shared" si="88"/>
        <v>354.51323926643181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20.964011341015617</v>
      </c>
      <c r="AA96" s="21">
        <f>EXP(-LN(2)/25)*AA95+(1-EXP(-LN(2)/25))/(LN(2)/25)*Calculateur!V96*Calculateur!X96*VLOOKUP('Données projet'!$B$9,Paramètres!$A$1:$I$89,3,0)*0.475*44/12</f>
        <v>3.1940710495060172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24.158082390521635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-5.6843418860808015E-14</v>
      </c>
      <c r="AJ96" s="13">
        <f>AI96*VLOOKUP('Données projet'!$B$10,Paramètres!$A$1:$I$89,3,0)*VLOOKUP('Données projet'!$B$10,Paramètres!$A$1:$I$89,5,0)</f>
        <v>-2.5006556825246661E-14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127.25822594328736</v>
      </c>
      <c r="AO96" s="59">
        <f t="shared" si="90"/>
        <v>273.87580232386563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16.421808883795549</v>
      </c>
      <c r="AV96" s="21">
        <f>EXP(-LN(2)/25)*AV95+(1-EXP(-LN(2)/25))/(LN(2)/25)*Calculateur!AQ96*Calculateur!AS96*VLOOKUP('Données projet'!$B$10,Paramètres!$A$1:$I$89,3,0)*0.475*44/12</f>
        <v>2.5020223221130458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18.923831205908595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6">
        <f t="shared" si="56"/>
        <v>408.76954849412908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-3.192326403222978E-14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164.99145658664128</v>
      </c>
      <c r="T97" s="59">
        <f t="shared" si="88"/>
        <v>354.51323926643181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20.552919865402629</v>
      </c>
      <c r="AA97" s="21">
        <f>EXP(-LN(2)/25)*AA96+(1-EXP(-LN(2)/25))/(LN(2)/25)*Calculateur!V97*Calculateur!X97*VLOOKUP('Données projet'!$B$9,Paramètres!$A$1:$I$89,3,0)*0.475*44/12</f>
        <v>3.106729008688379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23.659648874091008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-5.6843418860808015E-14</v>
      </c>
      <c r="AJ97" s="13">
        <f>AI97*VLOOKUP('Données projet'!$B$10,Paramètres!$A$1:$I$89,3,0)*VLOOKUP('Données projet'!$B$10,Paramètres!$A$1:$I$89,5,0)</f>
        <v>-2.5006556825246661E-14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127.25822594328736</v>
      </c>
      <c r="AO97" s="59">
        <f t="shared" si="90"/>
        <v>273.87580232386563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16.099787227898709</v>
      </c>
      <c r="AV97" s="21">
        <f>EXP(-LN(2)/25)*AV96+(1-EXP(-LN(2)/25))/(LN(2)/25)*Calculateur!AQ97*Calculateur!AS97*VLOOKUP('Données projet'!$B$10,Paramètres!$A$1:$I$89,3,0)*0.475*44/12</f>
        <v>2.4336043901392292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18.533391618037939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6">
        <f t="shared" si="56"/>
        <v>409.96518850037501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-3.192326403222978E-14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164.99145658664128</v>
      </c>
      <c r="T98" s="59">
        <f t="shared" si="88"/>
        <v>354.51323926643181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20.14988964288537</v>
      </c>
      <c r="AA98" s="21">
        <f>EXP(-LN(2)/25)*AA97+(1-EXP(-LN(2)/25))/(LN(2)/25)*Calculateur!V98*Calculateur!X98*VLOOKUP('Données projet'!$B$9,Paramètres!$A$1:$I$89,3,0)*0.475*44/12</f>
        <v>3.0217753405700174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23.171664983455386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-5.6843418860808015E-14</v>
      </c>
      <c r="AJ98" s="13">
        <f>AI98*VLOOKUP('Données projet'!$B$10,Paramètres!$A$1:$I$89,3,0)*VLOOKUP('Données projet'!$B$10,Paramètres!$A$1:$I$89,5,0)</f>
        <v>-2.5006556825246661E-14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127.25822594328736</v>
      </c>
      <c r="AO98" s="59">
        <f t="shared" si="90"/>
        <v>273.87580232386563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15.78408022026019</v>
      </c>
      <c r="AV98" s="21">
        <f>EXP(-LN(2)/25)*AV97+(1-EXP(-LN(2)/25))/(LN(2)/25)*Calculateur!AQ98*Calculateur!AS98*VLOOKUP('Données projet'!$B$10,Paramètres!$A$1:$I$89,3,0)*0.475*44/12</f>
        <v>2.3670573501131793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18.151137570373368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6">
        <f t="shared" si="56"/>
        <v>411.1605288747171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-3.192326403222978E-14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164.99145658664128</v>
      </c>
      <c r="T99" s="59">
        <f t="shared" si="88"/>
        <v>354.51323926643181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19.754762597207513</v>
      </c>
      <c r="AA99" s="21">
        <f>EXP(-LN(2)/25)*AA98+(1-EXP(-LN(2)/25))/(LN(2)/25)*Calculateur!V99*Calculateur!X99*VLOOKUP('Données projet'!$B$9,Paramètres!$A$1:$I$89,3,0)*0.475*44/12</f>
        <v>2.9391447349738713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22.693907332181386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-5.6843418860808015E-14</v>
      </c>
      <c r="AJ99" s="13">
        <f>AI99*VLOOKUP('Données projet'!$B$10,Paramètres!$A$1:$I$89,3,0)*VLOOKUP('Données projet'!$B$10,Paramètres!$A$1:$I$89,5,0)</f>
        <v>-2.5006556825246661E-14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127.25822594328736</v>
      </c>
      <c r="AO99" s="59">
        <f t="shared" si="90"/>
        <v>273.87580232386563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15.474564034479201</v>
      </c>
      <c r="AV99" s="21">
        <f>EXP(-LN(2)/25)*AV98+(1-EXP(-LN(2)/25))/(LN(2)/25)*Calculateur!AQ99*Calculateur!AS99*VLOOKUP('Données projet'!$B$10,Paramètres!$A$1:$I$89,3,0)*0.475*44/12</f>
        <v>2.3023300423961985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17.776894076875401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6">
        <f t="shared" si="56"/>
        <v>412.35557309963951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-3.192326403222978E-14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164.99145658664128</v>
      </c>
      <c r="T100" s="59">
        <f t="shared" si="88"/>
        <v>354.51323926643181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19.367383751891698</v>
      </c>
      <c r="AA100" s="21">
        <f>EXP(-LN(2)/25)*AA99+(1-EXP(-LN(2)/25))/(LN(2)/25)*Calculateur!V100*Calculateur!X100*VLOOKUP('Données projet'!$B$9,Paramètres!$A$1:$I$89,3,0)*0.475*44/12</f>
        <v>2.8587736676331068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22.226157419524803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-5.6843418860808015E-14</v>
      </c>
      <c r="AJ100" s="13">
        <f>AI100*VLOOKUP('Données projet'!$B$10,Paramètres!$A$1:$I$89,3,0)*VLOOKUP('Données projet'!$B$10,Paramètres!$A$1:$I$89,5,0)</f>
        <v>-2.5006556825246661E-14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127.25822594328736</v>
      </c>
      <c r="AO100" s="59">
        <f t="shared" si="90"/>
        <v>273.87580232386563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15.171117272315145</v>
      </c>
      <c r="AV100" s="21">
        <f>EXP(-LN(2)/25)*AV99+(1-EXP(-LN(2)/25))/(LN(2)/25)*Calculateur!AQ100*Calculateur!AS100*VLOOKUP('Données projet'!$B$10,Paramètres!$A$1:$I$89,3,0)*0.475*44/12</f>
        <v>2.2393727063125994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17.410489978627744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6">
        <f t="shared" si="56"/>
        <v>413.55032458168552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-3.192326403222978E-14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164.99145658664128</v>
      </c>
      <c r="T101" s="59">
        <f t="shared" si="88"/>
        <v>354.51323926643181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18.987601169454759</v>
      </c>
      <c r="AA101" s="21">
        <f>EXP(-LN(2)/25)*AA100+(1-EXP(-LN(2)/25))/(LN(2)/25)*Calculateur!V101*Calculateur!X101*VLOOKUP('Données projet'!$B$9,Paramètres!$A$1:$I$89,3,0)*0.475*44/12</f>
        <v>2.7806003513553059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21.768201520810067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-5.6843418860808015E-14</v>
      </c>
      <c r="AJ101" s="13">
        <f>AI101*VLOOKUP('Données projet'!$B$10,Paramètres!$A$1:$I$89,3,0)*VLOOKUP('Données projet'!$B$10,Paramètres!$A$1:$I$89,5,0)</f>
        <v>-2.5006556825246661E-14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127.25822594328736</v>
      </c>
      <c r="AO101" s="59">
        <f t="shared" si="90"/>
        <v>273.87580232386563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14.873620916072877</v>
      </c>
      <c r="AV101" s="21">
        <f>EXP(-LN(2)/25)*AV100+(1-EXP(-LN(2)/25))/(LN(2)/25)*Calculateur!AQ101*Calculateur!AS101*VLOOKUP('Données projet'!$B$10,Paramètres!$A$1:$I$89,3,0)*0.475*44/12</f>
        <v>2.178136941894989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17.051757857967864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6">
        <f t="shared" si="56"/>
        <v>414.74478665387051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-3.192326403222978E-14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164.99145658664128</v>
      </c>
      <c r="T102" s="59">
        <f t="shared" si="88"/>
        <v>354.51323926643181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18.615265891814907</v>
      </c>
      <c r="AA102" s="21">
        <f>EXP(-LN(2)/25)*AA101+(1-EXP(-LN(2)/25))/(LN(2)/25)*Calculateur!V102*Calculateur!X102*VLOOKUP('Données projet'!$B$9,Paramètres!$A$1:$I$89,3,0)*0.475*44/12</f>
        <v>2.7045646885220775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21.319830580336983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-5.6843418860808015E-14</v>
      </c>
      <c r="AJ102" s="13">
        <f>AI102*VLOOKUP('Données projet'!$B$10,Paramètres!$A$1:$I$89,3,0)*VLOOKUP('Données projet'!$B$10,Paramètres!$A$1:$I$89,5,0)</f>
        <v>-2.5006556825246661E-14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127.25822594328736</v>
      </c>
      <c r="AO102" s="59">
        <f t="shared" si="90"/>
        <v>273.87580232386563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14.58195828192166</v>
      </c>
      <c r="AV102" s="21">
        <f>EXP(-LN(2)/25)*AV101+(1-EXP(-LN(2)/25))/(LN(2)/25)*Calculateur!AQ102*Calculateur!AS102*VLOOKUP('Données projet'!$B$10,Paramètres!$A$1:$I$89,3,0)*0.475*44/12</f>
        <v>2.1185756726756271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16.700533954597287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6">
        <f t="shared" si="56"/>
        <v>415.93896257799588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-3.192326403222978E-14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164.99145658664128</v>
      </c>
      <c r="T103" s="59">
        <f t="shared" si="88"/>
        <v>354.51323926643181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18.250231881867478</v>
      </c>
      <c r="AA103" s="21">
        <f>EXP(-LN(2)/25)*AA102+(1-EXP(-LN(2)/25))/(LN(2)/25)*Calculateur!V103*Calculateur!X103*VLOOKUP('Données projet'!$B$9,Paramètres!$A$1:$I$89,3,0)*0.475*44/12</f>
        <v>2.6306082248875655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20.880840106755045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-5.6843418860808015E-14</v>
      </c>
      <c r="AJ103" s="13">
        <f>AI103*VLOOKUP('Données projet'!$B$10,Paramètres!$A$1:$I$89,3,0)*VLOOKUP('Données projet'!$B$10,Paramètres!$A$1:$I$89,5,0)</f>
        <v>-2.5006556825246661E-14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127.25822594328736</v>
      </c>
      <c r="AO103" s="59">
        <f t="shared" si="90"/>
        <v>273.87580232386563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14.296014974129507</v>
      </c>
      <c r="AV103" s="21">
        <f>EXP(-LN(2)/25)*AV102+(1-EXP(-LN(2)/25))/(LN(2)/25)*Calculateur!AQ103*Calculateur!AS103*VLOOKUP('Données projet'!$B$10,Paramètres!$A$1:$I$89,3,0)*0.475*44/12</f>
        <v>2.0606431094952593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16.356658083624765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6">
        <f t="shared" si="56"/>
        <v>417.13285554686695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-3.192326403222978E-14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164.99145658664128</v>
      </c>
      <c r="T104" s="59">
        <f t="shared" si="88"/>
        <v>354.51323926643181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17.892355966206356</v>
      </c>
      <c r="AA104" s="21">
        <f>EXP(-LN(2)/25)*AA103+(1-EXP(-LN(2)/25))/(LN(2)/25)*Calculateur!V104*Calculateur!X104*VLOOKUP('Données projet'!$B$9,Paramètres!$A$1:$I$89,3,0)*0.475*44/12</f>
        <v>2.5586741046403407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20.451030070846699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-5.6843418860808015E-14</v>
      </c>
      <c r="AJ104" s="13">
        <f>AI104*VLOOKUP('Données projet'!$B$10,Paramètres!$A$1:$I$89,3,0)*VLOOKUP('Données projet'!$B$10,Paramètres!$A$1:$I$89,5,0)</f>
        <v>-2.5006556825246661E-14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127.25822594328736</v>
      </c>
      <c r="AO104" s="59">
        <f t="shared" si="90"/>
        <v>273.87580232386563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14.015678840194962</v>
      </c>
      <c r="AV104" s="21">
        <f>EXP(-LN(2)/25)*AV103+(1-EXP(-LN(2)/25))/(LN(2)/25)*Calculateur!AQ104*Calculateur!AS104*VLOOKUP('Données projet'!$B$10,Paramètres!$A$1:$I$89,3,0)*0.475*44/12</f>
        <v>2.0042947153016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16.019973555496563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6">
        <f t="shared" si="56"/>
        <v>418.32646868642092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-3.192326403222978E-14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164.99145658664128</v>
      </c>
      <c r="T105" s="59">
        <f t="shared" si="88"/>
        <v>354.51323926643181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17.541497778968594</v>
      </c>
      <c r="AA105" s="21">
        <f>EXP(-LN(2)/25)*AA104+(1-EXP(-LN(2)/25))/(LN(2)/25)*Calculateur!V105*Calculateur!X105*VLOOKUP('Données projet'!$B$9,Paramètres!$A$1:$I$89,3,0)*0.475*44/12</f>
        <v>2.4887070266941276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20.03020480566272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-5.6843418860808015E-14</v>
      </c>
      <c r="AJ105" s="13">
        <f>AI105*VLOOKUP('Données projet'!$B$10,Paramètres!$A$1:$I$89,3,0)*VLOOKUP('Données projet'!$B$10,Paramètres!$A$1:$I$89,5,0)</f>
        <v>-2.5006556825246661E-14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127.25822594328736</v>
      </c>
      <c r="AO105" s="59">
        <f t="shared" si="90"/>
        <v>273.87580232386563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13.740839926858715</v>
      </c>
      <c r="AV105" s="21">
        <f>EXP(-LN(2)/25)*AV104+(1-EXP(-LN(2)/25))/(LN(2)/25)*Calculateur!AQ105*Calculateur!AS105*VLOOKUP('Données projet'!$B$10,Paramètres!$A$1:$I$89,3,0)*0.475*44/12</f>
        <v>1.9494871709103996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15.690327097769115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6">
        <f t="shared" si="56"/>
        <v>419.51980505776862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-3.192326403222978E-14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164.99145658664128</v>
      </c>
      <c r="T106" s="59">
        <f t="shared" si="88"/>
        <v>354.51323926643181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17.197519706780202</v>
      </c>
      <c r="AA106" s="21">
        <f>EXP(-LN(2)/25)*AA105+(1-EXP(-LN(2)/25))/(LN(2)/25)*Calculateur!V106*Calculateur!X106*VLOOKUP('Données projet'!$B$9,Paramètres!$A$1:$I$89,3,0)*0.475*44/12</f>
        <v>2.4206532021737623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19.618172908953966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-5.6843418860808015E-14</v>
      </c>
      <c r="AJ106" s="13">
        <f>AI106*VLOOKUP('Données projet'!$B$10,Paramètres!$A$1:$I$89,3,0)*VLOOKUP('Données projet'!$B$10,Paramètres!$A$1:$I$89,5,0)</f>
        <v>-2.5006556825246661E-14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127.25822594328736</v>
      </c>
      <c r="AO106" s="59">
        <f t="shared" si="90"/>
        <v>273.87580232386563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13.471390436977808</v>
      </c>
      <c r="AV106" s="21">
        <f>EXP(-LN(2)/25)*AV105+(1-EXP(-LN(2)/25))/(LN(2)/25)*Calculateur!AQ106*Calculateur!AS106*VLOOKUP('Données projet'!$B$10,Paramètres!$A$1:$I$89,3,0)*0.475*44/12</f>
        <v>1.89617834170278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15.367568778680589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6">
        <f t="shared" si="56"/>
        <v>420.71286765915517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-3.192326403222978E-14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164.99145658664128</v>
      </c>
      <c r="T107" s="59">
        <f t="shared" si="88"/>
        <v>354.51323926643181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16.860286834781515</v>
      </c>
      <c r="AA107" s="21">
        <f>EXP(-LN(2)/25)*AA106+(1-EXP(-LN(2)/25))/(LN(2)/25)*Calculateur!V107*Calculateur!X107*VLOOKUP('Données projet'!$B$9,Paramètres!$A$1:$I$89,3,0)*0.475*44/12</f>
        <v>2.3544603130637012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19.214747147845216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-5.6843418860808015E-14</v>
      </c>
      <c r="AJ107" s="13">
        <f>AI107*VLOOKUP('Données projet'!$B$10,Paramètres!$A$1:$I$89,3,0)*VLOOKUP('Données projet'!$B$10,Paramètres!$A$1:$I$89,5,0)</f>
        <v>-2.5006556825246661E-14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127.25822594328736</v>
      </c>
      <c r="AO107" s="59">
        <f t="shared" si="90"/>
        <v>273.87580232386563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13.207224687245505</v>
      </c>
      <c r="AV107" s="21">
        <f>EXP(-LN(2)/25)*AV106+(1-EXP(-LN(2)/25))/(LN(2)/25)*Calculateur!AQ107*Calculateur!AS107*VLOOKUP('Données projet'!$B$10,Paramètres!$A$1:$I$89,3,0)*0.475*44/12</f>
        <v>1.8443272452332322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15.051551932478738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6">
        <f t="shared" si="56"/>
        <v>421.90565942784269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-3.192326403222978E-14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164.99145658664128</v>
      </c>
      <c r="T108" s="59">
        <f t="shared" si="88"/>
        <v>354.51323926643181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16.529666893710981</v>
      </c>
      <c r="AA108" s="21">
        <f>EXP(-LN(2)/25)*AA107+(1-EXP(-LN(2)/25))/(LN(2)/25)*Calculateur!V108*Calculateur!X108*VLOOKUP('Données projet'!$B$9,Paramètres!$A$1:$I$89,3,0)*0.475*44/12</f>
        <v>2.2900774719872876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18.81974436569827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-5.6843418860808015E-14</v>
      </c>
      <c r="AJ108" s="13">
        <f>AI108*VLOOKUP('Données projet'!$B$10,Paramètres!$A$1:$I$89,3,0)*VLOOKUP('Données projet'!$B$10,Paramètres!$A$1:$I$89,5,0)</f>
        <v>-2.5006556825246661E-14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127.25822594328736</v>
      </c>
      <c r="AO108" s="59">
        <f t="shared" si="90"/>
        <v>273.87580232386563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12.948239066740255</v>
      </c>
      <c r="AV108" s="21">
        <f>EXP(-LN(2)/25)*AV107+(1-EXP(-LN(2)/25))/(LN(2)/25)*Calculateur!AQ108*Calculateur!AS108*VLOOKUP('Données projet'!$B$10,Paramètres!$A$1:$I$89,3,0)*0.475*44/12</f>
        <v>1.7938940197233748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14.74213308646363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6">
        <f t="shared" si="56"/>
        <v>423.09818324191957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-3.192326403222978E-14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164.99145658664128</v>
      </c>
      <c r="T109" s="59">
        <f t="shared" si="88"/>
        <v>354.51323926643181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16.205530208026591</v>
      </c>
      <c r="AA109" s="21">
        <f>EXP(-LN(2)/25)*AA108+(1-EXP(-LN(2)/25))/(LN(2)/25)*Calculateur!V109*Calculateur!X109*VLOOKUP('Données projet'!$B$9,Paramètres!$A$1:$I$89,3,0)*0.475*44/12</f>
        <v>2.2274551830858549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18.432985391112446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-5.6843418860808015E-14</v>
      </c>
      <c r="AJ109" s="13">
        <f>AI109*VLOOKUP('Données projet'!$B$10,Paramètres!$A$1:$I$89,3,0)*VLOOKUP('Données projet'!$B$10,Paramètres!$A$1:$I$89,5,0)</f>
        <v>-2.5006556825246661E-14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127.25822594328736</v>
      </c>
      <c r="AO109" s="59">
        <f t="shared" si="90"/>
        <v>273.87580232386563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12.694331996287481</v>
      </c>
      <c r="AV109" s="21">
        <f>EXP(-LN(2)/25)*AV108+(1-EXP(-LN(2)/25))/(LN(2)/25)*Calculateur!AQ109*Calculateur!AS109*VLOOKUP('Données projet'!$B$10,Paramètres!$A$1:$I$89,3,0)*0.475*44/12</f>
        <v>1.7448398934172527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14.439171889704733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6">
        <f t="shared" si="56"/>
        <v>424.29044192203901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-3.192326403222978E-14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164.99145658664128</v>
      </c>
      <c r="T110" s="59">
        <f t="shared" si="88"/>
        <v>354.51323926643181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15.887749645044613</v>
      </c>
      <c r="AA110" s="21">
        <f>EXP(-LN(2)/25)*AA109+(1-EXP(-LN(2)/25))/(LN(2)/25)*Calculateur!V110*Calculateur!X110*VLOOKUP('Données projet'!$B$9,Paramètres!$A$1:$I$89,3,0)*0.475*44/12</f>
        <v>2.1665453039675948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18.054294949012206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-5.6843418860808015E-14</v>
      </c>
      <c r="AJ110" s="13">
        <f>AI110*VLOOKUP('Données projet'!$B$10,Paramètres!$A$1:$I$89,3,0)*VLOOKUP('Données projet'!$B$10,Paramètres!$A$1:$I$89,5,0)</f>
        <v>-2.5006556825246661E-14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127.25822594328736</v>
      </c>
      <c r="AO110" s="59">
        <f t="shared" si="90"/>
        <v>273.87580232386563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12.445403888618266</v>
      </c>
      <c r="AV110" s="21">
        <f>EXP(-LN(2)/25)*AV109+(1-EXP(-LN(2)/25))/(LN(2)/25)*Calculateur!AQ110*Calculateur!AS110*VLOOKUP('Données projet'!$B$10,Paramètres!$A$1:$I$89,3,0)*0.475*44/12</f>
        <v>1.6971271547746158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14.142531043392882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6">
        <f t="shared" si="56"/>
        <v>425.48243823309122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-3.192326403222978E-14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164.99145658664128</v>
      </c>
      <c r="T111" s="59">
        <f t="shared" si="88"/>
        <v>354.51323926643181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15.576200565075707</v>
      </c>
      <c r="AA111" s="21">
        <f>EXP(-LN(2)/25)*AA110+(1-EXP(-LN(2)/25))/(LN(2)/25)*Calculateur!V111*Calculateur!X111*VLOOKUP('Données projet'!$B$9,Paramètres!$A$1:$I$89,3,0)*0.475*44/12</f>
        <v>2.1073010086969353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17.683501573772642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-5.6843418860808015E-14</v>
      </c>
      <c r="AJ111" s="13">
        <f>AI111*VLOOKUP('Données projet'!$B$10,Paramètres!$A$1:$I$89,3,0)*VLOOKUP('Données projet'!$B$10,Paramètres!$A$1:$I$89,5,0)</f>
        <v>-2.5006556825246661E-14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127.25822594328736</v>
      </c>
      <c r="AO111" s="59">
        <f t="shared" si="90"/>
        <v>273.87580232386563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12.20135710930929</v>
      </c>
      <c r="AV111" s="21">
        <f>EXP(-LN(2)/25)*AV110+(1-EXP(-LN(2)/25))/(LN(2)/25)*Calculateur!AQ111*Calculateur!AS111*VLOOKUP('Données projet'!$B$10,Paramètres!$A$1:$I$89,3,0)*0.475*44/12</f>
        <v>1.6507191234792657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13.852076232788557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6">
        <f t="shared" si="56"/>
        <v>426.67417488581191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-3.192326403222978E-14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164.99145658664128</v>
      </c>
      <c r="T112" s="59">
        <f t="shared" si="88"/>
        <v>354.51323926643181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15.270760772538816</v>
      </c>
      <c r="AA112" s="21">
        <f>EXP(-LN(2)/25)*AA111+(1-EXP(-LN(2)/25))/(LN(2)/25)*Calculateur!V112*Calculateur!X112*VLOOKUP('Données projet'!$B$9,Paramètres!$A$1:$I$89,3,0)*0.475*44/12</f>
        <v>2.0496767517959738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17.320437524334789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-5.6843418860808015E-14</v>
      </c>
      <c r="AJ112" s="13">
        <f>AI112*VLOOKUP('Données projet'!$B$10,Paramètres!$A$1:$I$89,3,0)*VLOOKUP('Données projet'!$B$10,Paramètres!$A$1:$I$89,5,0)</f>
        <v>-2.5006556825246661E-14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127.25822594328736</v>
      </c>
      <c r="AO112" s="59">
        <f t="shared" si="90"/>
        <v>273.87580232386563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11.962095938488726</v>
      </c>
      <c r="AV112" s="21">
        <f>EXP(-LN(2)/25)*AV111+(1-EXP(-LN(2)/25))/(LN(2)/25)*Calculateur!AQ112*Calculateur!AS112*VLOOKUP('Données projet'!$B$10,Paramètres!$A$1:$I$89,3,0)*0.475*44/12</f>
        <v>1.6055801222401793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13.567676060728905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6">
        <f t="shared" si="56"/>
        <v>427.8656545383293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-3.192326403222978E-14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164.99145658664128</v>
      </c>
      <c r="T113" s="59">
        <f t="shared" si="88"/>
        <v>354.51323926643181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14.971310468033696</v>
      </c>
      <c r="AA113" s="21">
        <f>EXP(-LN(2)/25)*AA112+(1-EXP(-LN(2)/25))/(LN(2)/25)*Calculateur!V113*Calculateur!X113*VLOOKUP('Données projet'!$B$9,Paramètres!$A$1:$I$89,3,0)*0.475*44/12</f>
        <v>1.993628233230297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16.964938701263993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-5.6843418860808015E-14</v>
      </c>
      <c r="AJ113" s="13">
        <f>AI113*VLOOKUP('Données projet'!$B$10,Paramètres!$A$1:$I$89,3,0)*VLOOKUP('Données projet'!$B$10,Paramètres!$A$1:$I$89,5,0)</f>
        <v>-2.5006556825246661E-14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127.25822594328736</v>
      </c>
      <c r="AO113" s="59">
        <f t="shared" si="90"/>
        <v>273.87580232386563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11.72752653329305</v>
      </c>
      <c r="AV113" s="21">
        <f>EXP(-LN(2)/25)*AV112+(1-EXP(-LN(2)/25))/(LN(2)/25)*Calculateur!AQ113*Calculateur!AS113*VLOOKUP('Données projet'!$B$10,Paramètres!$A$1:$I$89,3,0)*0.475*44/12</f>
        <v>1.5616754493637326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13.289201982656783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6">
        <f t="shared" si="56"/>
        <v>429.05687979765457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-3.192326403222978E-14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164.99145658664128</v>
      </c>
      <c r="T114" s="59">
        <f t="shared" si="88"/>
        <v>354.51323926643181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14.677732201353271</v>
      </c>
      <c r="AA114" s="21">
        <f>EXP(-LN(2)/25)*AA113+(1-EXP(-LN(2)/25))/(LN(2)/25)*Calculateur!V114*Calculateur!X114*VLOOKUP('Données projet'!$B$9,Paramètres!$A$1:$I$89,3,0)*0.475*44/12</f>
        <v>1.9391123643522623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16.616844565705534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-5.6843418860808015E-14</v>
      </c>
      <c r="AJ114" s="13">
        <f>AI114*VLOOKUP('Données projet'!$B$10,Paramètres!$A$1:$I$89,3,0)*VLOOKUP('Données projet'!$B$10,Paramètres!$A$1:$I$89,5,0)</f>
        <v>-2.5006556825246661E-14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127.25822594328736</v>
      </c>
      <c r="AO114" s="59">
        <f t="shared" si="90"/>
        <v>273.87580232386563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11.49755689106005</v>
      </c>
      <c r="AV114" s="21">
        <f>EXP(-LN(2)/25)*AV113+(1-EXP(-LN(2)/25))/(LN(2)/25)*Calculateur!AQ114*Calculateur!AS114*VLOOKUP('Données projet'!$B$10,Paramètres!$A$1:$I$89,3,0)*0.475*44/12</f>
        <v>1.5189713520759387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13.016528243135989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6">
        <f t="shared" si="56"/>
        <v>430.24785322111563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-3.192326403222978E-14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164.99145658664128</v>
      </c>
      <c r="T115" s="59">
        <f t="shared" si="88"/>
        <v>354.51323926643181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14.389910825417386</v>
      </c>
      <c r="AA115" s="21">
        <f>EXP(-LN(2)/25)*AA114+(1-EXP(-LN(2)/25))/(LN(2)/25)*Calculateur!V115*Calculateur!X115*VLOOKUP('Données projet'!$B$9,Paramètres!$A$1:$I$89,3,0)*0.475*44/12</f>
        <v>1.8860872347755624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16.275998060192947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-5.6843418860808015E-14</v>
      </c>
      <c r="AJ115" s="13">
        <f>AI115*VLOOKUP('Données projet'!$B$10,Paramètres!$A$1:$I$89,3,0)*VLOOKUP('Données projet'!$B$10,Paramètres!$A$1:$I$89,5,0)</f>
        <v>-2.5006556825246661E-14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127.25822594328736</v>
      </c>
      <c r="AO115" s="59">
        <f t="shared" si="90"/>
        <v>273.87580232386563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11.272096813243607</v>
      </c>
      <c r="AV115" s="21">
        <f>EXP(-LN(2)/25)*AV114+(1-EXP(-LN(2)/25))/(LN(2)/25)*Calculateur!AQ115*Calculateur!AS115*VLOOKUP('Données projet'!$B$10,Paramètres!$A$1:$I$89,3,0)*0.475*44/12</f>
        <v>1.4774350005741903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12.749531813817796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6">
        <f t="shared" si="56"/>
        <v>431.43857731773937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-3.192326403222978E-14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164.99145658664128</v>
      </c>
      <c r="T116" s="59">
        <f t="shared" si="88"/>
        <v>354.51323926643181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14.107733451109901</v>
      </c>
      <c r="AA116" s="21">
        <f>EXP(-LN(2)/25)*AA115+(1-EXP(-LN(2)/25))/(LN(2)/25)*Calculateur!V116*Calculateur!X116*VLOOKUP('Données projet'!$B$9,Paramètres!$A$1:$I$89,3,0)*0.475*44/12</f>
        <v>1.8345120801556076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15.94224553126551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-5.6843418860808015E-14</v>
      </c>
      <c r="AJ116" s="13">
        <f>AI116*VLOOKUP('Données projet'!$B$10,Paramètres!$A$1:$I$89,3,0)*VLOOKUP('Données projet'!$B$10,Paramètres!$A$1:$I$89,5,0)</f>
        <v>-2.5006556825246661E-14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127.25822594328736</v>
      </c>
      <c r="AO116" s="59">
        <f t="shared" si="90"/>
        <v>273.87580232386563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11.051057870036077</v>
      </c>
      <c r="AV116" s="21">
        <f>EXP(-LN(2)/25)*AV115+(1-EXP(-LN(2)/25))/(LN(2)/25)*Calculateur!AQ116*Calculateur!AS116*VLOOKUP('Données projet'!$B$10,Paramètres!$A$1:$I$89,3,0)*0.475*44/12</f>
        <v>1.4370344627885592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12.488092332824635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6">
        <f t="shared" si="56"/>
        <v>432.62905454958297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-3.192326403222978E-14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164.99145658664128</v>
      </c>
      <c r="T117" s="59">
        <f t="shared" si="88"/>
        <v>354.51323926643181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13.83108940300138</v>
      </c>
      <c r="AA117" s="21">
        <f>EXP(-LN(2)/25)*AA116+(1-EXP(-LN(2)/25))/(LN(2)/25)*Calculateur!V117*Calculateur!X117*VLOOKUP('Données projet'!$B$9,Paramètres!$A$1:$I$89,3,0)*0.475*44/12</f>
        <v>1.784347250850955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15.615436653852335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-5.6843418860808015E-14</v>
      </c>
      <c r="AJ117" s="13">
        <f>AI117*VLOOKUP('Données projet'!$B$10,Paramètres!$A$1:$I$89,3,0)*VLOOKUP('Données projet'!$B$10,Paramètres!$A$1:$I$89,5,0)</f>
        <v>-2.5006556825246661E-14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127.25822594328736</v>
      </c>
      <c r="AO117" s="59">
        <f t="shared" si="90"/>
        <v>273.87580232386563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10.834353365684404</v>
      </c>
      <c r="AV117" s="21">
        <f>EXP(-LN(2)/25)*AV116+(1-EXP(-LN(2)/25))/(LN(2)/25)*Calculateur!AQ117*Calculateur!AS117*VLOOKUP('Données projet'!$B$10,Paramètres!$A$1:$I$89,3,0)*0.475*44/12</f>
        <v>1.3977386798332481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12.232092045517652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6">
        <f t="shared" si="56"/>
        <v>433.81928733301731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-3.192326403222978E-14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164.99145658664128</v>
      </c>
      <c r="T118" s="59">
        <f t="shared" si="88"/>
        <v>354.51323926643181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13.559870175940061</v>
      </c>
      <c r="AA118" s="21">
        <f>EXP(-LN(2)/25)*AA117+(1-EXP(-LN(2)/25))/(LN(2)/25)*Calculateur!V118*Calculateur!X118*VLOOKUP('Données projet'!$B$9,Paramètres!$A$1:$I$89,3,0)*0.475*44/12</f>
        <v>1.7355541814416919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15.295424357381753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-5.6843418860808015E-14</v>
      </c>
      <c r="AJ118" s="13">
        <f>AI118*VLOOKUP('Données projet'!$B$10,Paramètres!$A$1:$I$89,3,0)*VLOOKUP('Données projet'!$B$10,Paramètres!$A$1:$I$89,5,0)</f>
        <v>-2.5006556825246661E-14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127.25822594328736</v>
      </c>
      <c r="AO118" s="59">
        <f t="shared" si="90"/>
        <v>273.87580232386563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10.62189830448637</v>
      </c>
      <c r="AV118" s="21">
        <f>EXP(-LN(2)/25)*AV117+(1-EXP(-LN(2)/25))/(LN(2)/25)*Calculateur!AQ118*Calculateur!AS118*VLOOKUP('Données projet'!$B$10,Paramètres!$A$1:$I$89,3,0)*0.475*44/12</f>
        <v>1.3595174421293252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11.981415746615696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6">
        <f t="shared" si="56"/>
        <v>435.00927803996456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-3.192326403222978E-14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164.99145658664128</v>
      </c>
      <c r="T119" s="59">
        <f t="shared" si="88"/>
        <v>354.51323926643181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13.29396939249402</v>
      </c>
      <c r="AA119" s="21">
        <f>EXP(-LN(2)/25)*AA118+(1-EXP(-LN(2)/25))/(LN(2)/25)*Calculateur!V119*Calculateur!X119*VLOOKUP('Données projet'!$B$9,Paramètres!$A$1:$I$89,3,0)*0.475*44/12</f>
        <v>1.6880953610813412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14.982064753575361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-5.6843418860808015E-14</v>
      </c>
      <c r="AJ119" s="13">
        <f>AI119*VLOOKUP('Données projet'!$B$10,Paramètres!$A$1:$I$89,3,0)*VLOOKUP('Données projet'!$B$10,Paramètres!$A$1:$I$89,5,0)</f>
        <v>-2.5006556825246661E-14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127.25822594328736</v>
      </c>
      <c r="AO119" s="59">
        <f t="shared" si="90"/>
        <v>273.87580232386563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10.413609357453637</v>
      </c>
      <c r="AV119" s="21">
        <f>EXP(-LN(2)/25)*AV118+(1-EXP(-LN(2)/25))/(LN(2)/25)*Calculateur!AQ119*Calculateur!AS119*VLOOKUP('Données projet'!$B$10,Paramètres!$A$1:$I$89,3,0)*0.475*44/12</f>
        <v>1.3223413661803838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11.735950723634021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6">
        <f t="shared" si="56"/>
        <v>436.19902899909141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-3.192326403222978E-14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164.99145658664128</v>
      </c>
      <c r="T120" s="59">
        <f t="shared" si="88"/>
        <v>354.51323926643181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13.033282761227891</v>
      </c>
      <c r="AA120" s="21">
        <f>EXP(-LN(2)/25)*AA119+(1-EXP(-LN(2)/25))/(LN(2)/25)*Calculateur!V120*Calculateur!X120*VLOOKUP('Données projet'!$B$9,Paramètres!$A$1:$I$89,3,0)*0.475*44/12</f>
        <v>1.641934304659495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14.675217065887386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-5.6843418860808015E-14</v>
      </c>
      <c r="AJ120" s="13">
        <f>AI120*VLOOKUP('Données projet'!$B$10,Paramètres!$A$1:$I$89,3,0)*VLOOKUP('Données projet'!$B$10,Paramètres!$A$1:$I$89,5,0)</f>
        <v>-2.5006556825246661E-14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127.25822594328736</v>
      </c>
      <c r="AO120" s="59">
        <f t="shared" si="90"/>
        <v>273.87580232386563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10.209404829628504</v>
      </c>
      <c r="AV120" s="21">
        <f>EXP(-LN(2)/25)*AV119+(1-EXP(-LN(2)/25))/(LN(2)/25)*Calculateur!AQ120*Calculateur!AS120*VLOOKUP('Données projet'!$B$10,Paramètres!$A$1:$I$89,3,0)*0.475*44/12</f>
        <v>1.2861818719832709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11.495586701611774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6">
        <f t="shared" si="56"/>
        <v>437.38854249696135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-3.192326403222978E-14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164.99145658664128</v>
      </c>
      <c r="T121" s="59">
        <f t="shared" si="88"/>
        <v>354.51323926643181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12.777708035797747</v>
      </c>
      <c r="AA121" s="21">
        <f>EXP(-LN(2)/25)*AA120+(1-EXP(-LN(2)/25))/(LN(2)/25)*Calculateur!V121*Calculateur!X121*VLOOKUP('Données projet'!$B$9,Paramètres!$A$1:$I$89,3,0)*0.475*44/12</f>
        <v>1.5970355247530086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14.374743560550757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-5.6843418860808015E-14</v>
      </c>
      <c r="AJ121" s="13">
        <f>AI121*VLOOKUP('Données projet'!$B$10,Paramètres!$A$1:$I$89,3,0)*VLOOKUP('Données projet'!$B$10,Paramètres!$A$1:$I$89,5,0)</f>
        <v>-2.5006556825246661E-14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127.25822594328736</v>
      </c>
      <c r="AO121" s="59">
        <f t="shared" si="90"/>
        <v>273.87580232386563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10.009204628041557</v>
      </c>
      <c r="AV121" s="21">
        <f>EXP(-LN(2)/25)*AV120+(1-EXP(-LN(2)/25))/(LN(2)/25)*Calculateur!AQ121*Calculateur!AS121*VLOOKUP('Données projet'!$B$10,Paramètres!$A$1:$I$89,3,0)*0.475*44/12</f>
        <v>1.2510111610565233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11.26021578909808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6">
        <f t="shared" si="56"/>
        <v>438.57782077914567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-3.192326403222978E-14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164.99145658664128</v>
      </c>
      <c r="T122" s="59">
        <f t="shared" si="88"/>
        <v>354.51323926643181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12.527144974848099</v>
      </c>
      <c r="AA122" s="21">
        <f>EXP(-LN(2)/25)*AA121+(1-EXP(-LN(2)/25))/(LN(2)/25)*Calculateur!V122*Calculateur!X122*VLOOKUP('Données projet'!$B$9,Paramètres!$A$1:$I$89,3,0)*0.475*44/12</f>
        <v>1.5533645043441895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14.080509479192289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-5.6843418860808015E-14</v>
      </c>
      <c r="AJ122" s="13">
        <f>AI122*VLOOKUP('Données projet'!$B$10,Paramètres!$A$1:$I$89,3,0)*VLOOKUP('Données projet'!$B$10,Paramètres!$A$1:$I$89,5,0)</f>
        <v>-2.5006556825246661E-14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127.25822594328736</v>
      </c>
      <c r="AO122" s="59">
        <f t="shared" si="90"/>
        <v>273.87580232386563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9.8129302302976651</v>
      </c>
      <c r="AV122" s="21">
        <f>EXP(-LN(2)/25)*AV121+(1-EXP(-LN(2)/25))/(LN(2)/25)*Calculateur!AQ122*Calculateur!AS122*VLOOKUP('Données projet'!$B$10,Paramètres!$A$1:$I$89,3,0)*0.475*44/12</f>
        <v>1.2168021950696151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11.02973242536728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6">
        <f t="shared" si="56"/>
        <v>439.76686605129635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-3.192326403222978E-14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164.99145658664128</v>
      </c>
      <c r="T123" s="59">
        <f t="shared" si="88"/>
        <v>354.51323926643181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12.281495302695296</v>
      </c>
      <c r="AA123" s="21">
        <f>EXP(-LN(2)/25)*AA122+(1-EXP(-LN(2)/25))/(LN(2)/25)*Calculateur!V123*Calculateur!X123*VLOOKUP('Données projet'!$B$9,Paramètres!$A$1:$I$89,3,0)*0.475*44/12</f>
        <v>1.5108876702850087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13.792382972980304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-5.6843418860808015E-14</v>
      </c>
      <c r="AJ123" s="13">
        <f>AI123*VLOOKUP('Données projet'!$B$10,Paramètres!$A$1:$I$89,3,0)*VLOOKUP('Données projet'!$B$10,Paramètres!$A$1:$I$89,5,0)</f>
        <v>-2.5006556825246661E-14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127.25822594328736</v>
      </c>
      <c r="AO123" s="59">
        <f t="shared" si="90"/>
        <v>273.87580232386563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9.620504653777969</v>
      </c>
      <c r="AV123" s="21">
        <f>EXP(-LN(2)/25)*AV122+(1-EXP(-LN(2)/25))/(LN(2)/25)*Calculateur!AQ123*Calculateur!AS123*VLOOKUP('Données projet'!$B$10,Paramètres!$A$1:$I$89,3,0)*0.475*44/12</f>
        <v>1.1835286750565901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10.80403332883456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6">
        <f t="shared" si="56"/>
        <v>440.95568048018276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-3.192326403222978E-14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164.99145658664128</v>
      </c>
      <c r="T124" s="59">
        <f t="shared" si="88"/>
        <v>354.51323926643181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12.040662670781904</v>
      </c>
      <c r="AA124" s="21">
        <f>EXP(-LN(2)/25)*AA123+(1-EXP(-LN(2)/25))/(LN(2)/25)*Calculateur!V124*Calculateur!X124*VLOOKUP('Données projet'!$B$9,Paramètres!$A$1:$I$89,3,0)*0.475*44/12</f>
        <v>1.4695723674869356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13.51023503826884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-5.6843418860808015E-14</v>
      </c>
      <c r="AJ124" s="13">
        <f>AI124*VLOOKUP('Données projet'!$B$10,Paramètres!$A$1:$I$89,3,0)*VLOOKUP('Données projet'!$B$10,Paramètres!$A$1:$I$89,5,0)</f>
        <v>-2.5006556825246661E-14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127.25822594328736</v>
      </c>
      <c r="AO124" s="59">
        <f t="shared" si="90"/>
        <v>273.87580232386563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9.4318524254458129</v>
      </c>
      <c r="AV124" s="21">
        <f>EXP(-LN(2)/25)*AV123+(1-EXP(-LN(2)/25))/(LN(2)/25)*Calculateur!AQ124*Calculateur!AS124*VLOOKUP('Données projet'!$B$10,Paramètres!$A$1:$I$89,3,0)*0.475*44/12</f>
        <v>1.1511650211980997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10.583017446643913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6">
        <f t="shared" si="56"/>
        <v>442.14426619469248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-3.192326403222978E-14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164.99145658664128</v>
      </c>
      <c r="T125" s="59">
        <f t="shared" si="88"/>
        <v>354.51323926643181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11.804552619886932</v>
      </c>
      <c r="AA125" s="21">
        <f>EXP(-LN(2)/25)*AA124+(1-EXP(-LN(2)/25))/(LN(2)/25)*Calculateur!V125*Calculateur!X125*VLOOKUP('Données projet'!$B$9,Paramètres!$A$1:$I$89,3,0)*0.475*44/12</f>
        <v>1.4293868338165534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13.233939453703485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-5.6843418860808015E-14</v>
      </c>
      <c r="AJ125" s="13">
        <f>AI125*VLOOKUP('Données projet'!$B$10,Paramètres!$A$1:$I$89,3,0)*VLOOKUP('Données projet'!$B$10,Paramètres!$A$1:$I$89,5,0)</f>
        <v>-2.5006556825246661E-14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127.25822594328736</v>
      </c>
      <c r="AO125" s="59">
        <f t="shared" si="90"/>
        <v>273.87580232386563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9.2468995522447521</v>
      </c>
      <c r="AV125" s="21">
        <f>EXP(-LN(2)/25)*AV124+(1-EXP(-LN(2)/25))/(LN(2)/25)*Calculateur!AQ125*Calculateur!AS125*VLOOKUP('Données projet'!$B$10,Paramètres!$A$1:$I$89,3,0)*0.475*44/12</f>
        <v>1.1196863531563002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10.366585905401053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6">
        <f t="shared" si="56"/>
        <v>443.33262528679836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-3.192326403222978E-14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164.99145658664128</v>
      </c>
      <c r="T126" s="59">
        <f t="shared" si="88"/>
        <v>354.51323926643181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11.5730725430771</v>
      </c>
      <c r="AA126" s="21">
        <f>EXP(-LN(2)/25)*AA125+(1-EXP(-LN(2)/25))/(LN(2)/25)*Calculateur!V126*Calculateur!X126*VLOOKUP('Données projet'!$B$9,Paramètres!$A$1:$I$89,3,0)*0.475*44/12</f>
        <v>1.390300175677653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12.963372718754753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-5.6843418860808015E-14</v>
      </c>
      <c r="AJ126" s="13">
        <f>AI126*VLOOKUP('Données projet'!$B$10,Paramètres!$A$1:$I$89,3,0)*VLOOKUP('Données projet'!$B$10,Paramètres!$A$1:$I$89,5,0)</f>
        <v>-2.5006556825246661E-14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127.25822594328736</v>
      </c>
      <c r="AO126" s="59">
        <f t="shared" si="90"/>
        <v>273.87580232386563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9.0655734920770499</v>
      </c>
      <c r="AV126" s="21">
        <f>EXP(-LN(2)/25)*AV125+(1-EXP(-LN(2)/25))/(LN(2)/25)*Calculateur!AQ126*Calculateur!AS126*VLOOKUP('Données projet'!$B$10,Paramètres!$A$1:$I$89,3,0)*0.475*44/12</f>
        <v>1.0890684709474949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10.154641963024545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6">
        <f t="shared" si="56"/>
        <v>444.52075981249368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-3.192326403222978E-14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164.99145658664128</v>
      </c>
      <c r="T127" s="59">
        <f t="shared" si="88"/>
        <v>354.51323926643181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11.346131649384603</v>
      </c>
      <c r="AA127" s="21">
        <f>EXP(-LN(2)/25)*AA126+(1-EXP(-LN(2)/25))/(LN(2)/25)*Calculateur!V127*Calculateur!X127*VLOOKUP('Données projet'!$B$9,Paramètres!$A$1:$I$89,3,0)*0.475*44/12</f>
        <v>1.3522823442610388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12.698413993645641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-5.6843418860808015E-14</v>
      </c>
      <c r="AJ127" s="13">
        <f>AI127*VLOOKUP('Données projet'!$B$10,Paramètres!$A$1:$I$89,3,0)*VLOOKUP('Données projet'!$B$10,Paramètres!$A$1:$I$89,5,0)</f>
        <v>-2.5006556825246661E-14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127.25822594328736</v>
      </c>
      <c r="AO127" s="59">
        <f t="shared" si="90"/>
        <v>273.87580232386563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8.8878031253512617</v>
      </c>
      <c r="AV127" s="21">
        <f>EXP(-LN(2)/25)*AV126+(1-EXP(-LN(2)/25))/(LN(2)/25)*Calculateur!AQ127*Calculateur!AS127*VLOOKUP('Données projet'!$B$10,Paramètres!$A$1:$I$89,3,0)*0.475*44/12</f>
        <v>1.059287836337814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9.9470909616890761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6">
        <f t="shared" si="56"/>
        <v>445.70867179269578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-3.192326403222978E-14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164.99145658664128</v>
      </c>
      <c r="T128" s="59">
        <f t="shared" si="88"/>
        <v>354.51323926643181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11.123640928197139</v>
      </c>
      <c r="AA128" s="21">
        <f>EXP(-LN(2)/25)*AA127+(1-EXP(-LN(2)/25))/(LN(2)/25)*Calculateur!V128*Calculateur!X128*VLOOKUP('Données projet'!$B$9,Paramètres!$A$1:$I$89,3,0)*0.475*44/12</f>
        <v>1.3153041124437828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12.438945040640922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-5.6843418860808015E-14</v>
      </c>
      <c r="AJ128" s="13">
        <f>AI128*VLOOKUP('Données projet'!$B$10,Paramètres!$A$1:$I$89,3,0)*VLOOKUP('Données projet'!$B$10,Paramètres!$A$1:$I$89,5,0)</f>
        <v>-2.5006556825246661E-14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127.25822594328736</v>
      </c>
      <c r="AO128" s="59">
        <f t="shared" si="90"/>
        <v>273.87580232386563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8.7135187270877488</v>
      </c>
      <c r="AV128" s="21">
        <f>EXP(-LN(2)/25)*AV127+(1-EXP(-LN(2)/25))/(LN(2)/25)*Calculateur!AQ128*Calculateur!AS128*VLOOKUP('Données projet'!$B$10,Paramètres!$A$1:$I$89,3,0)*0.475*44/12</f>
        <v>1.0303215547476301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9.7438402818353786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6">
        <f t="shared" si="56"/>
        <v>446.89636321412058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-3.192326403222978E-14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164.99145658664128</v>
      </c>
      <c r="T129" s="59">
        <f t="shared" si="88"/>
        <v>354.51323926643181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10.905513114346221</v>
      </c>
      <c r="AA129" s="21">
        <f>EXP(-LN(2)/25)*AA128+(1-EXP(-LN(2)/25))/(LN(2)/25)*Calculateur!V129*Calculateur!X129*VLOOKUP('Données projet'!$B$9,Paramètres!$A$1:$I$89,3,0)*0.475*44/12</f>
        <v>1.2793370523201704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12.18485016666639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-5.6843418860808015E-14</v>
      </c>
      <c r="AJ129" s="13">
        <f>AI129*VLOOKUP('Données projet'!$B$10,Paramètres!$A$1:$I$89,3,0)*VLOOKUP('Données projet'!$B$10,Paramètres!$A$1:$I$89,5,0)</f>
        <v>-2.5006556825246661E-14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127.25822594328736</v>
      </c>
      <c r="AO129" s="59">
        <f t="shared" si="90"/>
        <v>273.87580232386563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8.5426519395711971</v>
      </c>
      <c r="AV129" s="21">
        <f>EXP(-LN(2)/25)*AV128+(1-EXP(-LN(2)/25))/(LN(2)/25)*Calculateur!AQ129*Calculateur!AS129*VLOOKUP('Données projet'!$B$10,Paramètres!$A$1:$I$89,3,0)*0.475*44/12</f>
        <v>1.0021473576508004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9.5447992972219975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6">
        <f t="shared" si="56"/>
        <v>448.08383603012737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-3.192326403222978E-14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164.99145658664128</v>
      </c>
      <c r="T130" s="59">
        <f t="shared" si="88"/>
        <v>354.51323926643181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10.691662653880089</v>
      </c>
      <c r="AA130" s="21">
        <f>EXP(-LN(2)/25)*AA129+(1-EXP(-LN(2)/25))/(LN(2)/25)*Calculateur!V130*Calculateur!X130*VLOOKUP('Données projet'!$B$9,Paramètres!$A$1:$I$89,3,0)*0.475*44/12</f>
        <v>1.2443535133470638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11.936016167227152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-5.6843418860808015E-14</v>
      </c>
      <c r="AJ130" s="13">
        <f>AI130*VLOOKUP('Données projet'!$B$10,Paramètres!$A$1:$I$89,3,0)*VLOOKUP('Données projet'!$B$10,Paramètres!$A$1:$I$89,5,0)</f>
        <v>-2.5006556825246661E-14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127.25822594328736</v>
      </c>
      <c r="AO130" s="59">
        <f t="shared" si="90"/>
        <v>273.87580232386563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8.375135745539394</v>
      </c>
      <c r="AV130" s="21">
        <f>EXP(-LN(2)/25)*AV129+(1-EXP(-LN(2)/25))/(LN(2)/25)*Calculateur!AQ130*Calculateur!AS130*VLOOKUP('Données projet'!$B$10,Paramètres!$A$1:$I$89,3,0)*0.475*44/12</f>
        <v>0.97474358545520023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9.3498793309945949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6">
        <f t="shared" si="56"/>
        <v>449.27109216153792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-3.192326403222978E-14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164.99145658664128</v>
      </c>
      <c r="T131" s="59">
        <f t="shared" si="88"/>
        <v>354.51323926643181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10.482005670507798</v>
      </c>
      <c r="AA131" s="21">
        <f>EXP(-LN(2)/25)*AA130+(1-EXP(-LN(2)/25))/(LN(2)/25)*Calculateur!V131*Calculateur!X131*VLOOKUP('Données projet'!$B$9,Paramètres!$A$1:$I$89,3,0)*0.475*44/12</f>
        <v>1.2103266010868812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11.69233227159468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-5.6843418860808015E-14</v>
      </c>
      <c r="AJ131" s="13">
        <f>AI131*VLOOKUP('Données projet'!$B$10,Paramètres!$A$1:$I$89,3,0)*VLOOKUP('Données projet'!$B$10,Paramètres!$A$1:$I$89,5,0)</f>
        <v>-2.5006556825246661E-14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127.25822594328736</v>
      </c>
      <c r="AO131" s="59">
        <f t="shared" si="90"/>
        <v>273.87580232386563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8.2109044418977657</v>
      </c>
      <c r="AV131" s="21">
        <f>EXP(-LN(2)/25)*AV130+(1-EXP(-LN(2)/25))/(LN(2)/25)*Calculateur!AQ131*Calculateur!AS131*VLOOKUP('Données projet'!$B$10,Paramètres!$A$1:$I$89,3,0)*0.475*44/12</f>
        <v>0.94808917085139044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9.1589936127491569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6">
        <f t="shared" ref="H132:H195" si="110">(B132+E132+F132)*44/12+(C132+D132)*0.475*44/12</f>
        <v>450.45813349742764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-3.192326403222978E-14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164.99145658664128</v>
      </c>
      <c r="T132" s="59">
        <f t="shared" si="88"/>
        <v>354.51323926643181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10.276459932701304</v>
      </c>
      <c r="AA132" s="21">
        <f>EXP(-LN(2)/25)*AA131+(1-EXP(-LN(2)/25))/(LN(2)/25)*Calculateur!V132*Calculateur!X132*VLOOKUP('Données projet'!$B$9,Paramètres!$A$1:$I$89,3,0)*0.475*44/12</f>
        <v>1.1772301565318506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11.453690089233154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-5.6843418860808015E-14</v>
      </c>
      <c r="AJ132" s="13">
        <f>AI132*VLOOKUP('Données projet'!$B$10,Paramètres!$A$1:$I$89,3,0)*VLOOKUP('Données projet'!$B$10,Paramètres!$A$1:$I$89,5,0)</f>
        <v>-2.5006556825246661E-14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127.25822594328736</v>
      </c>
      <c r="AO132" s="59">
        <f t="shared" si="90"/>
        <v>273.87580232386563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8.0498936139493455</v>
      </c>
      <c r="AV132" s="21">
        <f>EXP(-LN(2)/25)*AV131+(1-EXP(-LN(2)/25))/(LN(2)/25)*Calculateur!AQ132*Calculateur!AS132*VLOOKUP('Données projet'!$B$10,Paramètres!$A$1:$I$89,3,0)*0.475*44/12</f>
        <v>0.92216362261661655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8.9720572365659628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6">
        <f t="shared" si="110"/>
        <v>451.64496189589244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-3.192326403222978E-14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164.99145658664128</v>
      </c>
      <c r="T133" s="59">
        <f t="shared" ref="T133:T196" si="142">$T$3</f>
        <v>354.51323926643181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10.074944821442674</v>
      </c>
      <c r="AA133" s="21">
        <f>EXP(-LN(2)/25)*AA132+(1-EXP(-LN(2)/25))/(LN(2)/25)*Calculateur!V133*Calculateur!X133*VLOOKUP('Données projet'!$B$9,Paramètres!$A$1:$I$89,3,0)*0.475*44/12</f>
        <v>1.1450387359936438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11.219983557436318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-5.6843418860808015E-14</v>
      </c>
      <c r="AJ133" s="13">
        <f>AI133*VLOOKUP('Données projet'!$B$10,Paramètres!$A$1:$I$89,3,0)*VLOOKUP('Données projet'!$B$10,Paramètres!$A$1:$I$89,5,0)</f>
        <v>-2.5006556825246661E-14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127.25822594328736</v>
      </c>
      <c r="AO133" s="59">
        <f t="shared" ref="AO133:AO196" si="144">$AO$3</f>
        <v>273.87580232386563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7.8920401101300861</v>
      </c>
      <c r="AV133" s="21">
        <f>EXP(-LN(2)/25)*AV132+(1-EXP(-LN(2)/25))/(LN(2)/25)*Calculateur!AQ133*Calculateur!AS133*VLOOKUP('Données projet'!$B$10,Paramètres!$A$1:$I$89,3,0)*0.475*44/12</f>
        <v>0.89694700986168785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8.7889871199917735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6">
        <f t="shared" si="110"/>
        <v>452.83157918479128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-3.192326403222978E-14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164.99145658664128</v>
      </c>
      <c r="T134" s="59">
        <f t="shared" si="142"/>
        <v>354.51323926643181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9.8773812986037459</v>
      </c>
      <c r="AA134" s="21">
        <f>EXP(-LN(2)/25)*AA133+(1-EXP(-LN(2)/25))/(LN(2)/25)*Calculateur!V134*Calculateur!X134*VLOOKUP('Données projet'!$B$9,Paramètres!$A$1:$I$89,3,0)*0.475*44/12</f>
        <v>1.1137275915429274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10.991108890146673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-5.6843418860808015E-14</v>
      </c>
      <c r="AJ134" s="13">
        <f>AI134*VLOOKUP('Données projet'!$B$10,Paramètres!$A$1:$I$89,3,0)*VLOOKUP('Données projet'!$B$10,Paramètres!$A$1:$I$89,5,0)</f>
        <v>-2.5006556825246661E-14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127.25822594328736</v>
      </c>
      <c r="AO134" s="59">
        <f t="shared" si="144"/>
        <v>273.87580232386563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7.7372820172395915</v>
      </c>
      <c r="AV134" s="21">
        <f>EXP(-LN(2)/25)*AV133+(1-EXP(-LN(2)/25))/(LN(2)/25)*Calculateur!AQ134*Calculateur!AS134*VLOOKUP('Données projet'!$B$10,Paramètres!$A$1:$I$89,3,0)*0.475*44/12</f>
        <v>0.87241994670862677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8.6097019639482184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6">
        <f t="shared" si="110"/>
        <v>454.01798716246486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-3.192326403222978E-14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164.99145658664128</v>
      </c>
      <c r="T135" s="59">
        <f t="shared" si="142"/>
        <v>354.51323926643181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9.6836918759458381</v>
      </c>
      <c r="AA135" s="21">
        <f>EXP(-LN(2)/25)*AA134+(1-EXP(-LN(2)/25))/(LN(2)/25)*Calculateur!V135*Calculateur!X135*VLOOKUP('Données projet'!$B$9,Paramètres!$A$1:$I$89,3,0)*0.475*44/12</f>
        <v>1.0832726519837974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10.766964527929636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-5.6843418860808015E-14</v>
      </c>
      <c r="AJ135" s="13">
        <f>AI135*VLOOKUP('Données projet'!$B$10,Paramètres!$A$1:$I$89,3,0)*VLOOKUP('Données projet'!$B$10,Paramètres!$A$1:$I$89,5,0)</f>
        <v>-2.5006556825246661E-14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127.25822594328736</v>
      </c>
      <c r="AO135" s="59">
        <f t="shared" si="144"/>
        <v>273.87580232386563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7.5855586361575638</v>
      </c>
      <c r="AV135" s="21">
        <f>EXP(-LN(2)/25)*AV134+(1-EXP(-LN(2)/25))/(LN(2)/25)*Calculateur!AQ135*Calculateur!AS135*VLOOKUP('Données projet'!$B$10,Paramètres!$A$1:$I$89,3,0)*0.475*44/12</f>
        <v>0.84856357738730837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8.4341222135448728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6">
        <f t="shared" si="110"/>
        <v>455.20418759843233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-3.192326403222978E-14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164.99145658664128</v>
      </c>
      <c r="T136" s="59">
        <f t="shared" si="142"/>
        <v>354.51323926643181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9.493800584727369</v>
      </c>
      <c r="AA136" s="21">
        <f>EXP(-LN(2)/25)*AA135+(1-EXP(-LN(2)/25))/(LN(2)/25)*Calculateur!V136*Calculateur!X136*VLOOKUP('Données projet'!$B$9,Paramètres!$A$1:$I$89,3,0)*0.475*44/12</f>
        <v>1.0536505043484676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10.547451089075837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-5.6843418860808015E-14</v>
      </c>
      <c r="AJ136" s="13">
        <f>AI136*VLOOKUP('Données projet'!$B$10,Paramètres!$A$1:$I$89,3,0)*VLOOKUP('Données projet'!$B$10,Paramètres!$A$1:$I$89,5,0)</f>
        <v>-2.5006556825246661E-14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127.25822594328736</v>
      </c>
      <c r="AO136" s="59">
        <f t="shared" si="144"/>
        <v>273.87580232386563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7.4368104580364296</v>
      </c>
      <c r="AV136" s="21">
        <f>EXP(-LN(2)/25)*AV135+(1-EXP(-LN(2)/25))/(LN(2)/25)*Calculateur!AQ136*Calculateur!AS136*VLOOKUP('Données projet'!$B$10,Paramètres!$A$1:$I$89,3,0)*0.475*44/12</f>
        <v>0.82535956173963332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8.2621700197760628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6">
        <f t="shared" si="110"/>
        <v>456.39018223406657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-3.192326403222978E-14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164.99145658664128</v>
      </c>
      <c r="T137" s="59">
        <f t="shared" si="142"/>
        <v>354.51323926643181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9.3076329459074429</v>
      </c>
      <c r="AA137" s="21">
        <f>EXP(-LN(2)/25)*AA136+(1-EXP(-LN(2)/25))/(LN(2)/25)*Calculateur!V137*Calculateur!X137*VLOOKUP('Données projet'!$B$9,Paramètres!$A$1:$I$89,3,0)*0.475*44/12</f>
        <v>1.0248383758979869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10.33247132180543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-5.6843418860808015E-14</v>
      </c>
      <c r="AJ137" s="13">
        <f>AI137*VLOOKUP('Données projet'!$B$10,Paramètres!$A$1:$I$89,3,0)*VLOOKUP('Données projet'!$B$10,Paramètres!$A$1:$I$89,5,0)</f>
        <v>-2.5006556825246661E-14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127.25822594328736</v>
      </c>
      <c r="AO137" s="59">
        <f t="shared" si="144"/>
        <v>273.87580232386563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7.2909791409608209</v>
      </c>
      <c r="AV137" s="21">
        <f>EXP(-LN(2)/25)*AV136+(1-EXP(-LN(2)/25))/(LN(2)/25)*Calculateur!AQ137*Calculateur!AS137*VLOOKUP('Données projet'!$B$10,Paramètres!$A$1:$I$89,3,0)*0.475*44/12</f>
        <v>0.8027900611200901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8.0937692020809102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6">
        <f t="shared" si="110"/>
        <v>457.57597278324812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-3.192326403222978E-14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164.99145658664128</v>
      </c>
      <c r="T138" s="59">
        <f t="shared" si="142"/>
        <v>354.51323926643181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9.1251159409337284</v>
      </c>
      <c r="AA138" s="21">
        <f>EXP(-LN(2)/25)*AA137+(1-EXP(-LN(2)/25))/(LN(2)/25)*Calculateur!V138*Calculateur!X138*VLOOKUP('Données projet'!$B$9,Paramètres!$A$1:$I$89,3,0)*0.475*44/12</f>
        <v>0.99681411661514852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10.121930057548877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-5.6843418860808015E-14</v>
      </c>
      <c r="AJ138" s="13">
        <f>AI138*VLOOKUP('Données projet'!$B$10,Paramètres!$A$1:$I$89,3,0)*VLOOKUP('Données projet'!$B$10,Paramètres!$A$1:$I$89,5,0)</f>
        <v>-2.5006556825246661E-14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127.25822594328736</v>
      </c>
      <c r="AO138" s="59">
        <f t="shared" si="144"/>
        <v>273.87580232386563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7.1480074870647448</v>
      </c>
      <c r="AV138" s="21">
        <f>EXP(-LN(2)/25)*AV137+(1-EXP(-LN(2)/25))/(LN(2)/25)*Calculateur!AQ138*Calculateur!AS138*VLOOKUP('Données projet'!$B$10,Paramètres!$A$1:$I$89,3,0)*0.475*44/12</f>
        <v>0.78083772468186674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7.9288452117466113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6">
        <f t="shared" si="110"/>
        <v>458.76156093300006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-3.192326403222978E-14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164.99145658664128</v>
      </c>
      <c r="T139" s="59">
        <f t="shared" si="142"/>
        <v>354.51323926643181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8.9461779831031674</v>
      </c>
      <c r="AA139" s="21">
        <f>EXP(-LN(2)/25)*AA138+(1-EXP(-LN(2)/25))/(LN(2)/25)*Calculateur!V139*Calculateur!X139*VLOOKUP('Données projet'!$B$9,Paramètres!$A$1:$I$89,3,0)*0.475*44/12</f>
        <v>0.96955618217613115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9.9157341652792983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-5.6843418860808015E-14</v>
      </c>
      <c r="AJ139" s="13">
        <f>AI139*VLOOKUP('Données projet'!$B$10,Paramètres!$A$1:$I$89,3,0)*VLOOKUP('Données projet'!$B$10,Paramètres!$A$1:$I$89,5,0)</f>
        <v>-2.5006556825246661E-14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127.25822594328736</v>
      </c>
      <c r="AO139" s="59">
        <f t="shared" si="144"/>
        <v>273.87580232386563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7.0078394200974721</v>
      </c>
      <c r="AV139" s="21">
        <f>EXP(-LN(2)/25)*AV138+(1-EXP(-LN(2)/25))/(LN(2)/25)*Calculateur!AQ139*Calculateur!AS139*VLOOKUP('Données projet'!$B$10,Paramètres!$A$1:$I$89,3,0)*0.475*44/12</f>
        <v>0.75948567603796979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7.7673250961354423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6">
        <f t="shared" si="110"/>
        <v>459.94694834410268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-3.192326403222978E-14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164.99145658664128</v>
      </c>
      <c r="T140" s="59">
        <f t="shared" si="142"/>
        <v>354.51323926643181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8.7707488894842864</v>
      </c>
      <c r="AA140" s="21">
        <f>EXP(-LN(2)/25)*AA139+(1-EXP(-LN(2)/25))/(LN(2)/25)*Calculateur!V140*Calculateur!X140*VLOOKUP('Données projet'!$B$9,Paramètres!$A$1:$I$89,3,0)*0.475*44/12</f>
        <v>0.9430436173877812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9.7137925068720676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-5.6843418860808015E-14</v>
      </c>
      <c r="AJ140" s="13">
        <f>AI140*VLOOKUP('Données projet'!$B$10,Paramètres!$A$1:$I$89,3,0)*VLOOKUP('Données projet'!$B$10,Paramètres!$A$1:$I$89,5,0)</f>
        <v>-2.5006556825246661E-14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127.25822594328736</v>
      </c>
      <c r="AO140" s="59">
        <f t="shared" si="144"/>
        <v>273.87580232386563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6.8704199634293488</v>
      </c>
      <c r="AV140" s="21">
        <f>EXP(-LN(2)/25)*AV139+(1-EXP(-LN(2)/25))/(LN(2)/25)*Calculateur!AQ140*Calculateur!AS140*VLOOKUP('Données projet'!$B$10,Paramètres!$A$1:$I$89,3,0)*0.475*44/12</f>
        <v>0.7387175002870956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7.6091374637164444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6">
        <f t="shared" si="110"/>
        <v>461.13213665169064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-3.192326403222978E-14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164.99145658664128</v>
      </c>
      <c r="T141" s="59">
        <f t="shared" si="142"/>
        <v>354.51323926643181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8.5987598533900904</v>
      </c>
      <c r="AA141" s="21">
        <f>EXP(-LN(2)/25)*AA140+(1-EXP(-LN(2)/25))/(LN(2)/25)*Calculateur!V141*Calculateur!X141*VLOOKUP('Données projet'!$B$9,Paramètres!$A$1:$I$89,3,0)*0.475*44/12</f>
        <v>0.91725604007780381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9.5160158934678947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-5.6843418860808015E-14</v>
      </c>
      <c r="AJ141" s="13">
        <f>AI141*VLOOKUP('Données projet'!$B$10,Paramètres!$A$1:$I$89,3,0)*VLOOKUP('Données projet'!$B$10,Paramètres!$A$1:$I$89,5,0)</f>
        <v>-2.5006556825246661E-14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127.25822594328736</v>
      </c>
      <c r="AO141" s="59">
        <f t="shared" si="144"/>
        <v>273.87580232386563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6.7356952184888952</v>
      </c>
      <c r="AV141" s="21">
        <f>EXP(-LN(2)/25)*AV140+(1-EXP(-LN(2)/25))/(LN(2)/25)*Calculateur!AQ141*Calculateur!AS141*VLOOKUP('Données projet'!$B$10,Paramètres!$A$1:$I$89,3,0)*0.475*44/12</f>
        <v>0.71851723139428003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7.4542124498831752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6">
        <f t="shared" si="110"/>
        <v>462.31712746583173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-3.192326403222978E-14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164.99145658664128</v>
      </c>
      <c r="T142" s="59">
        <f t="shared" si="142"/>
        <v>354.51323926643181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8.430143417390747</v>
      </c>
      <c r="AA142" s="21">
        <f>EXP(-LN(2)/25)*AA141+(1-EXP(-LN(2)/25))/(LN(2)/25)*Calculateur!V142*Calculateur!X142*VLOOKUP('Données projet'!$B$9,Paramètres!$A$1:$I$89,3,0)*0.475*44/12</f>
        <v>0.89217362542547751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9.3223170428162252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-5.6843418860808015E-14</v>
      </c>
      <c r="AJ142" s="13">
        <f>AI142*VLOOKUP('Données projet'!$B$10,Paramètres!$A$1:$I$89,3,0)*VLOOKUP('Données projet'!$B$10,Paramètres!$A$1:$I$89,5,0)</f>
        <v>-2.5006556825246661E-14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127.25822594328736</v>
      </c>
      <c r="AO142" s="59">
        <f t="shared" si="144"/>
        <v>273.87580232386563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6.6036123436227436</v>
      </c>
      <c r="AV142" s="21">
        <f>EXP(-LN(2)/25)*AV141+(1-EXP(-LN(2)/25))/(LN(2)/25)*Calculateur!AQ142*Calculateur!AS142*VLOOKUP('Données projet'!$B$10,Paramètres!$A$1:$I$89,3,0)*0.475*44/12</f>
        <v>0.69886933991662448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7.3024816835393684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6">
        <f t="shared" si="110"/>
        <v>463.50192237208853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-3.192326403222978E-14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164.99145658664128</v>
      </c>
      <c r="T143" s="59">
        <f t="shared" si="142"/>
        <v>354.51323926643181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8.26483344685548</v>
      </c>
      <c r="AA143" s="21">
        <f>EXP(-LN(2)/25)*AA142+(1-EXP(-LN(2)/25))/(LN(2)/25)*Calculateur!V143*Calculateur!X143*VLOOKUP('Données projet'!$B$9,Paramètres!$A$1:$I$89,3,0)*0.475*44/12</f>
        <v>0.86777709072084597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9.1326105375763262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-5.6843418860808015E-14</v>
      </c>
      <c r="AJ143" s="13">
        <f>AI143*VLOOKUP('Données projet'!$B$10,Paramètres!$A$1:$I$89,3,0)*VLOOKUP('Données projet'!$B$10,Paramètres!$A$1:$I$89,5,0)</f>
        <v>-2.5006556825246661E-14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127.25822594328736</v>
      </c>
      <c r="AO143" s="59">
        <f t="shared" si="144"/>
        <v>273.87580232386563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6.4741195333701187</v>
      </c>
      <c r="AV143" s="21">
        <f>EXP(-LN(2)/25)*AV142+(1-EXP(-LN(2)/25))/(LN(2)/25)*Calculateur!AQ143*Calculateur!AS143*VLOOKUP('Données projet'!$B$10,Paramètres!$A$1:$I$89,3,0)*0.475*44/12</f>
        <v>0.67975872106466306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7.1538782544347814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6">
        <f t="shared" si="110"/>
        <v>464.68652293206395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-3.192326403222978E-14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164.99145658664128</v>
      </c>
      <c r="T144" s="59">
        <f t="shared" si="142"/>
        <v>354.51323926643181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8.1027651040132849</v>
      </c>
      <c r="AA144" s="21">
        <f>EXP(-LN(2)/25)*AA143+(1-EXP(-LN(2)/25))/(LN(2)/25)*Calculateur!V144*Calculateur!X144*VLOOKUP('Données projet'!$B$9,Paramètres!$A$1:$I$89,3,0)*0.475*44/12</f>
        <v>0.84404768054067059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8.9468127845539556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-5.6843418860808015E-14</v>
      </c>
      <c r="AJ144" s="13">
        <f>AI144*VLOOKUP('Données projet'!$B$10,Paramètres!$A$1:$I$89,3,0)*VLOOKUP('Données projet'!$B$10,Paramètres!$A$1:$I$89,5,0)</f>
        <v>-2.5006556825246661E-14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127.25822594328736</v>
      </c>
      <c r="AO144" s="59">
        <f t="shared" si="144"/>
        <v>273.87580232386563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6.3471659981437325</v>
      </c>
      <c r="AV144" s="21">
        <f>EXP(-LN(2)/25)*AV143+(1-EXP(-LN(2)/25))/(LN(2)/25)*Calculateur!AQ144*Calculateur!AS144*VLOOKUP('Données projet'!$B$10,Paramètres!$A$1:$I$89,3,0)*0.475*44/12</f>
        <v>0.66117068309019233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7.0083366812339252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6">
        <f t="shared" si="110"/>
        <v>465.87093068393028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-3.192326403222978E-14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164.99145658664128</v>
      </c>
      <c r="T145" s="59">
        <f t="shared" si="142"/>
        <v>354.51323926643181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7.9438748225222966</v>
      </c>
      <c r="AA145" s="21">
        <f>EXP(-LN(2)/25)*AA144+(1-EXP(-LN(2)/25))/(LN(2)/25)*Calculateur!V145*Calculateur!X145*VLOOKUP('Données projet'!$B$9,Paramètres!$A$1:$I$89,3,0)*0.475*44/12</f>
        <v>0.82096715232974748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8.7648419748520432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-5.6843418860808015E-14</v>
      </c>
      <c r="AJ145" s="13">
        <f>AI145*VLOOKUP('Données projet'!$B$10,Paramètres!$A$1:$I$89,3,0)*VLOOKUP('Données projet'!$B$10,Paramètres!$A$1:$I$89,5,0)</f>
        <v>-2.5006556825246661E-14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127.25822594328736</v>
      </c>
      <c r="AO145" s="59">
        <f t="shared" si="144"/>
        <v>273.87580232386563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6.2227019443091249</v>
      </c>
      <c r="AV145" s="21">
        <f>EXP(-LN(2)/25)*AV144+(1-EXP(-LN(2)/25))/(LN(2)/25)*Calculateur!AQ145*Calculateur!AS145*VLOOKUP('Données projet'!$B$10,Paramètres!$A$1:$I$89,3,0)*0.475*44/12</f>
        <v>0.64309093599163591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6.8657928803007611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6">
        <f t="shared" si="110"/>
        <v>467.0551471429435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-3.192326403222978E-14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164.99145658664128</v>
      </c>
      <c r="T146" s="59">
        <f t="shared" si="142"/>
        <v>354.51323926643181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7.7881002825378438</v>
      </c>
      <c r="AA146" s="21">
        <f>EXP(-LN(2)/25)*AA145+(1-EXP(-LN(2)/25))/(LN(2)/25)*Calculateur!V146*Calculateur!X146*VLOOKUP('Données projet'!$B$9,Paramètres!$A$1:$I$89,3,0)*0.475*44/12</f>
        <v>0.79851776237650429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8.5866180449143474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-5.6843418860808015E-14</v>
      </c>
      <c r="AJ146" s="13">
        <f>AI146*VLOOKUP('Données projet'!$B$10,Paramètres!$A$1:$I$89,3,0)*VLOOKUP('Données projet'!$B$10,Paramètres!$A$1:$I$89,5,0)</f>
        <v>-2.5006556825246661E-14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127.25822594328736</v>
      </c>
      <c r="AO146" s="59">
        <f t="shared" si="144"/>
        <v>273.87580232386563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6.1006785546546372</v>
      </c>
      <c r="AV146" s="21">
        <f>EXP(-LN(2)/25)*AV145+(1-EXP(-LN(2)/25))/(LN(2)/25)*Calculateur!AQ146*Calculateur!AS146*VLOOKUP('Données projet'!$B$10,Paramètres!$A$1:$I$89,3,0)*0.475*44/12</f>
        <v>0.62550558052826211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6.7261841351828995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6">
        <f t="shared" si="110"/>
        <v>468.23917380194229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-3.192326403222978E-14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164.99145658664128</v>
      </c>
      <c r="T147" s="59">
        <f t="shared" si="142"/>
        <v>354.51323926643181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7.6353803862693983</v>
      </c>
      <c r="AA147" s="21">
        <f>EXP(-LN(2)/25)*AA146+(1-EXP(-LN(2)/25))/(LN(2)/25)*Calculateur!V147*Calculateur!X147*VLOOKUP('Données projet'!$B$9,Paramètres!$A$1:$I$89,3,0)*0.475*44/12</f>
        <v>0.77668225217209474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8.4120626384414923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-5.6843418860808015E-14</v>
      </c>
      <c r="AJ147" s="13">
        <f>AI147*VLOOKUP('Données projet'!$B$10,Paramètres!$A$1:$I$89,3,0)*VLOOKUP('Données projet'!$B$10,Paramètres!$A$1:$I$89,5,0)</f>
        <v>-2.5006556825246661E-14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127.25822594328736</v>
      </c>
      <c r="AO147" s="59">
        <f t="shared" si="144"/>
        <v>273.87580232386563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5.9810479692443552</v>
      </c>
      <c r="AV147" s="21">
        <f>EXP(-LN(2)/25)*AV146+(1-EXP(-LN(2)/25))/(LN(2)/25)*Calculateur!AQ147*Calculateur!AS147*VLOOKUP('Données projet'!$B$10,Paramètres!$A$1:$I$89,3,0)*0.475*44/12</f>
        <v>0.60840109753480787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6.5894490667791628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6">
        <f t="shared" si="110"/>
        <v>469.42301213183316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-3.192326403222978E-14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164.99145658664128</v>
      </c>
      <c r="T148" s="59">
        <f t="shared" si="142"/>
        <v>354.51323926643181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7.4856552340168383</v>
      </c>
      <c r="AA148" s="21">
        <f>EXP(-LN(2)/25)*AA147+(1-EXP(-LN(2)/25))/(LN(2)/25)*Calculateur!V148*Calculateur!X148*VLOOKUP('Données projet'!$B$9,Paramètres!$A$1:$I$89,3,0)*0.475*44/12</f>
        <v>0.75544383514250435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8.2410990691593433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-5.6843418860808015E-14</v>
      </c>
      <c r="AJ148" s="13">
        <f>AI148*VLOOKUP('Données projet'!$B$10,Paramètres!$A$1:$I$89,3,0)*VLOOKUP('Données projet'!$B$10,Paramètres!$A$1:$I$89,5,0)</f>
        <v>-2.5006556825246661E-14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127.25822594328736</v>
      </c>
      <c r="AO148" s="59">
        <f t="shared" si="144"/>
        <v>273.87580232386563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5.8637632666465169</v>
      </c>
      <c r="AV148" s="21">
        <f>EXP(-LN(2)/25)*AV147+(1-EXP(-LN(2)/25))/(LN(2)/25)*Calculateur!AQ148*Calculateur!AS148*VLOOKUP('Données projet'!$B$10,Paramètres!$A$1:$I$89,3,0)*0.475*44/12</f>
        <v>0.59176433752829538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6.4555276041748124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6">
        <f t="shared" si="110"/>
        <v>470.60666358206163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-3.192326403222978E-14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164.99145658664128</v>
      </c>
      <c r="T149" s="59">
        <f t="shared" si="142"/>
        <v>354.51323926643181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7.3388661006766256</v>
      </c>
      <c r="AA149" s="21">
        <f>EXP(-LN(2)/25)*AA148+(1-EXP(-LN(2)/25))/(LN(2)/25)*Calculateur!V149*Calculateur!X149*VLOOKUP('Données projet'!$B$9,Paramètres!$A$1:$I$89,3,0)*0.475*44/12</f>
        <v>0.73478618374346782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8.0736522844200937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-5.6843418860808015E-14</v>
      </c>
      <c r="AJ149" s="13">
        <f>AI149*VLOOKUP('Données projet'!$B$10,Paramètres!$A$1:$I$89,3,0)*VLOOKUP('Données projet'!$B$10,Paramètres!$A$1:$I$89,5,0)</f>
        <v>-2.5006556825246661E-14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127.25822594328736</v>
      </c>
      <c r="AO149" s="59">
        <f t="shared" si="144"/>
        <v>273.87580232386563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5.748778445530017</v>
      </c>
      <c r="AV149" s="21">
        <f>EXP(-LN(2)/25)*AV148+(1-EXP(-LN(2)/25))/(LN(2)/25)*Calculateur!AQ149*Calculateur!AS149*VLOOKUP('Données projet'!$B$10,Paramètres!$A$1:$I$89,3,0)*0.475*44/12</f>
        <v>0.57558251059905008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6.324360956129067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6">
        <f t="shared" si="110"/>
        <v>471.79012958106995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-3.192326403222978E-14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164.99145658664128</v>
      </c>
      <c r="T150" s="59">
        <f t="shared" si="142"/>
        <v>354.51323926643181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7.1949554127086834</v>
      </c>
      <c r="AA150" s="21">
        <f>EXP(-LN(2)/25)*AA149+(1-EXP(-LN(2)/25))/(LN(2)/25)*Calculateur!V150*Calculateur!X150*VLOOKUP('Données projet'!$B$9,Paramètres!$A$1:$I$89,3,0)*0.475*44/12</f>
        <v>0.7146934169082767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7.9096488296169598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-5.6843418860808015E-14</v>
      </c>
      <c r="AJ150" s="13">
        <f>AI150*VLOOKUP('Données projet'!$B$10,Paramètres!$A$1:$I$89,3,0)*VLOOKUP('Données projet'!$B$10,Paramètres!$A$1:$I$89,5,0)</f>
        <v>-2.5006556825246661E-14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127.25822594328736</v>
      </c>
      <c r="AO150" s="59">
        <f t="shared" si="144"/>
        <v>273.87580232386563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5.6360484066217964</v>
      </c>
      <c r="AV150" s="21">
        <f>EXP(-LN(2)/25)*AV149+(1-EXP(-LN(2)/25))/(LN(2)/25)*Calculateur!AQ150*Calculateur!AS150*VLOOKUP('Données projet'!$B$10,Paramètres!$A$1:$I$89,3,0)*0.475*44/12</f>
        <v>0.5598431765781503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6.1958915831999466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6">
        <f t="shared" si="110"/>
        <v>472.9734115367425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-3.192326403222978E-14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164.99145658664128</v>
      </c>
      <c r="T151" s="59">
        <f t="shared" si="142"/>
        <v>354.51323926643181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7.0538667255549408</v>
      </c>
      <c r="AA151" s="21">
        <f>EXP(-LN(2)/25)*AA150+(1-EXP(-LN(2)/25))/(LN(2)/25)*Calculateur!V151*Calculateur!X151*VLOOKUP('Données projet'!$B$9,Paramètres!$A$1:$I$89,3,0)*0.475*44/12</f>
        <v>0.69515008783882648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7.7490168133937676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-5.6843418860808015E-14</v>
      </c>
      <c r="AJ151" s="13">
        <f>AI151*VLOOKUP('Données projet'!$B$10,Paramètres!$A$1:$I$89,3,0)*VLOOKUP('Données projet'!$B$10,Paramètres!$A$1:$I$89,5,0)</f>
        <v>-2.5006556825246661E-14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127.25822594328736</v>
      </c>
      <c r="AO151" s="59">
        <f t="shared" si="144"/>
        <v>273.87580232386563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5.5255289350180314</v>
      </c>
      <c r="AV151" s="21">
        <f>EXP(-LN(2)/25)*AV150+(1-EXP(-LN(2)/25))/(LN(2)/25)*Calculateur!AQ151*Calculateur!AS151*VLOOKUP('Données projet'!$B$10,Paramètres!$A$1:$I$89,3,0)*0.475*44/12</f>
        <v>0.54453423547374769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6.0700631704917791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6">
        <f t="shared" si="110"/>
        <v>474.15651083683827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-3.192326403222978E-14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164.99145658664128</v>
      </c>
      <c r="T152" s="59">
        <f t="shared" si="142"/>
        <v>354.51323926643181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6.9155447015006812</v>
      </c>
      <c r="AA152" s="21">
        <f>EXP(-LN(2)/25)*AA151+(1-EXP(-LN(2)/25))/(LN(2)/25)*Calculateur!V152*Calculateur!X152*VLOOKUP('Données projet'!$B$9,Paramètres!$A$1:$I$89,3,0)*0.475*44/12</f>
        <v>0.67614117213051939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7.5916858736312003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-5.6843418860808015E-14</v>
      </c>
      <c r="AJ152" s="13">
        <f>AI152*VLOOKUP('Données projet'!$B$10,Paramètres!$A$1:$I$89,3,0)*VLOOKUP('Données projet'!$B$10,Paramètres!$A$1:$I$89,5,0)</f>
        <v>-2.5006556825246661E-14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127.25822594328736</v>
      </c>
      <c r="AO152" s="59">
        <f t="shared" si="144"/>
        <v>273.87580232386563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5.4171766828421948</v>
      </c>
      <c r="AV152" s="21">
        <f>EXP(-LN(2)/25)*AV151+(1-EXP(-LN(2)/25))/(LN(2)/25)*Calculateur!AQ152*Calculateur!AS152*VLOOKUP('Données projet'!$B$10,Paramètres!$A$1:$I$89,3,0)*0.475*44/12</f>
        <v>0.52964391816890721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5.946820601011102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6">
        <f t="shared" si="110"/>
        <v>475.33942884941183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-3.192326403222978E-14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164.99145658664128</v>
      </c>
      <c r="T153" s="59">
        <f t="shared" si="142"/>
        <v>354.51323926643181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6.7799350879700215</v>
      </c>
      <c r="AA153" s="21">
        <f>EXP(-LN(2)/25)*AA152+(1-EXP(-LN(2)/25))/(LN(2)/25)*Calculateur!V153*Calculateur!X153*VLOOKUP('Données projet'!$B$9,Paramètres!$A$1:$I$89,3,0)*0.475*44/12</f>
        <v>0.65765205622189138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7.4375871441919132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-5.6843418860808015E-14</v>
      </c>
      <c r="AJ153" s="13">
        <f>AI153*VLOOKUP('Données projet'!$B$10,Paramètres!$A$1:$I$89,3,0)*VLOOKUP('Données projet'!$B$10,Paramètres!$A$1:$I$89,5,0)</f>
        <v>-2.5006556825246661E-14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127.25822594328736</v>
      </c>
      <c r="AO153" s="59">
        <f t="shared" si="144"/>
        <v>273.87580232386563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5.310949152243178</v>
      </c>
      <c r="AV153" s="21">
        <f>EXP(-LN(2)/25)*AV152+(1-EXP(-LN(2)/25))/(LN(2)/25)*Calculateur!AQ153*Calculateur!AS153*VLOOKUP('Données projet'!$B$10,Paramètres!$A$1:$I$89,3,0)*0.475*44/12</f>
        <v>0.51516077737381527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5.8261099296169929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6">
        <f t="shared" si="110"/>
        <v>476.52216692322241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-3.192326403222978E-14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164.99145658664128</v>
      </c>
      <c r="T154" s="59">
        <f t="shared" si="142"/>
        <v>354.51323926643181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6.6469846962470012</v>
      </c>
      <c r="AA154" s="21">
        <f>EXP(-LN(2)/25)*AA153+(1-EXP(-LN(2)/25))/(LN(2)/25)*Calculateur!V154*Calculateur!X154*VLOOKUP('Données projet'!$B$9,Paramètres!$A$1:$I$89,3,0)*0.475*44/12</f>
        <v>0.63966852616008518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7.2866532224070859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-5.6843418860808015E-14</v>
      </c>
      <c r="AJ154" s="13">
        <f>AI154*VLOOKUP('Données projet'!$B$10,Paramètres!$A$1:$I$89,3,0)*VLOOKUP('Données projet'!$B$10,Paramètres!$A$1:$I$89,5,0)</f>
        <v>-2.5006556825246661E-14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127.25822594328736</v>
      </c>
      <c r="AO154" s="59">
        <f t="shared" si="144"/>
        <v>273.87580232386563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5.2068046787268116</v>
      </c>
      <c r="AV154" s="21">
        <f>EXP(-LN(2)/25)*AV153+(1-EXP(-LN(2)/25))/(LN(2)/25)*Calculateur!AQ154*Calculateur!AS154*VLOOKUP('Données projet'!$B$10,Paramètres!$A$1:$I$89,3,0)*0.475*44/12</f>
        <v>0.50107367882540044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5.7078783575522118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6">
        <f t="shared" si="110"/>
        <v>477.70472638813214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-3.192326403222978E-14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164.99145658664128</v>
      </c>
      <c r="T155" s="59">
        <f t="shared" si="142"/>
        <v>354.51323926643181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6.5166413806139376</v>
      </c>
      <c r="AA155" s="21">
        <f>EXP(-LN(2)/25)*AA154+(1-EXP(-LN(2)/25))/(LN(2)/25)*Calculateur!V155*Calculateur!X155*VLOOKUP('Données projet'!$B$9,Paramètres!$A$1:$I$89,3,0)*0.475*44/12</f>
        <v>0.62217675667353189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7.1388181372874691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-5.6843418860808015E-14</v>
      </c>
      <c r="AJ155" s="13">
        <f>AI155*VLOOKUP('Données projet'!$B$10,Paramètres!$A$1:$I$89,3,0)*VLOOKUP('Données projet'!$B$10,Paramètres!$A$1:$I$89,5,0)</f>
        <v>-2.5006556825246661E-14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127.25822594328736</v>
      </c>
      <c r="AO155" s="59">
        <f t="shared" si="144"/>
        <v>273.87580232386563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5.1047024148142448</v>
      </c>
      <c r="AV155" s="21">
        <f>EXP(-LN(2)/25)*AV154+(1-EXP(-LN(2)/25))/(LN(2)/25)*Calculateur!AQ155*Calculateur!AS155*VLOOKUP('Données projet'!$B$10,Paramètres!$A$1:$I$89,3,0)*0.475*44/12</f>
        <v>0.48737179272760034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5.5920742075418453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6">
        <f t="shared" si="110"/>
        <v>478.88710855549317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-3.192326403222978E-14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164.99145658664128</v>
      </c>
      <c r="T156" s="59">
        <f t="shared" si="142"/>
        <v>354.51323926643181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6.3888540178988658</v>
      </c>
      <c r="AA156" s="21">
        <f>EXP(-LN(2)/25)*AA155+(1-EXP(-LN(2)/25))/(LN(2)/25)*Calculateur!V156*Calculateur!X156*VLOOKUP('Données projet'!$B$9,Paramètres!$A$1:$I$89,3,0)*0.475*44/12</f>
        <v>0.60516330054344059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6.9940173184423067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-5.6843418860808015E-14</v>
      </c>
      <c r="AJ156" s="13">
        <f>AI156*VLOOKUP('Données projet'!$B$10,Paramètres!$A$1:$I$89,3,0)*VLOOKUP('Données projet'!$B$10,Paramètres!$A$1:$I$89,5,0)</f>
        <v>-2.5006556825246661E-14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127.25822594328736</v>
      </c>
      <c r="AO156" s="59">
        <f t="shared" si="144"/>
        <v>273.87580232386563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5.0046023140207723</v>
      </c>
      <c r="AV156" s="21">
        <f>EXP(-LN(2)/25)*AV155+(1-EXP(-LN(2)/25))/(LN(2)/25)*Calculateur!AQ156*Calculateur!AS156*VLOOKUP('Données projet'!$B$10,Paramètres!$A$1:$I$89,3,0)*0.475*44/12</f>
        <v>0.47404458542569544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5.4786468994464679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6">
        <f t="shared" si="110"/>
        <v>480.06931471852465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-3.192326403222978E-14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164.99145658664128</v>
      </c>
      <c r="T157" s="59">
        <f t="shared" si="142"/>
        <v>354.51323926643181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6.2635724874240415</v>
      </c>
      <c r="AA157" s="21">
        <f>EXP(-LN(2)/25)*AA156+(1-EXP(-LN(2)/25))/(LN(2)/25)*Calculateur!V157*Calculateur!X157*VLOOKUP('Données projet'!$B$9,Paramètres!$A$1:$I$89,3,0)*0.475*44/12</f>
        <v>0.5886150782659253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6.8521875656899667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-5.6843418860808015E-14</v>
      </c>
      <c r="AJ157" s="13">
        <f>AI157*VLOOKUP('Données projet'!$B$10,Paramètres!$A$1:$I$89,3,0)*VLOOKUP('Données projet'!$B$10,Paramètres!$A$1:$I$89,5,0)</f>
        <v>-2.5006556825246661E-14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127.25822594328736</v>
      </c>
      <c r="AO157" s="59">
        <f t="shared" si="144"/>
        <v>273.87580232386563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4.9064651151488263</v>
      </c>
      <c r="AV157" s="21">
        <f>EXP(-LN(2)/25)*AV156+(1-EXP(-LN(2)/25))/(LN(2)/25)*Calculateur!AQ157*Calculateur!AS157*VLOOKUP('Données projet'!$B$10,Paramètres!$A$1:$I$89,3,0)*0.475*44/12</f>
        <v>0.4610818113083085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5.3675469264571349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6">
        <f t="shared" si="110"/>
        <v>481.25134615267967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-3.192326403222978E-14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164.99145658664128</v>
      </c>
      <c r="T158" s="59">
        <f t="shared" si="142"/>
        <v>354.51323926643181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6.14074765134764</v>
      </c>
      <c r="AA158" s="21">
        <f>EXP(-LN(2)/25)*AA157+(1-EXP(-LN(2)/25))/(LN(2)/25)*Calculateur!V158*Calculateur!X158*VLOOKUP('Données projet'!$B$9,Paramètres!$A$1:$I$89,3,0)*0.475*44/12</f>
        <v>0.5725193679968219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6.7132670193444621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-5.6843418860808015E-14</v>
      </c>
      <c r="AJ158" s="13">
        <f>AI158*VLOOKUP('Données projet'!$B$10,Paramètres!$A$1:$I$89,3,0)*VLOOKUP('Données projet'!$B$10,Paramètres!$A$1:$I$89,5,0)</f>
        <v>-2.5006556825246661E-14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127.25822594328736</v>
      </c>
      <c r="AO158" s="59">
        <f t="shared" si="144"/>
        <v>273.87580232386563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4.8102523268889783</v>
      </c>
      <c r="AV158" s="21">
        <f>EXP(-LN(2)/25)*AV157+(1-EXP(-LN(2)/25))/(LN(2)/25)*Calculateur!AQ158*Calculateur!AS158*VLOOKUP('Données projet'!$B$10,Paramètres!$A$1:$I$89,3,0)*0.475*44/12</f>
        <v>0.44847350493084415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5.258725831819822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6">
        <f t="shared" si="110"/>
        <v>482.433204116002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-3.192326403222978E-14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164.99145658664128</v>
      </c>
      <c r="T159" s="59">
        <f t="shared" si="142"/>
        <v>354.51323926643181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6.020331335390944</v>
      </c>
      <c r="AA159" s="21">
        <f>EXP(-LN(2)/25)*AA158+(1-EXP(-LN(2)/25))/(LN(2)/25)*Calculateur!V159*Calculateur!X159*VLOOKUP('Données projet'!$B$9,Paramètres!$A$1:$I$89,3,0)*0.475*44/12</f>
        <v>0.55686379577146372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6.5771951311624077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-5.6843418860808015E-14</v>
      </c>
      <c r="AJ159" s="13">
        <f>AI159*VLOOKUP('Données projet'!$B$10,Paramètres!$A$1:$I$89,3,0)*VLOOKUP('Données projet'!$B$10,Paramètres!$A$1:$I$89,5,0)</f>
        <v>-2.5006556825246661E-14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127.25822594328736</v>
      </c>
      <c r="AO159" s="59">
        <f t="shared" si="144"/>
        <v>273.87580232386563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4.7159262127229002</v>
      </c>
      <c r="AV159" s="21">
        <f>EXP(-LN(2)/25)*AV158+(1-EXP(-LN(2)/25))/(LN(2)/25)*Calculateur!AQ159*Calculateur!AS159*VLOOKUP('Données projet'!$B$10,Paramètres!$A$1:$I$89,3,0)*0.475*44/12</f>
        <v>0.43620997335431361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5.1521361860772137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6">
        <f t="shared" si="110"/>
        <v>483.61488984947425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-3.192326403222978E-14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164.99145658664128</v>
      </c>
      <c r="T160" s="59">
        <f t="shared" si="142"/>
        <v>354.51323926643181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5.9022763099434581</v>
      </c>
      <c r="AA160" s="21">
        <f>EXP(-LN(2)/25)*AA159+(1-EXP(-LN(2)/25))/(LN(2)/25)*Calculateur!V160*Calculateur!X160*VLOOKUP('Données projet'!$B$9,Paramètres!$A$1:$I$89,3,0)*0.475*44/12</f>
        <v>0.5416363259918987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6.4439126359353569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-5.6843418860808015E-14</v>
      </c>
      <c r="AJ160" s="13">
        <f>AI160*VLOOKUP('Données projet'!$B$10,Paramètres!$A$1:$I$89,3,0)*VLOOKUP('Données projet'!$B$10,Paramètres!$A$1:$I$89,5,0)</f>
        <v>-2.5006556825246661E-14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127.25822594328736</v>
      </c>
      <c r="AO160" s="59">
        <f t="shared" si="144"/>
        <v>273.87580232386563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4.6234497761223698</v>
      </c>
      <c r="AV160" s="21">
        <f>EXP(-LN(2)/25)*AV159+(1-EXP(-LN(2)/25))/(LN(2)/25)*Calculateur!AQ160*Calculateur!AS160*VLOOKUP('Données projet'!$B$10,Paramètres!$A$1:$I$89,3,0)*0.475*44/12</f>
        <v>0.42428178869365435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5.0477315648160239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6">
        <f t="shared" si="110"/>
        <v>484.79640457735582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-3.192326403222978E-14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164.99145658664128</v>
      </c>
      <c r="T161" s="59">
        <f t="shared" si="142"/>
        <v>354.51323926643181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5.7865362715385418</v>
      </c>
      <c r="AA161" s="21">
        <f>EXP(-LN(2)/25)*AA160+(1-EXP(-LN(2)/25))/(LN(2)/25)*Calculateur!V161*Calculateur!X161*VLOOKUP('Données projet'!$B$9,Paramètres!$A$1:$I$89,3,0)*0.475*44/12</f>
        <v>0.52682525217423382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6.3133615237127758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-5.6843418860808015E-14</v>
      </c>
      <c r="AJ161" s="13">
        <f>AI161*VLOOKUP('Données projet'!$B$10,Paramètres!$A$1:$I$89,3,0)*VLOOKUP('Données projet'!$B$10,Paramètres!$A$1:$I$89,5,0)</f>
        <v>-2.5006556825246661E-14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127.25822594328736</v>
      </c>
      <c r="AO161" s="59">
        <f t="shared" si="144"/>
        <v>273.87580232386563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4.5327867460385196</v>
      </c>
      <c r="AV161" s="21">
        <f>EXP(-LN(2)/25)*AV160+(1-EXP(-LN(2)/25))/(LN(2)/25)*Calculateur!AQ161*Calculateur!AS161*VLOOKUP('Données projet'!$B$10,Paramètres!$A$1:$I$89,3,0)*0.475*44/12</f>
        <v>0.41267978086981683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4.9454665269083362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6">
        <f t="shared" si="110"/>
        <v>485.97774950751329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-3.192326403222978E-14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164.99145658664128</v>
      </c>
      <c r="T162" s="59">
        <f t="shared" si="142"/>
        <v>354.51323926643181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5.6730658246922934</v>
      </c>
      <c r="AA162" s="21">
        <f>EXP(-LN(2)/25)*AA161+(1-EXP(-LN(2)/25))/(LN(2)/25)*Calculateur!V162*Calculateur!X162*VLOOKUP('Données projet'!$B$9,Paramètres!$A$1:$I$89,3,0)*0.475*44/12</f>
        <v>0.51241918794899344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6.185485012641287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-5.6843418860808015E-14</v>
      </c>
      <c r="AJ162" s="13">
        <f>AI162*VLOOKUP('Données projet'!$B$10,Paramètres!$A$1:$I$89,3,0)*VLOOKUP('Données projet'!$B$10,Paramètres!$A$1:$I$89,5,0)</f>
        <v>-2.5006556825246661E-14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127.25822594328736</v>
      </c>
      <c r="AO162" s="59">
        <f t="shared" si="144"/>
        <v>273.87580232386563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4.4439015626756255</v>
      </c>
      <c r="AV162" s="21">
        <f>EXP(-LN(2)/25)*AV161+(1-EXP(-LN(2)/25))/(LN(2)/25)*Calculateur!AQ162*Calculateur!AS162*VLOOKUP('Données projet'!$B$10,Paramètres!$A$1:$I$89,3,0)*0.475*44/12</f>
        <v>0.40139503056004522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4.8452965932356706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6">
        <f t="shared" si="110"/>
        <v>487.15892583174093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-3.192326403222978E-14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164.99145658664128</v>
      </c>
      <c r="T163" s="59">
        <f t="shared" si="142"/>
        <v>354.51323926643181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5.5618204640985613</v>
      </c>
      <c r="AA163" s="21">
        <f>EXP(-LN(2)/25)*AA162+(1-EXP(-LN(2)/25))/(LN(2)/25)*Calculateur!V163*Calculateur!X163*VLOOKUP('Données projet'!$B$9,Paramètres!$A$1:$I$89,3,0)*0.475*44/12</f>
        <v>0.49840705830757426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6.0602275224061355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-5.6843418860808015E-14</v>
      </c>
      <c r="AJ163" s="13">
        <f>AI163*VLOOKUP('Données projet'!$B$10,Paramètres!$A$1:$I$89,3,0)*VLOOKUP('Données projet'!$B$10,Paramètres!$A$1:$I$89,5,0)</f>
        <v>-2.5006556825246661E-14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127.25822594328736</v>
      </c>
      <c r="AO163" s="59">
        <f t="shared" si="144"/>
        <v>273.87580232386563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4.3567593635438691</v>
      </c>
      <c r="AV163" s="21">
        <f>EXP(-LN(2)/25)*AV162+(1-EXP(-LN(2)/25))/(LN(2)/25)*Calculateur!AQ163*Calculateur!AS163*VLOOKUP('Données projet'!$B$10,Paramètres!$A$1:$I$89,3,0)*0.475*44/12</f>
        <v>0.39041886234093354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4.7471782258848023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6">
        <f t="shared" si="110"/>
        <v>488.33993472607426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-3.192326403222978E-14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164.99145658664128</v>
      </c>
      <c r="T164" s="59">
        <f t="shared" si="142"/>
        <v>354.51323926643181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5.4527565571731023</v>
      </c>
      <c r="AA164" s="21">
        <f>EXP(-LN(2)/25)*AA163+(1-EXP(-LN(2)/25))/(LN(2)/25)*Calculateur!V164*Calculateur!X164*VLOOKUP('Données projet'!$B$9,Paramètres!$A$1:$I$89,3,0)*0.475*44/12</f>
        <v>0.48477809108806558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5.9375346482611677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-5.6843418860808015E-14</v>
      </c>
      <c r="AJ164" s="13">
        <f>AI164*VLOOKUP('Données projet'!$B$10,Paramètres!$A$1:$I$89,3,0)*VLOOKUP('Données projet'!$B$10,Paramètres!$A$1:$I$89,5,0)</f>
        <v>-2.5006556825246661E-14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127.25822594328736</v>
      </c>
      <c r="AO164" s="59">
        <f t="shared" si="144"/>
        <v>273.87580232386563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4.2713259697855932</v>
      </c>
      <c r="AV164" s="21">
        <f>EXP(-LN(2)/25)*AV163+(1-EXP(-LN(2)/25))/(LN(2)/25)*Calculateur!AQ164*Calculateur!AS164*VLOOKUP('Données projet'!$B$10,Paramètres!$A$1:$I$89,3,0)*0.475*44/12</f>
        <v>0.37974283801898506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4.6510688078045783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6">
        <f t="shared" si="110"/>
        <v>489.52077735109452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-3.192326403222978E-14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164.99145658664128</v>
      </c>
      <c r="T165" s="59">
        <f t="shared" si="142"/>
        <v>354.51323926643181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5.3458313269400373</v>
      </c>
      <c r="AA165" s="21">
        <f>EXP(-LN(2)/25)*AA164+(1-EXP(-LN(2)/25))/(LN(2)/25)*Calculateur!V165*Calculateur!X165*VLOOKUP('Données projet'!$B$9,Paramètres!$A$1:$I$89,3,0)*0.475*44/12</f>
        <v>0.4715218086938906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5.8173531356339279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-5.6843418860808015E-14</v>
      </c>
      <c r="AJ165" s="13">
        <f>AI165*VLOOKUP('Données projet'!$B$10,Paramètres!$A$1:$I$89,3,0)*VLOOKUP('Données projet'!$B$10,Paramètres!$A$1:$I$89,5,0)</f>
        <v>-2.5006556825246661E-14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127.25822594328736</v>
      </c>
      <c r="AO165" s="59">
        <f t="shared" si="144"/>
        <v>273.87580232386563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4.1875678727696917</v>
      </c>
      <c r="AV165" s="21">
        <f>EXP(-LN(2)/25)*AV164+(1-EXP(-LN(2)/25))/(LN(2)/25)*Calculateur!AQ165*Calculateur!AS165*VLOOKUP('Données projet'!$B$10,Paramètres!$A$1:$I$89,3,0)*0.475*44/12</f>
        <v>0.36935875014354796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4.5569266229132399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6">
        <f t="shared" si="110"/>
        <v>490.70145485222611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-3.192326403222978E-14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164.99145658664128</v>
      </c>
      <c r="T166" s="59">
        <f t="shared" si="142"/>
        <v>354.51323926643181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5.2410028352538918</v>
      </c>
      <c r="AA166" s="21">
        <f>EXP(-LN(2)/25)*AA165+(1-EXP(-LN(2)/25))/(LN(2)/25)*Calculateur!V166*Calculateur!X166*VLOOKUP('Données projet'!$B$9,Paramètres!$A$1:$I$89,3,0)*0.475*44/12</f>
        <v>0.45862802003890191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5.6996308552927939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-5.6843418860808015E-14</v>
      </c>
      <c r="AJ166" s="13">
        <f>AI166*VLOOKUP('Données projet'!$B$10,Paramètres!$A$1:$I$89,3,0)*VLOOKUP('Données projet'!$B$10,Paramètres!$A$1:$I$89,5,0)</f>
        <v>-2.5006556825246661E-14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127.25822594328736</v>
      </c>
      <c r="AO166" s="59">
        <f t="shared" si="144"/>
        <v>273.87580232386563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4.1054522209488775</v>
      </c>
      <c r="AV166" s="21">
        <f>EXP(-LN(2)/25)*AV165+(1-EXP(-LN(2)/25))/(LN(2)/25)*Calculateur!AQ166*Calculateur!AS166*VLOOKUP('Données projet'!$B$10,Paramètres!$A$1:$I$89,3,0)*0.475*44/12</f>
        <v>0.35925861569714018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4.4647108366460175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6">
        <f t="shared" si="110"/>
        <v>491.88196836002629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-3.192326403222978E-14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164.99145658664128</v>
      </c>
      <c r="T167" s="59">
        <f t="shared" si="142"/>
        <v>354.51323926643181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5.1382299663506448</v>
      </c>
      <c r="AA167" s="21">
        <f>EXP(-LN(2)/25)*AA166+(1-EXP(-LN(2)/25))/(LN(2)/25)*Calculateur!V167*Calculateur!X167*VLOOKUP('Données projet'!$B$9,Paramètres!$A$1:$I$89,3,0)*0.475*44/12</f>
        <v>0.44608681271273876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5.5843167790633839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-5.6843418860808015E-14</v>
      </c>
      <c r="AJ167" s="13">
        <f>AI167*VLOOKUP('Données projet'!$B$10,Paramètres!$A$1:$I$89,3,0)*VLOOKUP('Données projet'!$B$10,Paramètres!$A$1:$I$89,5,0)</f>
        <v>-2.5006556825246661E-14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127.25822594328736</v>
      </c>
      <c r="AO167" s="59">
        <f t="shared" si="144"/>
        <v>273.87580232386563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4.0249468069746674</v>
      </c>
      <c r="AV167" s="21">
        <f>EXP(-LN(2)/25)*AV166+(1-EXP(-LN(2)/25))/(LN(2)/25)*Calculateur!AQ167*Calculateur!AS167*VLOOKUP('Données projet'!$B$10,Paramètres!$A$1:$I$89,3,0)*0.475*44/12</f>
        <v>0.3494346699583124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4.3743814769329799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6">
        <f t="shared" si="110"/>
        <v>493.06231899046742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-3.192326403222978E-14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164.99145658664128</v>
      </c>
      <c r="T168" s="59">
        <f t="shared" si="142"/>
        <v>354.51323926643181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5.03747241072133</v>
      </c>
      <c r="AA168" s="21">
        <f>EXP(-LN(2)/25)*AA167+(1-EXP(-LN(2)/25))/(LN(2)/25)*Calculateur!V168*Calculateur!X168*VLOOKUP('Données projet'!$B$9,Paramètres!$A$1:$I$89,3,0)*0.475*44/12</f>
        <v>0.43388854536042298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5.4713609560817531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-5.6843418860808015E-14</v>
      </c>
      <c r="AJ168" s="13">
        <f>AI168*VLOOKUP('Données projet'!$B$10,Paramètres!$A$1:$I$89,3,0)*VLOOKUP('Données projet'!$B$10,Paramètres!$A$1:$I$89,5,0)</f>
        <v>-2.5006556825246661E-14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127.25822594328736</v>
      </c>
      <c r="AO168" s="59">
        <f t="shared" si="144"/>
        <v>273.87580232386563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3.9460200550650377</v>
      </c>
      <c r="AV168" s="21">
        <f>EXP(-LN(2)/25)*AV167+(1-EXP(-LN(2)/25))/(LN(2)/25)*Calculateur!AQ168*Calculateur!AS168*VLOOKUP('Données projet'!$B$10,Paramètres!$A$1:$I$89,3,0)*0.475*44/12</f>
        <v>0.3398793605323317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4.2858994155973695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6">
        <f t="shared" si="110"/>
        <v>494.24250784521246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-3.192326403222978E-14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164.99145658664128</v>
      </c>
      <c r="T169" s="59">
        <f t="shared" si="142"/>
        <v>354.51323926643181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4.9386906493018659</v>
      </c>
      <c r="AA169" s="21">
        <f>EXP(-LN(2)/25)*AA168+(1-EXP(-LN(2)/25))/(LN(2)/25)*Calculateur!V169*Calculateur!X169*VLOOKUP('Données projet'!$B$9,Paramètres!$A$1:$I$89,3,0)*0.475*44/12</f>
        <v>0.42202384027033529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5.3607144895722012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-5.6843418860808015E-14</v>
      </c>
      <c r="AJ169" s="13">
        <f>AI169*VLOOKUP('Données projet'!$B$10,Paramètres!$A$1:$I$89,3,0)*VLOOKUP('Données projet'!$B$10,Paramètres!$A$1:$I$89,5,0)</f>
        <v>-2.5006556825246661E-14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127.25822594328736</v>
      </c>
      <c r="AO169" s="59">
        <f t="shared" si="144"/>
        <v>273.87580232386563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3.8686410086197909</v>
      </c>
      <c r="AV169" s="21">
        <f>EXP(-LN(2)/25)*AV168+(1-EXP(-LN(2)/25))/(LN(2)/25)*Calculateur!AQ169*Calculateur!AS169*VLOOKUP('Données projet'!$B$10,Paramètres!$A$1:$I$89,3,0)*0.475*44/12</f>
        <v>0.33058534154509633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4.1992263501648868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6">
        <f t="shared" si="110"/>
        <v>495.42253601188349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-3.192326403222978E-14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164.99145658664128</v>
      </c>
      <c r="T170" s="59">
        <f t="shared" si="142"/>
        <v>354.51323926643181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4.841845937972912</v>
      </c>
      <c r="AA170" s="21">
        <f>EXP(-LN(2)/25)*AA169+(1-EXP(-LN(2)/25))/(LN(2)/25)*Calculateur!V170*Calculateur!X170*VLOOKUP('Données projet'!$B$9,Paramètres!$A$1:$I$89,3,0)*0.475*44/12</f>
        <v>0.41048357616487374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5.2523295141377861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-5.6843418860808015E-14</v>
      </c>
      <c r="AJ170" s="13">
        <f>AI170*VLOOKUP('Données projet'!$B$10,Paramètres!$A$1:$I$89,3,0)*VLOOKUP('Données projet'!$B$10,Paramètres!$A$1:$I$89,5,0)</f>
        <v>-2.5006556825246661E-14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127.25822594328736</v>
      </c>
      <c r="AO170" s="59">
        <f t="shared" si="144"/>
        <v>273.87580232386563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3.792779318078777</v>
      </c>
      <c r="AV170" s="21">
        <f>EXP(-LN(2)/25)*AV169+(1-EXP(-LN(2)/25))/(LN(2)/25)*Calculateur!AQ170*Calculateur!AS170*VLOOKUP('Données projet'!$B$10,Paramètres!$A$1:$I$89,3,0)*0.475*44/12</f>
        <v>0.32154546799581812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4.1143247860745955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6">
        <f t="shared" si="110"/>
        <v>496.60240456432382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-3.192326403222978E-14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164.99145658664128</v>
      </c>
      <c r="T171" s="59">
        <f t="shared" si="142"/>
        <v>354.51323926643181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4.7469002923636774</v>
      </c>
      <c r="AA171" s="21">
        <f>EXP(-LN(2)/25)*AA170+(1-EXP(-LN(2)/25))/(LN(2)/25)*Calculateur!V171*Calculateur!X171*VLOOKUP('Données projet'!$B$9,Paramètres!$A$1:$I$89,3,0)*0.475*44/12</f>
        <v>0.39925888118825215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5.1461591735519292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-5.6843418860808015E-14</v>
      </c>
      <c r="AJ171" s="13">
        <f>AI171*VLOOKUP('Données projet'!$B$10,Paramètres!$A$1:$I$89,3,0)*VLOOKUP('Données projet'!$B$10,Paramètres!$A$1:$I$89,5,0)</f>
        <v>-2.5006556825246661E-14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127.25822594328736</v>
      </c>
      <c r="AO171" s="59">
        <f t="shared" si="144"/>
        <v>273.87580232386563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3.7184052290182104</v>
      </c>
      <c r="AV171" s="21">
        <f>EXP(-LN(2)/25)*AV170+(1-EXP(-LN(2)/25))/(LN(2)/25)*Calculateur!AQ171*Calculateur!AS171*VLOOKUP('Données projet'!$B$10,Paramètres!$A$1:$I$89,3,0)*0.475*44/12</f>
        <v>0.31275279026413122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4.0311580192823415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6">
        <f t="shared" si="110"/>
        <v>497.78211456285305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-3.192326403222978E-14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164.99145658664128</v>
      </c>
      <c r="T172" s="59">
        <f t="shared" si="142"/>
        <v>354.51323926643181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4.6538164729537144</v>
      </c>
      <c r="AA172" s="21">
        <f>EXP(-LN(2)/25)*AA171+(1-EXP(-LN(2)/25))/(LN(2)/25)*Calculateur!V172*Calculateur!X172*VLOOKUP('Données projet'!$B$9,Paramètres!$A$1:$I$89,3,0)*0.475*44/12</f>
        <v>0.38834112608604737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5.0421575990397614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-5.6843418860808015E-14</v>
      </c>
      <c r="AJ172" s="13">
        <f>AI172*VLOOKUP('Données projet'!$B$10,Paramètres!$A$1:$I$89,3,0)*VLOOKUP('Données projet'!$B$10,Paramètres!$A$1:$I$89,5,0)</f>
        <v>-2.5006556825246661E-14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127.25822594328736</v>
      </c>
      <c r="AO172" s="59">
        <f t="shared" si="144"/>
        <v>273.87580232386563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3.6454895704804064</v>
      </c>
      <c r="AV172" s="21">
        <f>EXP(-LN(2)/25)*AV171+(1-EXP(-LN(2)/25))/(LN(2)/25)*Calculateur!AQ172*Calculateur!AS172*VLOOKUP('Données projet'!$B$10,Paramètres!$A$1:$I$89,3,0)*0.475*44/12</f>
        <v>0.3042005487674041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3.9496901192478107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6">
        <f t="shared" si="110"/>
        <v>498.96166705451697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-3.192326403222978E-14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164.99145658664128</v>
      </c>
      <c r="T173" s="59">
        <f t="shared" si="142"/>
        <v>354.51323926643181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4.5625579704668571</v>
      </c>
      <c r="AA173" s="21">
        <f>EXP(-LN(2)/25)*AA172+(1-EXP(-LN(2)/25))/(LN(2)/25)*Calculateur!V173*Calculateur!X173*VLOOKUP('Données projet'!$B$9,Paramètres!$A$1:$I$89,3,0)*0.475*44/12</f>
        <v>0.37772191757125217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4.9402798880381091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-5.6843418860808015E-14</v>
      </c>
      <c r="AJ173" s="13">
        <f>AI173*VLOOKUP('Données projet'!$B$10,Paramètres!$A$1:$I$89,3,0)*VLOOKUP('Données projet'!$B$10,Paramètres!$A$1:$I$89,5,0)</f>
        <v>-2.5006556825246661E-14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127.25822594328736</v>
      </c>
      <c r="AO173" s="59">
        <f t="shared" si="144"/>
        <v>273.87580232386563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3.5740037435323684</v>
      </c>
      <c r="AV173" s="21">
        <f>EXP(-LN(2)/25)*AV172+(1-EXP(-LN(2)/25))/(LN(2)/25)*Calculateur!AQ173*Calculateur!AS173*VLOOKUP('Données projet'!$B$10,Paramètres!$A$1:$I$89,3,0)*0.475*44/12</f>
        <v>0.29588216876414786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3.8698859122965161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6">
        <f t="shared" si="110"/>
        <v>500.1410630733302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-3.192326403222978E-14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164.99145658664128</v>
      </c>
      <c r="T174" s="59">
        <f t="shared" si="142"/>
        <v>354.51323926643181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4.4730889915515766</v>
      </c>
      <c r="AA174" s="21">
        <f>EXP(-LN(2)/25)*AA173+(1-EXP(-LN(2)/25))/(LN(2)/25)*Calculateur!V174*Calculateur!X174*VLOOKUP('Données projet'!$B$9,Paramètres!$A$1:$I$89,3,0)*0.475*44/12</f>
        <v>0.36739309187173391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4.8404820834233107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-5.6843418860808015E-14</v>
      </c>
      <c r="AJ174" s="13">
        <f>AI174*VLOOKUP('Données projet'!$B$10,Paramètres!$A$1:$I$89,3,0)*VLOOKUP('Données projet'!$B$10,Paramètres!$A$1:$I$89,5,0)</f>
        <v>-2.5006556825246661E-14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127.25822594328736</v>
      </c>
      <c r="AO174" s="59">
        <f t="shared" si="144"/>
        <v>273.87580232386563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3.5039197100487325</v>
      </c>
      <c r="AV174" s="21">
        <f>EXP(-LN(2)/25)*AV173+(1-EXP(-LN(2)/25))/(LN(2)/25)*Calculateur!AQ174*Calculateur!AS174*VLOOKUP('Données projet'!$B$10,Paramètres!$A$1:$I$89,3,0)*0.475*44/12</f>
        <v>0.28779125529952521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3.7917109653482575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6">
        <f t="shared" si="110"/>
        <v>501.32030364051411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-3.192326403222978E-14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164.99145658664128</v>
      </c>
      <c r="T175" s="59">
        <f t="shared" si="142"/>
        <v>354.51323926643181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4.3853744447421361</v>
      </c>
      <c r="AA175" s="21">
        <f>EXP(-LN(2)/25)*AA174+(1-EXP(-LN(2)/25))/(LN(2)/25)*Calculateur!V175*Calculateur!X175*VLOOKUP('Données projet'!$B$9,Paramètres!$A$1:$I$89,3,0)*0.475*44/12</f>
        <v>0.35734670845413835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4.7427211531962747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-5.6843418860808015E-14</v>
      </c>
      <c r="AJ175" s="13">
        <f>AI175*VLOOKUP('Données projet'!$B$10,Paramètres!$A$1:$I$89,3,0)*VLOOKUP('Données projet'!$B$10,Paramètres!$A$1:$I$89,5,0)</f>
        <v>-2.5006556825246661E-14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127.25822594328736</v>
      </c>
      <c r="AO175" s="59">
        <f t="shared" si="144"/>
        <v>273.87580232386563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3.4352099817146708</v>
      </c>
      <c r="AV175" s="21">
        <f>EXP(-LN(2)/25)*AV174+(1-EXP(-LN(2)/25))/(LN(2)/25)*Calculateur!AQ175*Calculateur!AS175*VLOOKUP('Données projet'!$B$10,Paramètres!$A$1:$I$89,3,0)*0.475*44/12</f>
        <v>0.27992158828907532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3.7151315700037459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6">
        <f t="shared" si="110"/>
        <v>502.49938976472833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-3.192326403222978E-14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164.99145658664128</v>
      </c>
      <c r="T176" s="59">
        <f t="shared" si="142"/>
        <v>354.51323926643181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4.2993799266950381</v>
      </c>
      <c r="AA176" s="21">
        <f>EXP(-LN(2)/25)*AA175+(1-EXP(-LN(2)/25))/(LN(2)/25)*Calculateur!V176*Calculateur!X176*VLOOKUP('Données projet'!$B$9,Paramètres!$A$1:$I$89,3,0)*0.475*44/12</f>
        <v>0.34757504391941324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4.6469549706144511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-5.6843418860808015E-14</v>
      </c>
      <c r="AJ176" s="13">
        <f>AI176*VLOOKUP('Données projet'!$B$10,Paramètres!$A$1:$I$89,3,0)*VLOOKUP('Données projet'!$B$10,Paramètres!$A$1:$I$89,5,0)</f>
        <v>-2.5006556825246661E-14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127.25822594328736</v>
      </c>
      <c r="AO176" s="59">
        <f t="shared" si="144"/>
        <v>273.87580232386563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3.367847609244444</v>
      </c>
      <c r="AV176" s="21">
        <f>EXP(-LN(2)/25)*AV175+(1-EXP(-LN(2)/25))/(LN(2)/25)*Calculateur!AQ176*Calculateur!AS176*VLOOKUP('Données projet'!$B$10,Paramètres!$A$1:$I$89,3,0)*0.475*44/12</f>
        <v>0.27226711773687401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3.6401147269813179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6">
        <f t="shared" si="110"/>
        <v>503.67832244229692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-3.192326403222978E-14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164.99145658664128</v>
      </c>
      <c r="T177" s="59">
        <f t="shared" si="142"/>
        <v>354.51323926643181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4.2150717086953673</v>
      </c>
      <c r="AA177" s="21">
        <f>EXP(-LN(2)/25)*AA176+(1-EXP(-LN(2)/25))/(LN(2)/25)*Calculateur!V177*Calculateur!X177*VLOOKUP('Données projet'!$B$9,Paramètres!$A$1:$I$89,3,0)*0.475*44/12</f>
        <v>0.33807058606525969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4.5531422947606268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-5.6843418860808015E-14</v>
      </c>
      <c r="AJ177" s="13">
        <f>AI177*VLOOKUP('Données projet'!$B$10,Paramètres!$A$1:$I$89,3,0)*VLOOKUP('Données projet'!$B$10,Paramètres!$A$1:$I$89,5,0)</f>
        <v>-2.5006556825246661E-14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127.25822594328736</v>
      </c>
      <c r="AO177" s="59">
        <f t="shared" si="144"/>
        <v>273.87580232386563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3.3018061718113683</v>
      </c>
      <c r="AV177" s="21">
        <f>EXP(-LN(2)/25)*AV176+(1-EXP(-LN(2)/25))/(LN(2)/25)*Calculateur!AQ177*Calculateur!AS177*VLOOKUP('Données projet'!$B$10,Paramètres!$A$1:$I$89,3,0)*0.475*44/12</f>
        <v>0.26482195908445372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3.5666281308958219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6">
        <f t="shared" si="110"/>
        <v>504.85710265742932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-3.192326403222978E-14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164.99145658664128</v>
      </c>
      <c r="T178" s="59">
        <f t="shared" si="142"/>
        <v>354.51323926643181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4.1324167234277338</v>
      </c>
      <c r="AA178" s="21">
        <f>EXP(-LN(2)/25)*AA177+(1-EXP(-LN(2)/25))/(LN(2)/25)*Calculateur!V178*Calculateur!X178*VLOOKUP('Données projet'!$B$9,Paramètres!$A$1:$I$89,3,0)*0.475*44/12</f>
        <v>0.32882602811094569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4.4612427515386797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-5.6843418860808015E-14</v>
      </c>
      <c r="AJ178" s="13">
        <f>AI178*VLOOKUP('Données projet'!$B$10,Paramètres!$A$1:$I$89,3,0)*VLOOKUP('Données projet'!$B$10,Paramètres!$A$1:$I$89,5,0)</f>
        <v>-2.5006556825246661E-14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127.25822594328736</v>
      </c>
      <c r="AO178" s="59">
        <f t="shared" si="144"/>
        <v>273.87580232386563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3.2370597666850558</v>
      </c>
      <c r="AV178" s="21">
        <f>EXP(-LN(2)/25)*AV177+(1-EXP(-LN(2)/25))/(LN(2)/25)*Calculateur!AQ178*Calculateur!AS178*VLOOKUP('Données projet'!$B$10,Paramètres!$A$1:$I$89,3,0)*0.475*44/12</f>
        <v>0.25758038868690775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3.4946401553719637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6">
        <f t="shared" si="110"/>
        <v>506.03573138243593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-3.192326403222978E-14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164.99145658664128</v>
      </c>
      <c r="T179" s="59">
        <f t="shared" si="142"/>
        <v>354.51323926643181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4.0513825520066362</v>
      </c>
      <c r="AA179" s="21">
        <f>EXP(-LN(2)/25)*AA178+(1-EXP(-LN(2)/25))/(LN(2)/25)*Calculateur!V179*Calculateur!X179*VLOOKUP('Données projet'!$B$9,Paramètres!$A$1:$I$89,3,0)*0.475*44/12</f>
        <v>0.31983426308004259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4.3712168150866786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-5.6843418860808015E-14</v>
      </c>
      <c r="AJ179" s="13">
        <f>AI179*VLOOKUP('Données projet'!$B$10,Paramètres!$A$1:$I$89,3,0)*VLOOKUP('Données projet'!$B$10,Paramètres!$A$1:$I$89,5,0)</f>
        <v>-2.5006556825246661E-14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127.25822594328736</v>
      </c>
      <c r="AO179" s="59">
        <f t="shared" si="144"/>
        <v>273.87580232386563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3.1735829990718627</v>
      </c>
      <c r="AV179" s="21">
        <f>EXP(-LN(2)/25)*AV178+(1-EXP(-LN(2)/25))/(LN(2)/25)*Calculateur!AQ179*Calculateur!AS179*VLOOKUP('Données projet'!$B$10,Paramètres!$A$1:$I$89,3,0)*0.475*44/12</f>
        <v>0.25053683941270033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3.4241198384845628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6">
        <f t="shared" si="110"/>
        <v>507.21420957793879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-3.192326403222978E-14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164.99145658664128</v>
      </c>
      <c r="T180" s="59">
        <f t="shared" si="142"/>
        <v>354.51323926643181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3.9719374112611421</v>
      </c>
      <c r="AA180" s="21">
        <f>EXP(-LN(2)/25)*AA179+(1-EXP(-LN(2)/25))/(LN(2)/25)*Calculateur!V180*Calculateur!X180*VLOOKUP('Données projet'!$B$9,Paramètres!$A$1:$I$89,3,0)*0.475*44/12</f>
        <v>0.31108837833676595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4.2830257895979083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-5.6843418860808015E-14</v>
      </c>
      <c r="AJ180" s="13">
        <f>AI180*VLOOKUP('Données projet'!$B$10,Paramètres!$A$1:$I$89,3,0)*VLOOKUP('Données projet'!$B$10,Paramètres!$A$1:$I$89,5,0)</f>
        <v>-2.5006556825246661E-14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127.25822594328736</v>
      </c>
      <c r="AO180" s="59">
        <f t="shared" si="144"/>
        <v>273.87580232386563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3.1113509721545589</v>
      </c>
      <c r="AV180" s="21">
        <f>EXP(-LN(2)/25)*AV179+(1-EXP(-LN(2)/25))/(LN(2)/25)*Calculateur!AQ180*Calculateur!AS180*VLOOKUP('Données projet'!$B$10,Paramètres!$A$1:$I$89,3,0)*0.475*44/12</f>
        <v>0.24368589636380025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3.3550368685183591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6">
        <f t="shared" si="110"/>
        <v>508.39253819307743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-3.192326403222978E-14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164.99145658664128</v>
      </c>
      <c r="T181" s="59">
        <f t="shared" si="142"/>
        <v>354.51323926643181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3.8940501412689157</v>
      </c>
      <c r="AA181" s="21">
        <f>EXP(-LN(2)/25)*AA180+(1-EXP(-LN(2)/25))/(LN(2)/25)*Calculateur!V181*Calculateur!X181*VLOOKUP('Données projet'!$B$9,Paramètres!$A$1:$I$89,3,0)*0.475*44/12</f>
        <v>0.30258165027172029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4.1966317915406357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-5.6843418860808015E-14</v>
      </c>
      <c r="AJ181" s="13">
        <f>AI181*VLOOKUP('Données projet'!$B$10,Paramètres!$A$1:$I$89,3,0)*VLOOKUP('Données projet'!$B$10,Paramètres!$A$1:$I$89,5,0)</f>
        <v>-2.5006556825246661E-14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127.25822594328736</v>
      </c>
      <c r="AO181" s="59">
        <f t="shared" si="144"/>
        <v>273.87580232386563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3.050339277327315</v>
      </c>
      <c r="AV181" s="21">
        <f>EXP(-LN(2)/25)*AV180+(1-EXP(-LN(2)/25))/(LN(2)/25)*Calculateur!AQ181*Calculateur!AS181*VLOOKUP('Données projet'!$B$10,Paramètres!$A$1:$I$89,3,0)*0.475*44/12</f>
        <v>0.2370222927128478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3.2873615700401628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6">
        <f t="shared" si="110"/>
        <v>509.57071816570965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-3.192326403222978E-14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164.99145658664128</v>
      </c>
      <c r="T182" s="59">
        <f t="shared" si="142"/>
        <v>354.51323926643181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3.8176901931346934</v>
      </c>
      <c r="AA182" s="21">
        <f>EXP(-LN(2)/25)*AA181+(1-EXP(-LN(2)/25))/(LN(2)/25)*Calculateur!V182*Calculateur!X182*VLOOKUP('Données projet'!$B$9,Paramètres!$A$1:$I$89,3,0)*0.475*44/12</f>
        <v>0.29430753913296265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4.111997732267656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-5.6843418860808015E-14</v>
      </c>
      <c r="AJ182" s="13">
        <f>AI182*VLOOKUP('Données projet'!$B$10,Paramètres!$A$1:$I$89,3,0)*VLOOKUP('Données projet'!$B$10,Paramètres!$A$1:$I$89,5,0)</f>
        <v>-2.5006556825246661E-14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127.25822594328736</v>
      </c>
      <c r="AO182" s="59">
        <f t="shared" si="144"/>
        <v>273.87580232386563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2.9905239846221741</v>
      </c>
      <c r="AV182" s="21">
        <f>EXP(-LN(2)/25)*AV181+(1-EXP(-LN(2)/25))/(LN(2)/25)*Calculateur!AQ182*Calculateur!AS182*VLOOKUP('Données projet'!$B$10,Paramètres!$A$1:$I$89,3,0)*0.475*44/12</f>
        <v>0.23054090565415433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3.2210648902763284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6">
        <f t="shared" si="110"/>
        <v>510.74875042260788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-3.192326403222978E-14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164.99145658664128</v>
      </c>
      <c r="T183" s="59">
        <f t="shared" si="142"/>
        <v>354.51323926643181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3.7428276170084134</v>
      </c>
      <c r="AA183" s="21">
        <f>EXP(-LN(2)/25)*AA182+(1-EXP(-LN(2)/25))/(LN(2)/25)*Calculateur!V183*Calculateur!X183*VLOOKUP('Données projet'!$B$9,Paramètres!$A$1:$I$89,3,0)*0.475*44/12</f>
        <v>0.28625968399841095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4.0290873010068244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-5.6843418860808015E-14</v>
      </c>
      <c r="AJ183" s="13">
        <f>AI183*VLOOKUP('Données projet'!$B$10,Paramètres!$A$1:$I$89,3,0)*VLOOKUP('Données projet'!$B$10,Paramètres!$A$1:$I$89,5,0)</f>
        <v>-2.5006556825246661E-14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127.25822594328736</v>
      </c>
      <c r="AO183" s="59">
        <f t="shared" si="144"/>
        <v>273.87580232386563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2.9318816333232549</v>
      </c>
      <c r="AV183" s="21">
        <f>EXP(-LN(2)/25)*AV182+(1-EXP(-LN(2)/25))/(LN(2)/25)*Calculateur!AQ183*Calculateur!AS183*VLOOKUP('Données projet'!$B$10,Paramètres!$A$1:$I$89,3,0)*0.475*44/12</f>
        <v>0.22423675246542216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3.1561183857886772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6">
        <f t="shared" si="110"/>
        <v>511.92663587965137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-3.192326403222978E-14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164.99145658664128</v>
      </c>
      <c r="T184" s="59">
        <f t="shared" si="142"/>
        <v>354.51323926643181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3.669433050338307</v>
      </c>
      <c r="AA184" s="21">
        <f>EXP(-LN(2)/25)*AA183+(1-EXP(-LN(2)/25))/(LN(2)/25)*Calculateur!V184*Calculateur!X184*VLOOKUP('Données projet'!$B$9,Paramètres!$A$1:$I$89,3,0)*0.475*44/12</f>
        <v>0.27843189788573186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3.9478649482240389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-5.6843418860808015E-14</v>
      </c>
      <c r="AJ184" s="13">
        <f>AI184*VLOOKUP('Données projet'!$B$10,Paramètres!$A$1:$I$89,3,0)*VLOOKUP('Données projet'!$B$10,Paramètres!$A$1:$I$89,5,0)</f>
        <v>-2.5006556825246661E-14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127.25822594328736</v>
      </c>
      <c r="AO184" s="59">
        <f t="shared" si="144"/>
        <v>273.87580232386563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2.874389222765005</v>
      </c>
      <c r="AV184" s="21">
        <f>EXP(-LN(2)/25)*AV183+(1-EXP(-LN(2)/25))/(LN(2)/25)*Calculateur!AQ184*Calculateur!AS184*VLOOKUP('Données projet'!$B$10,Paramètres!$A$1:$I$89,3,0)*0.475*44/12</f>
        <v>0.21810498667715689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3.0924942094421617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6">
        <f t="shared" si="110"/>
        <v>513.10437544201318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-3.192326403222978E-14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164.99145658664128</v>
      </c>
      <c r="T185" s="59">
        <f t="shared" si="142"/>
        <v>354.51323926643181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3.5974777063543364</v>
      </c>
      <c r="AA185" s="21">
        <f>EXP(-LN(2)/25)*AA184+(1-EXP(-LN(2)/25))/(LN(2)/25)*Calculateur!V185*Calculateur!X185*VLOOKUP('Données projet'!$B$9,Paramètres!$A$1:$I$89,3,0)*0.475*44/12</f>
        <v>0.27081816299594935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3.8682958693502858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-5.6843418860808015E-14</v>
      </c>
      <c r="AJ185" s="13">
        <f>AI185*VLOOKUP('Données projet'!$B$10,Paramètres!$A$1:$I$89,3,0)*VLOOKUP('Données projet'!$B$10,Paramètres!$A$1:$I$89,5,0)</f>
        <v>-2.5006556825246661E-14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127.25822594328736</v>
      </c>
      <c r="AO185" s="59">
        <f t="shared" si="144"/>
        <v>273.87580232386563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2.8180242033108946</v>
      </c>
      <c r="AV185" s="21">
        <f>EXP(-LN(2)/25)*AV184+(1-EXP(-LN(2)/25))/(LN(2)/25)*Calculateur!AQ185*Calculateur!AS185*VLOOKUP('Données projet'!$B$10,Paramètres!$A$1:$I$89,3,0)*0.475*44/12</f>
        <v>0.21214089434682726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3.0301650976577221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6">
        <f t="shared" si="110"/>
        <v>514.28197000434375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-3.192326403222978E-14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164.99145658664128</v>
      </c>
      <c r="T186" s="59">
        <f t="shared" si="142"/>
        <v>354.51323926643181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3.5269333627774651</v>
      </c>
      <c r="AA186" s="21">
        <f>EXP(-LN(2)/25)*AA185+(1-EXP(-LN(2)/25))/(LN(2)/25)*Calculateur!V186*Calculateur!X186*VLOOKUP('Données projet'!$B$9,Paramètres!$A$1:$I$89,3,0)*0.475*44/12</f>
        <v>0.26341262608711691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3.7903459888645821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-5.6843418860808015E-14</v>
      </c>
      <c r="AJ186" s="13">
        <f>AI186*VLOOKUP('Données projet'!$B$10,Paramètres!$A$1:$I$89,3,0)*VLOOKUP('Données projet'!$B$10,Paramètres!$A$1:$I$89,5,0)</f>
        <v>-2.5006556825246661E-14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127.25822594328736</v>
      </c>
      <c r="AO186" s="59">
        <f t="shared" si="144"/>
        <v>273.87580232386563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2.7627644675090122</v>
      </c>
      <c r="AV186" s="21">
        <f>EXP(-LN(2)/25)*AV185+(1-EXP(-LN(2)/25))/(LN(2)/25)*Calculateur!AQ186*Calculateur!AS186*VLOOKUP('Données projet'!$B$10,Paramètres!$A$1:$I$89,3,0)*0.475*44/12</f>
        <v>0.2063398904349085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2.9691043579439205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6">
        <f t="shared" si="110"/>
        <v>515.45942045095035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-3.192326403222978E-14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164.99145658664128</v>
      </c>
      <c r="T187" s="59">
        <f t="shared" si="142"/>
        <v>354.51323926643181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3.4577723507503353</v>
      </c>
      <c r="AA187" s="21">
        <f>EXP(-LN(2)/25)*AA186+(1-EXP(-LN(2)/25))/(LN(2)/25)*Calculateur!V187*Calculateur!X187*VLOOKUP('Données projet'!$B$9,Paramètres!$A$1:$I$89,3,0)*0.475*44/12</f>
        <v>0.25620959397449672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3.7139819447248321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-5.6843418860808015E-14</v>
      </c>
      <c r="AJ187" s="13">
        <f>AI187*VLOOKUP('Données projet'!$B$10,Paramètres!$A$1:$I$89,3,0)*VLOOKUP('Données projet'!$B$10,Paramètres!$A$1:$I$89,5,0)</f>
        <v>-2.5006556825246661E-14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127.25822594328736</v>
      </c>
      <c r="AO187" s="59">
        <f t="shared" si="144"/>
        <v>273.87580232386563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2.7085883414210938</v>
      </c>
      <c r="AV187" s="21">
        <f>EXP(-LN(2)/25)*AV186+(1-EXP(-LN(2)/25))/(LN(2)/25)*Calculateur!AQ187*Calculateur!AS187*VLOOKUP('Données projet'!$B$10,Paramètres!$A$1:$I$89,3,0)*0.475*44/12</f>
        <v>0.20069751528002269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2.9092858567011164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6">
        <f t="shared" si="110"/>
        <v>516.63672765597119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-3.192326403222978E-14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164.99145658664128</v>
      </c>
      <c r="T188" s="59">
        <f t="shared" si="142"/>
        <v>354.51323926643181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3.3899675439850054</v>
      </c>
      <c r="AA188" s="21">
        <f>EXP(-LN(2)/25)*AA187+(1-EXP(-LN(2)/25))/(LN(2)/25)*Calculateur!V188*Calculateur!X188*VLOOKUP('Données projet'!$B$9,Paramètres!$A$1:$I$89,3,0)*0.475*44/12</f>
        <v>0.24920352915378713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3.6391710731387925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-5.6843418860808015E-14</v>
      </c>
      <c r="AJ188" s="13">
        <f>AI188*VLOOKUP('Données projet'!$B$10,Paramètres!$A$1:$I$89,3,0)*VLOOKUP('Données projet'!$B$10,Paramètres!$A$1:$I$89,5,0)</f>
        <v>-2.5006556825246661E-14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127.25822594328736</v>
      </c>
      <c r="AO188" s="59">
        <f t="shared" si="144"/>
        <v>273.87580232386563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2.6554745761215854</v>
      </c>
      <c r="AV188" s="21">
        <f>EXP(-LN(2)/25)*AV187+(1-EXP(-LN(2)/25))/(LN(2)/25)*Calculateur!AQ188*Calculateur!AS188*VLOOKUP('Données projet'!$B$10,Paramètres!$A$1:$I$89,3,0)*0.475*44/12</f>
        <v>0.19520943117046685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2.8506840072920525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6">
        <f t="shared" si="110"/>
        <v>517.81389248354799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-3.192326403222978E-14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164.99145658664128</v>
      </c>
      <c r="T189" s="59">
        <f t="shared" si="142"/>
        <v>354.51323926643181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3.3234923481234953</v>
      </c>
      <c r="AA189" s="21">
        <f>EXP(-LN(2)/25)*AA188+(1-EXP(-LN(2)/25))/(LN(2)/25)*Calculateur!V189*Calculateur!X189*VLOOKUP('Données projet'!$B$9,Paramètres!$A$1:$I$89,3,0)*0.475*44/12</f>
        <v>0.24238904554403279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3.565881393667528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-5.6843418860808015E-14</v>
      </c>
      <c r="AJ189" s="13">
        <f>AI189*VLOOKUP('Données projet'!$B$10,Paramètres!$A$1:$I$89,3,0)*VLOOKUP('Données projet'!$B$10,Paramètres!$A$1:$I$89,5,0)</f>
        <v>-2.5006556825246661E-14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127.25822594328736</v>
      </c>
      <c r="AO189" s="59">
        <f t="shared" si="144"/>
        <v>273.87580232386563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2.6034023393634027</v>
      </c>
      <c r="AV189" s="21">
        <f>EXP(-LN(2)/25)*AV188+(1-EXP(-LN(2)/25))/(LN(2)/25)*Calculateur!AQ189*Calculateur!AS189*VLOOKUP('Données projet'!$B$10,Paramètres!$A$1:$I$89,3,0)*0.475*44/12</f>
        <v>0.18987141900949261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2.7932737583728953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6">
        <f t="shared" si="110"/>
        <v>518.99091578799244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-3.192326403222978E-14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164.99145658664128</v>
      </c>
      <c r="T190" s="59">
        <f t="shared" si="142"/>
        <v>354.51323926643181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3.2583206903069635</v>
      </c>
      <c r="AA190" s="21">
        <f>EXP(-LN(2)/25)*AA189+(1-EXP(-LN(2)/25))/(LN(2)/25)*Calculateur!V190*Calculateur!X190*VLOOKUP('Données projet'!$B$9,Paramètres!$A$1:$I$89,3,0)*0.475*44/12</f>
        <v>0.2357609043469453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3.4940815946539088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-5.6843418860808015E-14</v>
      </c>
      <c r="AJ190" s="13">
        <f>AI190*VLOOKUP('Données projet'!$B$10,Paramètres!$A$1:$I$89,3,0)*VLOOKUP('Données projet'!$B$10,Paramètres!$A$1:$I$89,5,0)</f>
        <v>-2.5006556825246661E-14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127.25822594328736</v>
      </c>
      <c r="AO190" s="59">
        <f t="shared" si="144"/>
        <v>273.87580232386563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2.5523512074071193</v>
      </c>
      <c r="AV190" s="21">
        <f>EXP(-LN(2)/25)*AV189+(1-EXP(-LN(2)/25))/(LN(2)/25)*Calculateur!AQ190*Calculateur!AS190*VLOOKUP('Données projet'!$B$10,Paramètres!$A$1:$I$89,3,0)*0.475*44/12</f>
        <v>0.18467937507177407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2.7370305824788934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6">
        <f t="shared" si="110"/>
        <v>520.16779841395021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-3.192326403222978E-14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164.99145658664128</v>
      </c>
      <c r="T191" s="59">
        <f t="shared" si="142"/>
        <v>354.51323926643181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3.1944270089494275</v>
      </c>
      <c r="AA191" s="21">
        <f>EXP(-LN(2)/25)*AA190+(1-EXP(-LN(2)/25))/(LN(2)/25)*Calculateur!V191*Calculateur!X191*VLOOKUP('Données projet'!$B$9,Paramètres!$A$1:$I$89,3,0)*0.475*44/12</f>
        <v>0.22931401001945095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3.4237410189688786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-5.6843418860808015E-14</v>
      </c>
      <c r="AJ191" s="13">
        <f>AI191*VLOOKUP('Données projet'!$B$10,Paramètres!$A$1:$I$89,3,0)*VLOOKUP('Données projet'!$B$10,Paramètres!$A$1:$I$89,5,0)</f>
        <v>-2.5006556825246661E-14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127.25822594328736</v>
      </c>
      <c r="AO191" s="59">
        <f t="shared" si="144"/>
        <v>273.87580232386563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2.502301157010383</v>
      </c>
      <c r="AV191" s="21">
        <f>EXP(-LN(2)/25)*AV190+(1-EXP(-LN(2)/25))/(LN(2)/25)*Calculateur!AQ191*Calculateur!AS191*VLOOKUP('Données projet'!$B$10,Paramètres!$A$1:$I$89,3,0)*0.475*44/12</f>
        <v>0.17962930784857015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2.681930464858953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6">
        <f t="shared" si="110"/>
        <v>521.34454119656175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-3.192326403222978E-14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164.99145658664128</v>
      </c>
      <c r="T192" s="59">
        <f t="shared" si="142"/>
        <v>354.51323926643181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3.1317862437120154</v>
      </c>
      <c r="AA192" s="21">
        <f>EXP(-LN(2)/25)*AA191+(1-EXP(-LN(2)/25))/(LN(2)/25)*Calculateur!V192*Calculateur!X192*VLOOKUP('Données projet'!$B$9,Paramètres!$A$1:$I$89,3,0)*0.475*44/12</f>
        <v>0.22304340635636938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3.354829650068385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-5.6843418860808015E-14</v>
      </c>
      <c r="AJ192" s="13">
        <f>AI192*VLOOKUP('Données projet'!$B$10,Paramètres!$A$1:$I$89,3,0)*VLOOKUP('Données projet'!$B$10,Paramètres!$A$1:$I$89,5,0)</f>
        <v>-2.5006556825246661E-14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127.25822594328736</v>
      </c>
      <c r="AO192" s="59">
        <f t="shared" si="144"/>
        <v>273.87580232386563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2.4532325575744101</v>
      </c>
      <c r="AV192" s="21">
        <f>EXP(-LN(2)/25)*AV191+(1-EXP(-LN(2)/25))/(LN(2)/25)*Calculateur!AQ192*Calculateur!AS192*VLOOKUP('Données projet'!$B$10,Paramètres!$A$1:$I$89,3,0)*0.475*44/12</f>
        <v>0.17471733497915626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2.6279498925535663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6">
        <f t="shared" si="110"/>
        <v>522.52114496161767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-3.192326403222978E-14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164.99145658664128</v>
      </c>
      <c r="T193" s="59">
        <f t="shared" si="142"/>
        <v>354.51323926643181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3.0703738256738147</v>
      </c>
      <c r="AA193" s="21">
        <f>EXP(-LN(2)/25)*AA192+(1-EXP(-LN(2)/25))/(LN(2)/25)*Calculateur!V193*Calculateur!X193*VLOOKUP('Données projet'!$B$9,Paramètres!$A$1:$I$89,3,0)*0.475*44/12</f>
        <v>0.21694427268021149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3.2873180983540262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-5.6843418860808015E-14</v>
      </c>
      <c r="AJ193" s="13">
        <f>AI193*VLOOKUP('Données projet'!$B$10,Paramètres!$A$1:$I$89,3,0)*VLOOKUP('Données projet'!$B$10,Paramètres!$A$1:$I$89,5,0)</f>
        <v>-2.5006556825246661E-14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127.25822594328736</v>
      </c>
      <c r="AO193" s="59">
        <f t="shared" si="144"/>
        <v>273.87580232386563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2.405126163444486</v>
      </c>
      <c r="AV193" s="21">
        <f>EXP(-LN(2)/25)*AV192+(1-EXP(-LN(2)/25))/(LN(2)/25)*Calculateur!AQ193*Calculateur!AS193*VLOOKUP('Données projet'!$B$10,Paramètres!$A$1:$I$89,3,0)*0.475*44/12</f>
        <v>0.1699396802661659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2.5750658437106519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6">
        <f t="shared" si="110"/>
        <v>523.69761052571369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-3.192326403222978E-14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164.99145658664128</v>
      </c>
      <c r="T194" s="59">
        <f t="shared" si="142"/>
        <v>354.51323926643181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3.0101656676954667</v>
      </c>
      <c r="AA194" s="21">
        <f>EXP(-LN(2)/25)*AA193+(1-EXP(-LN(2)/25))/(LN(2)/25)*Calculateur!V194*Calculateur!X194*VLOOKUP('Données projet'!$B$9,Paramètres!$A$1:$I$89,3,0)*0.475*44/12</f>
        <v>0.21101192013516765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3.2211775878306343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-5.6843418860808015E-14</v>
      </c>
      <c r="AJ194" s="13">
        <f>AI194*VLOOKUP('Données projet'!$B$10,Paramètres!$A$1:$I$89,3,0)*VLOOKUP('Données projet'!$B$10,Paramètres!$A$1:$I$89,5,0)</f>
        <v>-2.5006556825246661E-14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127.25822594328736</v>
      </c>
      <c r="AO194" s="59">
        <f t="shared" si="144"/>
        <v>273.87580232386563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2.357963106361447</v>
      </c>
      <c r="AV194" s="21">
        <f>EXP(-LN(2)/25)*AV193+(1-EXP(-LN(2)/25))/(LN(2)/25)*Calculateur!AQ194*Calculateur!AS194*VLOOKUP('Données projet'!$B$10,Paramètres!$A$1:$I$89,3,0)*0.475*44/12</f>
        <v>0.16529267077254822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2.5232557771339952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6">
        <f t="shared" si="110"/>
        <v>524.87393869639902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-3.192326403222978E-14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164.99145658664128</v>
      </c>
      <c r="T195" s="59">
        <f t="shared" si="142"/>
        <v>354.51323926643181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2.9511381549717242</v>
      </c>
      <c r="AA195" s="21">
        <f>EXP(-LN(2)/25)*AA194+(1-EXP(-LN(2)/25))/(LN(2)/25)*Calculateur!V195*Calculateur!X195*VLOOKUP('Données projet'!$B$9,Paramètres!$A$1:$I$89,3,0)*0.475*44/12</f>
        <v>0.20524178808243687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3.1563799430541613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-5.6843418860808015E-14</v>
      </c>
      <c r="AJ195" s="13">
        <f>AI195*VLOOKUP('Données projet'!$B$10,Paramètres!$A$1:$I$89,3,0)*VLOOKUP('Données projet'!$B$10,Paramètres!$A$1:$I$89,5,0)</f>
        <v>-2.5006556825246661E-14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127.25822594328736</v>
      </c>
      <c r="AO195" s="59">
        <f t="shared" si="144"/>
        <v>273.87580232386563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2.3117248880611818</v>
      </c>
      <c r="AV195" s="21">
        <f>EXP(-LN(2)/25)*AV194+(1-EXP(-LN(2)/25))/(LN(2)/25)*Calculateur!AQ195*Calculateur!AS195*VLOOKUP('Données projet'!$B$10,Paramètres!$A$1:$I$89,3,0)*0.475*44/12</f>
        <v>0.16077273399790912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2.4724976220590911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6">
        <f t="shared" ref="H196:H203" si="192">(B196+E196+F196)*44/12+(C196+D196)*0.475*44/12</f>
        <v>526.0501302723244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-3.192326403222978E-14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164.99145658664128</v>
      </c>
      <c r="T196" s="59">
        <f t="shared" si="142"/>
        <v>354.51323926643181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2.8932681357692664</v>
      </c>
      <c r="AA196" s="21">
        <f>EXP(-LN(2)/25)*AA195+(1-EXP(-LN(2)/25))/(LN(2)/25)*Calculateur!V196*Calculateur!X196*VLOOKUP('Données projet'!$B$9,Paramètres!$A$1:$I$89,3,0)*0.475*44/12</f>
        <v>0.19962944059412607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3.0928975763633924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-5.6843418860808015E-14</v>
      </c>
      <c r="AJ196" s="13">
        <f>AI196*VLOOKUP('Données projet'!$B$10,Paramètres!$A$1:$I$89,3,0)*VLOOKUP('Données projet'!$B$10,Paramètres!$A$1:$I$89,5,0)</f>
        <v>-2.5006556825246661E-14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127.25822594328736</v>
      </c>
      <c r="AO196" s="59">
        <f t="shared" si="144"/>
        <v>273.87580232386563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2.2663933730192567</v>
      </c>
      <c r="AV196" s="21">
        <f>EXP(-LN(2)/25)*AV195+(1-EXP(-LN(2)/25))/(LN(2)/25)*Calculateur!AQ196*Calculateur!AS196*VLOOKUP('Données projet'!$B$10,Paramètres!$A$1:$I$89,3,0)*0.475*44/12</f>
        <v>0.15637639513206567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2.4227697681513223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6">
        <f t="shared" si="192"/>
        <v>527.22618604338504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-3.192326403222978E-14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164.99145658664128</v>
      </c>
      <c r="T197" s="59">
        <f t="shared" ref="T197:T203" si="204">$T$3</f>
        <v>354.51323926643181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2.8365329123461422</v>
      </c>
      <c r="AA197" s="21">
        <f>EXP(-LN(2)/25)*AA196+(1-EXP(-LN(2)/25))/(LN(2)/25)*Calculateur!V197*Calculateur!X197*VLOOKUP('Données projet'!$B$9,Paramètres!$A$1:$I$89,3,0)*0.475*44/12</f>
        <v>0.19417056304302369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3.0307034753891657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-5.6843418860808015E-14</v>
      </c>
      <c r="AJ197" s="13">
        <f>AI197*VLOOKUP('Données projet'!$B$10,Paramètres!$A$1:$I$89,3,0)*VLOOKUP('Données projet'!$B$10,Paramètres!$A$1:$I$89,5,0)</f>
        <v>-2.5006556825246661E-14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127.25822594328736</v>
      </c>
      <c r="AO197" s="59">
        <f t="shared" ref="AO197:AO203" si="205">$AO$3</f>
        <v>273.87580232386563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2.2219507813378097</v>
      </c>
      <c r="AV197" s="21">
        <f>EXP(-LN(2)/25)*AV196+(1-EXP(-LN(2)/25))/(LN(2)/25)*Calculateur!AQ197*Calculateur!AS197*VLOOKUP('Données projet'!$B$10,Paramètres!$A$1:$I$89,3,0)*0.475*44/12</f>
        <v>0.15210027438370211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2.3740510557215115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6">
        <f t="shared" si="192"/>
        <v>528.40210679086135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-3.192326403222978E-14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164.99145658664128</v>
      </c>
      <c r="T198" s="59">
        <f t="shared" si="204"/>
        <v>354.51323926643181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2.7809102320492762</v>
      </c>
      <c r="AA198" s="21">
        <f>EXP(-LN(2)/25)*AA197+(1-EXP(-LN(2)/25))/(LN(2)/25)*Calculateur!V198*Calculateur!X198*VLOOKUP('Données projet'!$B$9,Paramètres!$A$1:$I$89,3,0)*0.475*44/12</f>
        <v>0.18886095878562609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2.9697711908349023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-5.6843418860808015E-14</v>
      </c>
      <c r="AJ198" s="13">
        <f>AI198*VLOOKUP('Données projet'!$B$10,Paramètres!$A$1:$I$89,3,0)*VLOOKUP('Données projet'!$B$10,Paramètres!$A$1:$I$89,5,0)</f>
        <v>-2.5006556825246661E-14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127.25822594328736</v>
      </c>
      <c r="AO198" s="59">
        <f t="shared" si="205"/>
        <v>273.87580232386563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2.1783796817719314</v>
      </c>
      <c r="AV198" s="21">
        <f>EXP(-LN(2)/25)*AV197+(1-EXP(-LN(2)/25))/(LN(2)/25)*Calculateur!AQ198*Calculateur!AS198*VLOOKUP('Données projet'!$B$10,Paramètres!$A$1:$I$89,3,0)*0.475*44/12</f>
        <v>0.14794108438207398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2.3263207661540055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6">
        <f t="shared" si="192"/>
        <v>529.57789328755689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-3.192326403222978E-14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164.99145658664128</v>
      </c>
      <c r="T199" s="59">
        <f t="shared" si="204"/>
        <v>354.51323926643181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2.7263782785865467</v>
      </c>
      <c r="AA199" s="21">
        <f>EXP(-LN(2)/25)*AA198+(1-EXP(-LN(2)/25))/(LN(2)/25)*Calculateur!V199*Calculateur!X199*VLOOKUP('Données projet'!$B$9,Paramètres!$A$1:$I$89,3,0)*0.475*44/12</f>
        <v>0.18369654593586696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2.9100748245224137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-5.6843418860808015E-14</v>
      </c>
      <c r="AJ199" s="13">
        <f>AI199*VLOOKUP('Données projet'!$B$10,Paramètres!$A$1:$I$89,3,0)*VLOOKUP('Données projet'!$B$10,Paramètres!$A$1:$I$89,5,0)</f>
        <v>-2.5006556825246661E-14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127.25822594328736</v>
      </c>
      <c r="AO199" s="59">
        <f t="shared" si="205"/>
        <v>273.87580232386563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2.1356629848927935</v>
      </c>
      <c r="AV199" s="21">
        <f>EXP(-LN(2)/25)*AV198+(1-EXP(-LN(2)/25))/(LN(2)/25)*Calculateur!AQ199*Calculateur!AS199*VLOOKUP('Données projet'!$B$10,Paramètres!$A$1:$I$89,3,0)*0.475*44/12</f>
        <v>0.14389562764976266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2.279558612542556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6">
        <f t="shared" si="192"/>
        <v>530.75354629793264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-3.192326403222978E-14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164.99145658664128</v>
      </c>
      <c r="T200" s="59">
        <f t="shared" si="204"/>
        <v>354.51323926643181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2.6729156634700142</v>
      </c>
      <c r="AA200" s="21">
        <f>EXP(-LN(2)/25)*AA199+(1-EXP(-LN(2)/25))/(LN(2)/25)*Calculateur!V200*Calculateur!X200*VLOOKUP('Données projet'!$B$9,Paramètres!$A$1:$I$89,3,0)*0.475*44/12</f>
        <v>0.17867335422706918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2.8515890176970835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-5.6843418860808015E-14</v>
      </c>
      <c r="AJ200" s="13">
        <f>AI200*VLOOKUP('Données projet'!$B$10,Paramètres!$A$1:$I$89,3,0)*VLOOKUP('Données projet'!$B$10,Paramètres!$A$1:$I$89,5,0)</f>
        <v>-2.5006556825246661E-14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127.25822594328736</v>
      </c>
      <c r="AO200" s="59">
        <f t="shared" si="205"/>
        <v>273.87580232386563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2.0937839363848432</v>
      </c>
      <c r="AV200" s="21">
        <f>EXP(-LN(2)/25)*AV199+(1-EXP(-LN(2)/25))/(LN(2)/25)*Calculateur!AQ200*Calculateur!AS200*VLOOKUP('Données projet'!$B$10,Paramètres!$A$1:$I$89,3,0)*0.475*44/12</f>
        <v>0.13996079414453771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2.2337447305293807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6">
        <f t="shared" si="192"/>
        <v>531.9290665782396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-3.192326403222978E-14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164.99145658664128</v>
      </c>
      <c r="T201" s="59">
        <f t="shared" si="204"/>
        <v>354.51323926643181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2.6205014176269414</v>
      </c>
      <c r="AA201" s="21">
        <f>EXP(-LN(2)/25)*AA200+(1-EXP(-LN(2)/25))/(LN(2)/25)*Calculateur!V201*Calculateur!X201*VLOOKUP('Données projet'!$B$9,Paramètres!$A$1:$I$89,3,0)*0.475*44/12</f>
        <v>0.17378752195970662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2.7942889395866479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-5.6843418860808015E-14</v>
      </c>
      <c r="AJ201" s="13">
        <f>AI201*VLOOKUP('Données projet'!$B$10,Paramètres!$A$1:$I$89,3,0)*VLOOKUP('Données projet'!$B$10,Paramètres!$A$1:$I$89,5,0)</f>
        <v>-2.5006556825246661E-14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127.25822594328736</v>
      </c>
      <c r="AO201" s="59">
        <f t="shared" si="205"/>
        <v>273.87580232386563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2.0527261104744361</v>
      </c>
      <c r="AV201" s="21">
        <f>EXP(-LN(2)/25)*AV200+(1-EXP(-LN(2)/25))/(LN(2)/25)*Calculateur!AQ201*Calculateur!AS201*VLOOKUP('Données projet'!$B$10,Paramètres!$A$1:$I$89,3,0)*0.475*44/12</f>
        <v>0.13613355886843706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2.188859669342873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6">
        <f t="shared" si="192"/>
        <v>533.10445487664697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-3.192326403222978E-14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164.99145658664128</v>
      </c>
      <c r="T202" s="59">
        <f t="shared" si="204"/>
        <v>354.51323926643181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2.5691149831753179</v>
      </c>
      <c r="AA202" s="21">
        <f>EXP(-LN(2)/25)*AA201+(1-EXP(-LN(2)/25))/(LN(2)/25)*Calculateur!V202*Calculateur!X202*VLOOKUP('Données projet'!$B$9,Paramètres!$A$1:$I$89,3,0)*0.475*44/12</f>
        <v>0.16903529303262985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2.7381502762079477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-5.6843418860808015E-14</v>
      </c>
      <c r="AJ202" s="13">
        <f>AI202*VLOOKUP('Données projet'!$B$10,Paramètres!$A$1:$I$89,3,0)*VLOOKUP('Données projet'!$B$10,Paramètres!$A$1:$I$89,5,0)</f>
        <v>-2.5006556825246661E-14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127.25822594328736</v>
      </c>
      <c r="AO202" s="59">
        <f t="shared" si="205"/>
        <v>273.87580232386563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2.0124734034873311</v>
      </c>
      <c r="AV202" s="21">
        <f>EXP(-LN(2)/25)*AV201+(1-EXP(-LN(2)/25))/(LN(2)/25)*Calculateur!AQ202*Calculateur!AS202*VLOOKUP('Données projet'!$B$10,Paramètres!$A$1:$I$89,3,0)*0.475*44/12</f>
        <v>0.13241097954222691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2.1448843830295581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6">
        <f t="shared" si="192"/>
        <v>534.27971193336975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-3.192326403222978E-14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164.99145658664128</v>
      </c>
      <c r="T203" s="59">
        <f t="shared" si="204"/>
        <v>354.51323926643181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2.5187362053606606</v>
      </c>
      <c r="AA203" s="21">
        <f>EXP(-LN(2)/25)*AA202+(1-EXP(-LN(2)/25))/(LN(2)/25)*Calculateur!V203*Calculateur!X203*VLOOKUP('Données projet'!$B$9,Paramètres!$A$1:$I$89,3,0)*0.475*44/12</f>
        <v>0.16441301405547284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2.6831492194161335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-5.6843418860808015E-14</v>
      </c>
      <c r="AJ203" s="13">
        <f>AI203*VLOOKUP('Données projet'!$B$10,Paramètres!$A$1:$I$89,3,0)*VLOOKUP('Données projet'!$B$10,Paramètres!$A$1:$I$89,5,0)</f>
        <v>-2.5006556825246661E-14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127.25822594328736</v>
      </c>
      <c r="AO203" s="59">
        <f t="shared" si="205"/>
        <v>273.87580232386563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1.9730100275325162</v>
      </c>
      <c r="AV203" s="21">
        <f>EXP(-LN(2)/25)*AV202+(1-EXP(-LN(2)/25))/(LN(2)/25)*Calculateur!AQ203*Calculateur!AS203*VLOOKUP('Données projet'!$B$10,Paramètres!$A$1:$I$89,3,0)*0.475*44/12</f>
        <v>0.12879019434345393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2.1018002218759699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1.6608470099654447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1.6608470099654447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Peuplier Soligo</v>
      </c>
      <c r="B6" s="144">
        <f>'Données projet'!D9</f>
        <v>1.1957446808510639</v>
      </c>
      <c r="C6" s="145">
        <f ca="1">IF(OR('Données projet'!B9="",'Données projet'!C9="",'Données projet'!C9=0%),0,Calculateur!S3)</f>
        <v>164.99145658664128</v>
      </c>
      <c r="D6" s="145">
        <f>IF(OR('Données projet'!B9="",'Données projet'!C9="",'Données projet'!C9=0%),0,Calculateur!T3)</f>
        <v>354.51323926643181</v>
      </c>
      <c r="E6" s="145">
        <f ca="1">MIN(C6,D6)</f>
        <v>164.99145658664128</v>
      </c>
      <c r="F6" s="145">
        <f ca="1">E6*B6</f>
        <v>197.28765659934552</v>
      </c>
      <c r="G6" s="145">
        <f ca="1">F6*(100%-'Données projet'!$C$24)*(100%-'Données projet'!$C$25)*(100%-'Données projet'!$C$26)*(100%-'Données projet'!$C$27)</f>
        <v>134.94475711395233</v>
      </c>
      <c r="H6" s="146">
        <f>IF(OR('Données projet'!B9="",'Données projet'!C9="",'Données projet'!C9=0%),0,AVERAGE(Calculateur!$AC$3:$AC$33)*B6)</f>
        <v>43.228835996297327</v>
      </c>
      <c r="I6" s="147">
        <f>H6*(100%-'Données projet'!$C$24)*(100%-'Données projet'!$C$25)*(100%-'Données projet'!$C$26)*(100%-'Données projet'!$C$27)</f>
        <v>29.568523821467373</v>
      </c>
      <c r="J6" s="148">
        <f>IF(OR('Données projet'!B9="",'Données projet'!C9="",'Données projet'!C9=0%),0,SUM(Calculateur!$V$3:$V$33)*VLOOKUP('Données projet'!$B$9,Paramètres!$A$1:$I$89,9,0)*B6)</f>
        <v>382.11707583196943</v>
      </c>
      <c r="K6" s="149">
        <f>J6*(100%-'Données projet'!$C$24)*(100%-'Données projet'!$C$25)*(100%-'Données projet'!$C$26)*(100%-'Données projet'!$C$27)</f>
        <v>261.36807986906712</v>
      </c>
      <c r="L6" s="150">
        <f ca="1">G6+I6+K6</f>
        <v>425.8813608044868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Peuplier I-214</v>
      </c>
      <c r="B7" s="152">
        <f>'Données projet'!D10</f>
        <v>1.6142553191489359</v>
      </c>
      <c r="C7" s="145">
        <f ca="1">IF(OR('Données projet'!B10="",'Données projet'!C10="",'Données projet'!C10=0%),0,Calculateur!AN3)</f>
        <v>127.25822594328736</v>
      </c>
      <c r="D7" s="145">
        <f>IF(OR('Données projet'!B10="",'Données projet'!C10="",'Données projet'!C10=0%),0,Calculateur!AO3)</f>
        <v>273.87580232386563</v>
      </c>
      <c r="E7" s="145">
        <f t="shared" ref="E7:E15" ca="1" si="0">MIN(C7,D7)</f>
        <v>127.25822594328736</v>
      </c>
      <c r="F7" s="145">
        <f t="shared" ref="F7:F15" ca="1" si="1">E7*B7</f>
        <v>205.42726813440873</v>
      </c>
      <c r="G7" s="145">
        <f ca="1">F7*(100%-'Données projet'!$C$24)*(100%-'Données projet'!$C$25)*(100%-'Données projet'!$C$26)*(100%-'Données projet'!$C$27)</f>
        <v>140.51225140393558</v>
      </c>
      <c r="H7" s="153">
        <f>IF(OR('Données projet'!B10="",'Données projet'!C10="",'Données projet'!C10=0%),0,AVERAGE(Calculateur!$AX$3:$AX$33)*B7)</f>
        <v>45.714494066084406</v>
      </c>
      <c r="I7" s="147">
        <f>H7*(100%-'Données projet'!$C$24)*(100%-'Données projet'!$C$25)*(100%-'Données projet'!$C$26)*(100%-'Données projet'!$C$27)</f>
        <v>31.268713941201732</v>
      </c>
      <c r="J7" s="148">
        <f>IF(OR('Données projet'!B10="",'Données projet'!C10="",'Données projet'!C10=0%),0,SUM(Calculateur!$AQ$3:$AQ$33)*VLOOKUP('Données projet'!$B$10,Paramètres!$A$1:$I$89,9,0)*B7)</f>
        <v>515.85805237315867</v>
      </c>
      <c r="K7" s="149">
        <f>J7*(100%-'Données projet'!$C$24)*(100%-'Données projet'!$C$25)*(100%-'Données projet'!$C$26)*(100%-'Données projet'!$C$27)</f>
        <v>352.84690782324054</v>
      </c>
      <c r="L7" s="150">
        <f t="shared" ref="L7:L15" ca="1" si="2">G7+I7+K7</f>
        <v>524.62787316837785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402.71492473375429</v>
      </c>
      <c r="G16" s="164">
        <f t="shared" ca="1" si="3"/>
        <v>275.45700851788791</v>
      </c>
      <c r="H16" s="165">
        <f t="shared" si="3"/>
        <v>88.943330062381733</v>
      </c>
      <c r="I16" s="165">
        <f t="shared" si="3"/>
        <v>60.837237762669105</v>
      </c>
      <c r="J16" s="166">
        <f t="shared" si="3"/>
        <v>897.97512820512816</v>
      </c>
      <c r="K16" s="166">
        <f t="shared" si="3"/>
        <v>614.21498769230766</v>
      </c>
      <c r="L16" s="167">
        <f t="shared" ca="1" si="3"/>
        <v>950.50923397286465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Peuplier Soligo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Peuplier I-214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G22" sqref="G22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Peuplier Soligo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1.1957446808510639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Peuplier I-214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1.6142553191489359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Peuplier Soligo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9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14</v>
      </c>
      <c r="B24" s="179">
        <f>'Données projet'!D37</f>
        <v>0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19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20</v>
      </c>
      <c r="B26" s="179">
        <f>'Données projet'!D39</f>
        <v>310.25641025641022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0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0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0</v>
      </c>
      <c r="B29" s="179">
        <f>'Données projet'!D42</f>
        <v>0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0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Peuplier I-214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9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 t="str">
        <f>IF(O53+1&lt;=MIN('Données projet'!$E$9:$E$18),O53+1,"STOP")</f>
        <v>STOP</v>
      </c>
      <c r="P54" s="183" t="e">
        <f t="shared" si="3"/>
        <v>#VALUE!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14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 t="e">
        <f>IF(O54+1&lt;=MIN('Données projet'!$E$9:$E$18),O54+1,"STOP")</f>
        <v>#VALUE!</v>
      </c>
      <c r="P55" s="183" t="e">
        <f t="shared" si="3"/>
        <v>#VALUE!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19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 t="e">
        <f>IF(O55+1&lt;=MIN('Données projet'!$E$9:$E$18),O55+1,"STOP")</f>
        <v>#VALUE!</v>
      </c>
      <c r="P56" s="183" t="e">
        <f t="shared" si="3"/>
        <v>#VALUE!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20</v>
      </c>
      <c r="B57" s="179">
        <f>'Données projet'!D65</f>
        <v>310.25641025641022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 t="e">
        <f>IF(O56+1&lt;=MIN('Données projet'!$E$9:$E$18),O56+1,"STOP")</f>
        <v>#VALUE!</v>
      </c>
      <c r="P57" s="183" t="e">
        <f t="shared" si="3"/>
        <v>#VALUE!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e">
        <f>IF(O57+1&lt;=MIN('Données projet'!$E$9:$E$18),O57+1,"STOP")</f>
        <v>#VALUE!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0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2025-12-04T14:39:39Z</dcterms:modified>
</cp:coreProperties>
</file>