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THEPAUT Yves/Saint-Rivoal/2.Dossier_LBC_déposé/"/>
    </mc:Choice>
  </mc:AlternateContent>
  <xr:revisionPtr revIDLastSave="69" documentId="13_ncr:1_{80AEFCD6-F5A8-4DBB-B342-6DE2F89929B3}" xr6:coauthVersionLast="47" xr6:coauthVersionMax="47" xr10:uidLastSave="{BCB78B61-9602-4084-B3F3-71F645858856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D162" i="2"/>
  <c r="HI163" i="2"/>
  <c r="EV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<sst xmlns="http://schemas.openxmlformats.org/spreadsheetml/2006/main" count="1176" uniqueCount="326">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</sst>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 xr:uid="{2727CD95-5B45-4F5C-BED8-898E80DC8BA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1.5980045614422742</c:v>
                </c:pt>
                <c:pt idx="2">
                  <c:v>2.0843083645700404</c:v>
                </c:pt>
                <c:pt idx="3">
                  <c:v>2.7192156105341128</c:v>
                </c:pt>
                <c:pt idx="4">
                  <c:v>3.5483127644733039</c:v>
                </c:pt>
                <c:pt idx="5">
                  <c:v>4.6312214419665088</c:v>
                </c:pt>
                <c:pt idx="6">
                  <c:v>6.0459340907915946</c:v>
                </c:pt>
                <c:pt idx="7">
                  <c:v>7.8944931838800372</c:v>
                </c:pt>
                <c:pt idx="8">
                  <c:v>10.31043142172968</c:v>
                </c:pt>
                <c:pt idx="9">
                  <c:v>13.468520515430084</c:v>
                </c:pt>
                <c:pt idx="10">
                  <c:v>17.597546813573835</c:v>
                </c:pt>
                <c:pt idx="11">
                  <c:v>22.997056058944917</c:v>
                </c:pt>
                <c:pt idx="12">
                  <c:v>30.059303610600974</c:v>
                </c:pt>
                <c:pt idx="13">
                  <c:v>39.298032477367883</c:v>
                </c:pt>
                <c:pt idx="14">
                  <c:v>51.38620829566154</c:v>
                </c:pt>
                <c:pt idx="15">
                  <c:v>67.205505808960694</c:v>
                </c:pt>
                <c:pt idx="16">
                  <c:v>87.911215218076961</c:v>
                </c:pt>
                <c:pt idx="17">
                  <c:v>115.01738434833072</c:v>
                </c:pt>
                <c:pt idx="18">
                  <c:v>150.5085198437738</c:v>
                </c:pt>
                <c:pt idx="19">
                  <c:v>137.25475210550681</c:v>
                </c:pt>
                <c:pt idx="20">
                  <c:v>172.87596436429328</c:v>
                </c:pt>
                <c:pt idx="21">
                  <c:v>208.32386777264207</c:v>
                </c:pt>
                <c:pt idx="22">
                  <c:v>204.95432295191324</c:v>
                </c:pt>
                <c:pt idx="23">
                  <c:v>246.98851191302231</c:v>
                </c:pt>
                <c:pt idx="24">
                  <c:v>288.85990949975201</c:v>
                </c:pt>
                <c:pt idx="25">
                  <c:v>284.59563159222211</c:v>
                </c:pt>
                <c:pt idx="26">
                  <c:v>330.4287481051519</c:v>
                </c:pt>
                <c:pt idx="27">
                  <c:v>376.12147111328591</c:v>
                </c:pt>
                <c:pt idx="28">
                  <c:v>421.69323961894673</c:v>
                </c:pt>
                <c:pt idx="29">
                  <c:v>387.33822121677053</c:v>
                </c:pt>
                <c:pt idx="30">
                  <c:v>432.63408155595886</c:v>
                </c:pt>
                <c:pt idx="31">
                  <c:v>477.82807613542383</c:v>
                </c:pt>
                <c:pt idx="32">
                  <c:v>522.93117688121504</c:v>
                </c:pt>
                <c:pt idx="33">
                  <c:v>509.06241049820727</c:v>
                </c:pt>
                <c:pt idx="34">
                  <c:v>550.64568947389932</c:v>
                </c:pt>
                <c:pt idx="35">
                  <c:v>592.16315090012722</c:v>
                </c:pt>
                <c:pt idx="36">
                  <c:v>633.62004858200532</c:v>
                </c:pt>
                <c:pt idx="37">
                  <c:v>592.16315090012722</c:v>
                </c:pt>
                <c:pt idx="38">
                  <c:v>627.70116457558152</c:v>
                </c:pt>
                <c:pt idx="39">
                  <c:v>663.19756235900854</c:v>
                </c:pt>
                <c:pt idx="40">
                  <c:v>698.65488065528405</c:v>
                </c:pt>
                <c:pt idx="41">
                  <c:v>734.07537786366504</c:v>
                </c:pt>
                <c:pt idx="42">
                  <c:v>769.46107705348243</c:v>
                </c:pt>
                <c:pt idx="43">
                  <c:v>720.69849545736179</c:v>
                </c:pt>
                <c:pt idx="44">
                  <c:v>749.60994093627244</c:v>
                </c:pt>
                <c:pt idx="45">
                  <c:v>778.4987302179652</c:v>
                </c:pt>
                <c:pt idx="46">
                  <c:v>807.365820924525</c:v>
                </c:pt>
                <c:pt idx="47">
                  <c:v>836.21209672927228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1.8422770816719243</c:v>
                </c:pt>
                <c:pt idx="2">
                  <c:v>2.2840289470647019</c:v>
                </c:pt>
                <c:pt idx="3">
                  <c:v>2.8321216972614724</c:v>
                </c:pt>
                <c:pt idx="4">
                  <c:v>3.5122487312555548</c:v>
                </c:pt>
                <c:pt idx="5">
                  <c:v>4.3563327298030456</c:v>
                </c:pt>
                <c:pt idx="6">
                  <c:v>5.4040407593902104</c:v>
                </c:pt>
                <c:pt idx="7">
                  <c:v>6.704668972252624</c:v>
                </c:pt>
                <c:pt idx="8">
                  <c:v>8.3194873061901777</c:v>
                </c:pt>
                <c:pt idx="9">
                  <c:v>10.324656755411185</c:v>
                </c:pt>
                <c:pt idx="10">
                  <c:v>12.81485939889563</c:v>
                </c:pt>
                <c:pt idx="11">
                  <c:v>15.907815777318609</c:v>
                </c:pt>
                <c:pt idx="12">
                  <c:v>19.749907075900857</c:v>
                </c:pt>
                <c:pt idx="13">
                  <c:v>24.523172983871586</c:v>
                </c:pt>
                <c:pt idx="14">
                  <c:v>30.454022661510908</c:v>
                </c:pt>
                <c:pt idx="15">
                  <c:v>37.82407919498084</c:v>
                </c:pt>
                <c:pt idx="16">
                  <c:v>46.98368130015691</c:v>
                </c:pt>
                <c:pt idx="17">
                  <c:v>58.368694891148834</c:v>
                </c:pt>
                <c:pt idx="18">
                  <c:v>72.521447744946883</c:v>
                </c:pt>
                <c:pt idx="19">
                  <c:v>90.116800712953889</c:v>
                </c:pt>
                <c:pt idx="20">
                  <c:v>111.99461853472759</c:v>
                </c:pt>
                <c:pt idx="21">
                  <c:v>139.20021450034079</c:v>
                </c:pt>
                <c:pt idx="22">
                  <c:v>173.03473120558581</c:v>
                </c:pt>
                <c:pt idx="23">
                  <c:v>114.16566401588193</c:v>
                </c:pt>
                <c:pt idx="24">
                  <c:v>126.91782453901847</c:v>
                </c:pt>
                <c:pt idx="25">
                  <c:v>139.63892686257512</c:v>
                </c:pt>
                <c:pt idx="26">
                  <c:v>152.33220204218875</c:v>
                </c:pt>
                <c:pt idx="27">
                  <c:v>165.00029756454353</c:v>
                </c:pt>
                <c:pt idx="28">
                  <c:v>177.64542048388759</c:v>
                </c:pt>
                <c:pt idx="29">
                  <c:v>190.26943753249972</c:v>
                </c:pt>
                <c:pt idx="30">
                  <c:v>163.25579792659764</c:v>
                </c:pt>
                <c:pt idx="31">
                  <c:v>175.63004223264272</c:v>
                </c:pt>
                <c:pt idx="32">
                  <c:v>187.98382044887617</c:v>
                </c:pt>
                <c:pt idx="33">
                  <c:v>200.31866793456172</c:v>
                </c:pt>
                <c:pt idx="34">
                  <c:v>212.63591531566453</c:v>
                </c:pt>
                <c:pt idx="35">
                  <c:v>224.93672632266399</c:v>
                </c:pt>
                <c:pt idx="36">
                  <c:v>237.22212690426895</c:v>
                </c:pt>
                <c:pt idx="37">
                  <c:v>199.04889868806444</c:v>
                </c:pt>
                <c:pt idx="38">
                  <c:v>210.47971454591837</c:v>
                </c:pt>
                <c:pt idx="39">
                  <c:v>221.89621521547306</c:v>
                </c:pt>
                <c:pt idx="40">
                  <c:v>233.29924148414139</c:v>
                </c:pt>
                <c:pt idx="41">
                  <c:v>244.68954516678562</c:v>
                </c:pt>
                <c:pt idx="42">
                  <c:v>256.06780231400211</c:v>
                </c:pt>
                <c:pt idx="43">
                  <c:v>267.43462394736417</c:v>
                </c:pt>
                <c:pt idx="44">
                  <c:v>278.7905648722724</c:v>
                </c:pt>
                <c:pt idx="45">
                  <c:v>240.50664114189624</c:v>
                </c:pt>
                <c:pt idx="46">
                  <c:v>250.77517752711836</c:v>
                </c:pt>
                <c:pt idx="47">
                  <c:v>261.0341838085854</c:v>
                </c:pt>
                <c:pt idx="48">
                  <c:v>271.28408759968801</c:v>
                </c:pt>
                <c:pt idx="49">
                  <c:v>281.52528153771664</c:v>
                </c:pt>
                <c:pt idx="50">
                  <c:v>291.75812734056302</c:v>
                </c:pt>
                <c:pt idx="51">
                  <c:v>301.98295926410395</c:v>
                </c:pt>
                <c:pt idx="52">
                  <c:v>312.20008706652453</c:v>
                </c:pt>
                <c:pt idx="53">
                  <c:v>269.69721947373961</c:v>
                </c:pt>
                <c:pt idx="54">
                  <c:v>278.73392936875115</c:v>
                </c:pt>
                <c:pt idx="55">
                  <c:v>287.76406752068698</c:v>
                </c:pt>
                <c:pt idx="56">
                  <c:v>296.78786940408617</c:v>
                </c:pt>
                <c:pt idx="57">
                  <c:v>305.80555499350123</c:v>
                </c:pt>
                <c:pt idx="58">
                  <c:v>314.81733022074968</c:v>
                </c:pt>
                <c:pt idx="59">
                  <c:v>323.82338825647292</c:v>
                </c:pt>
                <c:pt idx="60">
                  <c:v>332.82391064158543</c:v>
                </c:pt>
                <c:pt idx="61">
                  <c:v>295.27961937705624</c:v>
                </c:pt>
                <c:pt idx="62">
                  <c:v>303.19603692702043</c:v>
                </c:pt>
                <c:pt idx="63">
                  <c:v>311.10785626365026</c:v>
                </c:pt>
                <c:pt idx="64">
                  <c:v>319.01521092750278</c:v>
                </c:pt>
                <c:pt idx="65">
                  <c:v>326.91822729265635</c:v>
                </c:pt>
                <c:pt idx="66">
                  <c:v>334.81702511906929</c:v>
                </c:pt>
                <c:pt idx="67">
                  <c:v>342.71171805005548</c:v>
                </c:pt>
                <c:pt idx="68">
                  <c:v>350.60241406149657</c:v>
                </c:pt>
                <c:pt idx="69">
                  <c:v>358.4892158684782</c:v>
                </c:pt>
                <c:pt idx="70">
                  <c:v>366.37222129425163</c:v>
                </c:pt>
                <c:pt idx="71">
                  <c:v>319.22695486341257</c:v>
                </c:pt>
                <c:pt idx="72">
                  <c:v>325.98702192014736</c:v>
                </c:pt>
                <c:pt idx="73">
                  <c:v>332.74399255627156</c:v>
                </c:pt>
                <c:pt idx="74">
                  <c:v>339.49793858676009</c:v>
                </c:pt>
                <c:pt idx="75">
                  <c:v>346.2489287331145</c:v>
                </c:pt>
                <c:pt idx="76">
                  <c:v>352.99702881567652</c:v>
                </c:pt>
                <c:pt idx="77">
                  <c:v>359.74230193045855</c:v>
                </c:pt>
                <c:pt idx="78">
                  <c:v>366.48480861200733</c:v>
                </c:pt>
                <c:pt idx="79">
                  <c:v>373.22460698365103</c:v>
                </c:pt>
                <c:pt idx="80">
                  <c:v>379.96175289631816</c:v>
                </c:pt>
                <c:pt idx="81">
                  <c:v>343.17963401951494</c:v>
                </c:pt>
                <c:pt idx="82">
                  <c:v>349.00204812814195</c:v>
                </c:pt>
                <c:pt idx="83">
                  <c:v>354.82233108272385</c:v>
                </c:pt>
                <c:pt idx="84">
                  <c:v>360.64052281289787</c:v>
                </c:pt>
                <c:pt idx="85">
                  <c:v>366.45666185339746</c:v>
                </c:pt>
                <c:pt idx="86">
                  <c:v>372.27078541464448</c:v>
                </c:pt>
                <c:pt idx="87">
                  <c:v>378.08292944869754</c:v>
                </c:pt>
                <c:pt idx="88">
                  <c:v>383.89312871093108</c:v>
                </c:pt>
                <c:pt idx="89">
                  <c:v>389.70141681778205</c:v>
                </c:pt>
                <c:pt idx="90">
                  <c:v>395.5078263008723</c:v>
                </c:pt>
                <c:pt idx="91">
                  <c:v>357.65940426642766</c:v>
                </c:pt>
                <c:pt idx="92">
                  <c:v>362.67705994559395</c:v>
                </c:pt>
                <c:pt idx="93">
                  <c:v>367.69319830999831</c:v>
                </c:pt>
                <c:pt idx="94">
                  <c:v>372.70784300487713</c:v>
                </c:pt>
                <c:pt idx="95">
                  <c:v>377.72101698652563</c:v>
                </c:pt>
                <c:pt idx="96">
                  <c:v>382.73274255145543</c:v>
                </c:pt>
                <c:pt idx="97">
                  <c:v>387.74304136394403</c:v>
                </c:pt>
                <c:pt idx="98">
                  <c:v>392.75193448208393</c:v>
                </c:pt>
                <c:pt idx="99">
                  <c:v>397.7594423824342</c:v>
                </c:pt>
                <c:pt idx="100">
                  <c:v>402.76558498336334</c:v>
                </c:pt>
                <c:pt idx="101">
                  <c:v>171.08446567832164</c:v>
                </c:pt>
                <c:pt idx="102">
                  <c:v>173.67728261749457</c:v>
                </c:pt>
                <c:pt idx="103">
                  <c:v>176.26918957548196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1.3565021858854998</c:v>
                </c:pt>
                <c:pt idx="2">
                  <c:v>1.7339161145416069</c:v>
                </c:pt>
                <c:pt idx="3">
                  <c:v>2.2167659326842788</c:v>
                </c:pt>
                <c:pt idx="4">
                  <c:v>2.8346202231565614</c:v>
                </c:pt>
                <c:pt idx="5">
                  <c:v>3.6253697313419679</c:v>
                </c:pt>
                <c:pt idx="6">
                  <c:v>4.6375775072817387</c:v>
                </c:pt>
                <c:pt idx="7">
                  <c:v>5.9334947681855921</c:v>
                </c:pt>
                <c:pt idx="8">
                  <c:v>7.592931592887461</c:v>
                </c:pt>
                <c:pt idx="9">
                  <c:v>9.7182254195394844</c:v>
                </c:pt>
                <c:pt idx="10">
                  <c:v>12.440619552976997</c:v>
                </c:pt>
                <c:pt idx="11">
                  <c:v>15.928452897234266</c:v>
                </c:pt>
                <c:pt idx="12">
                  <c:v>20.397676570847789</c:v>
                </c:pt>
                <c:pt idx="13">
                  <c:v>26.125360219698994</c:v>
                </c:pt>
                <c:pt idx="14">
                  <c:v>33.467040084742074</c:v>
                </c:pt>
                <c:pt idx="15">
                  <c:v>42.87900426930301</c:v>
                </c:pt>
                <c:pt idx="16">
                  <c:v>58.742915297781657</c:v>
                </c:pt>
                <c:pt idx="17">
                  <c:v>74.494018478123976</c:v>
                </c:pt>
                <c:pt idx="18">
                  <c:v>90.159762275365892</c:v>
                </c:pt>
                <c:pt idx="19">
                  <c:v>105.7571472869779</c:v>
                </c:pt>
                <c:pt idx="20">
                  <c:v>121.2977074071041</c:v>
                </c:pt>
                <c:pt idx="21">
                  <c:v>136.96555601652338</c:v>
                </c:pt>
                <c:pt idx="22">
                  <c:v>156.972192531464</c:v>
                </c:pt>
                <c:pt idx="23">
                  <c:v>176.91825435063035</c:v>
                </c:pt>
                <c:pt idx="24">
                  <c:v>196.81153691219018</c:v>
                </c:pt>
                <c:pt idx="25">
                  <c:v>216.65812754778065</c:v>
                </c:pt>
                <c:pt idx="26">
                  <c:v>184.07858537244348</c:v>
                </c:pt>
                <c:pt idx="27">
                  <c:v>206.39215083761391</c:v>
                </c:pt>
                <c:pt idx="28">
                  <c:v>228.64995281860436</c:v>
                </c:pt>
                <c:pt idx="29">
                  <c:v>250.85818308232777</c:v>
                </c:pt>
                <c:pt idx="30">
                  <c:v>273.02184643540664</c:v>
                </c:pt>
                <c:pt idx="31">
                  <c:v>241.14783811393809</c:v>
                </c:pt>
                <c:pt idx="32">
                  <c:v>263.8498291992492</c:v>
                </c:pt>
                <c:pt idx="33">
                  <c:v>286.50776445158812</c:v>
                </c:pt>
                <c:pt idx="34">
                  <c:v>309.12561633988639</c:v>
                </c:pt>
                <c:pt idx="35">
                  <c:v>331.70672848745937</c:v>
                </c:pt>
                <c:pt idx="36">
                  <c:v>299.28895999218298</c:v>
                </c:pt>
                <c:pt idx="37">
                  <c:v>321.19623868414016</c:v>
                </c:pt>
                <c:pt idx="38">
                  <c:v>343.07047196522029</c:v>
                </c:pt>
                <c:pt idx="39">
                  <c:v>364.91406187601916</c:v>
                </c:pt>
                <c:pt idx="40">
                  <c:v>386.72909950918734</c:v>
                </c:pt>
                <c:pt idx="41">
                  <c:v>353.39396255760386</c:v>
                </c:pt>
                <c:pt idx="42">
                  <c:v>374.19312443367426</c:v>
                </c:pt>
                <c:pt idx="43">
                  <c:v>394.96710423111443</c:v>
                </c:pt>
                <c:pt idx="44">
                  <c:v>415.71741193017169</c:v>
                </c:pt>
                <c:pt idx="45">
                  <c:v>436.44539454971499</c:v>
                </c:pt>
                <c:pt idx="46">
                  <c:v>402.00078138175712</c:v>
                </c:pt>
                <c:pt idx="47">
                  <c:v>421.54400445252281</c:v>
                </c:pt>
                <c:pt idx="48">
                  <c:v>441.06772493632019</c:v>
                </c:pt>
                <c:pt idx="49">
                  <c:v>460.57292705474265</c:v>
                </c:pt>
                <c:pt idx="50">
                  <c:v>480.06050491424111</c:v>
                </c:pt>
                <c:pt idx="51">
                  <c:v>444.66215226871253</c:v>
                </c:pt>
                <c:pt idx="52">
                  <c:v>463.13807064070289</c:v>
                </c:pt>
                <c:pt idx="53">
                  <c:v>481.59827184865543</c:v>
                </c:pt>
                <c:pt idx="54">
                  <c:v>500.04344278670777</c:v>
                </c:pt>
                <c:pt idx="55">
                  <c:v>518.47421557137011</c:v>
                </c:pt>
                <c:pt idx="56">
                  <c:v>484.33182233185624</c:v>
                </c:pt>
                <c:pt idx="57">
                  <c:v>501.40917154119774</c:v>
                </c:pt>
                <c:pt idx="58">
                  <c:v>518.47421557137011</c:v>
                </c:pt>
                <c:pt idx="59">
                  <c:v>535.52741623657994</c:v>
                </c:pt>
                <c:pt idx="60">
                  <c:v>552.56920355763009</c:v>
                </c:pt>
                <c:pt idx="61">
                  <c:v>523.25028651447701</c:v>
                </c:pt>
                <c:pt idx="62">
                  <c:v>539.10712447306878</c:v>
                </c:pt>
                <c:pt idx="63">
                  <c:v>554.9541661732012</c:v>
                </c:pt>
                <c:pt idx="64">
                  <c:v>570.79173060488563</c:v>
                </c:pt>
                <c:pt idx="65">
                  <c:v>586.62011762259829</c:v>
                </c:pt>
                <c:pt idx="66">
                  <c:v>560.40470463156919</c:v>
                </c:pt>
                <c:pt idx="67">
                  <c:v>575.04756324406912</c:v>
                </c:pt>
                <c:pt idx="68">
                  <c:v>589.68264049428205</c:v>
                </c:pt>
                <c:pt idx="69">
                  <c:v>604.31015661574349</c:v>
                </c:pt>
                <c:pt idx="70">
                  <c:v>618.9303203165374</c:v>
                </c:pt>
                <c:pt idx="71">
                  <c:v>594.10570045401596</c:v>
                </c:pt>
                <c:pt idx="72">
                  <c:v>607.54081843482265</c:v>
                </c:pt>
                <c:pt idx="73">
                  <c:v>620.96976997628133</c:v>
                </c:pt>
                <c:pt idx="74">
                  <c:v>634.3927071620576</c:v>
                </c:pt>
                <c:pt idx="75">
                  <c:v>647.80977511835874</c:v>
                </c:pt>
                <c:pt idx="76">
                  <c:v>623.68882043396684</c:v>
                </c:pt>
                <c:pt idx="77">
                  <c:v>636.09139170402898</c:v>
                </c:pt>
                <c:pt idx="78">
                  <c:v>648.48896676711081</c:v>
                </c:pt>
                <c:pt idx="79">
                  <c:v>660.88165455899787</c:v>
                </c:pt>
                <c:pt idx="80">
                  <c:v>673.26955959871884</c:v>
                </c:pt>
                <c:pt idx="81">
                  <c:v>638.46939263030174</c:v>
                </c:pt>
                <c:pt idx="82">
                  <c:v>638.46939263030174</c:v>
                </c:pt>
                <c:pt idx="83">
                  <c:v>638.46939263030174</c:v>
                </c:pt>
                <c:pt idx="84">
                  <c:v>638.46939263030174</c:v>
                </c:pt>
                <c:pt idx="85">
                  <c:v>638.46939263030174</c:v>
                </c:pt>
                <c:pt idx="86">
                  <c:v>638.46939263030174</c:v>
                </c:pt>
                <c:pt idx="87">
                  <c:v>638.46939263030174</c:v>
                </c:pt>
                <c:pt idx="88">
                  <c:v>638.46939263030174</c:v>
                </c:pt>
                <c:pt idx="89">
                  <c:v>638.46939263030174</c:v>
                </c:pt>
                <c:pt idx="90">
                  <c:v>638.46939263030174</c:v>
                </c:pt>
                <c:pt idx="91">
                  <c:v>638.46939263030174</c:v>
                </c:pt>
                <c:pt idx="92">
                  <c:v>638.46939263030174</c:v>
                </c:pt>
                <c:pt idx="93">
                  <c:v>638.46939263030174</c:v>
                </c:pt>
                <c:pt idx="94">
                  <c:v>638.46939263030174</c:v>
                </c:pt>
                <c:pt idx="95">
                  <c:v>638.46939263030174</c:v>
                </c:pt>
                <c:pt idx="96">
                  <c:v>638.46939263030174</c:v>
                </c:pt>
                <c:pt idx="97">
                  <c:v>638.46939263030174</c:v>
                </c:pt>
                <c:pt idx="98">
                  <c:v>638.46939263030174</c:v>
                </c:pt>
                <c:pt idx="99">
                  <c:v>638.46939263030174</c:v>
                </c:pt>
                <c:pt idx="100">
                  <c:v>638.46939263030174</c:v>
                </c:pt>
                <c:pt idx="101">
                  <c:v>638.46939263030174</c:v>
                </c:pt>
                <c:pt idx="102">
                  <c:v>638.46939263030174</c:v>
                </c:pt>
                <c:pt idx="103">
                  <c:v>638.46939263030174</c:v>
                </c:pt>
                <c:pt idx="104">
                  <c:v>638.46939263030174</c:v>
                </c:pt>
                <c:pt idx="105">
                  <c:v>638.46939263030174</c:v>
                </c:pt>
                <c:pt idx="106">
                  <c:v>638.46939263030174</c:v>
                </c:pt>
                <c:pt idx="107">
                  <c:v>638.46939263030174</c:v>
                </c:pt>
                <c:pt idx="108">
                  <c:v>638.46939263030174</c:v>
                </c:pt>
                <c:pt idx="109">
                  <c:v>638.46939263030174</c:v>
                </c:pt>
                <c:pt idx="110">
                  <c:v>638.46939263030174</c:v>
                </c:pt>
                <c:pt idx="111">
                  <c:v>638.46939263030174</c:v>
                </c:pt>
                <c:pt idx="112">
                  <c:v>638.46939263030174</c:v>
                </c:pt>
                <c:pt idx="113">
                  <c:v>638.46939263030174</c:v>
                </c:pt>
                <c:pt idx="114">
                  <c:v>638.46939263030174</c:v>
                </c:pt>
                <c:pt idx="115">
                  <c:v>638.46939263030174</c:v>
                </c:pt>
                <c:pt idx="116">
                  <c:v>638.46939263030174</c:v>
                </c:pt>
                <c:pt idx="117">
                  <c:v>638.46939263030174</c:v>
                </c:pt>
                <c:pt idx="118">
                  <c:v>638.46939263030174</c:v>
                </c:pt>
                <c:pt idx="119">
                  <c:v>638.46939263030174</c:v>
                </c:pt>
                <c:pt idx="120">
                  <c:v>638.46939263030174</c:v>
                </c:pt>
                <c:pt idx="121">
                  <c:v>638.46939263030174</c:v>
                </c:pt>
                <c:pt idx="122">
                  <c:v>638.46939263030174</c:v>
                </c:pt>
                <c:pt idx="123">
                  <c:v>638.46939263030174</c:v>
                </c:pt>
                <c:pt idx="124">
                  <c:v>638.46939263030174</c:v>
                </c:pt>
                <c:pt idx="125">
                  <c:v>638.46939263030174</c:v>
                </c:pt>
                <c:pt idx="126">
                  <c:v>638.46939263030174</c:v>
                </c:pt>
                <c:pt idx="127">
                  <c:v>638.46939263030174</c:v>
                </c:pt>
                <c:pt idx="128">
                  <c:v>638.46939263030174</c:v>
                </c:pt>
                <c:pt idx="129">
                  <c:v>638.46939263030174</c:v>
                </c:pt>
                <c:pt idx="130">
                  <c:v>638.46939263030174</c:v>
                </c:pt>
                <c:pt idx="131">
                  <c:v>638.46939263030174</c:v>
                </c:pt>
                <c:pt idx="132">
                  <c:v>638.46939263030174</c:v>
                </c:pt>
                <c:pt idx="133">
                  <c:v>638.46939263030174</c:v>
                </c:pt>
                <c:pt idx="134">
                  <c:v>638.46939263030174</c:v>
                </c:pt>
                <c:pt idx="135">
                  <c:v>638.46939263030174</c:v>
                </c:pt>
                <c:pt idx="136">
                  <c:v>638.46939263030174</c:v>
                </c:pt>
                <c:pt idx="137">
                  <c:v>638.46939263030174</c:v>
                </c:pt>
                <c:pt idx="138">
                  <c:v>638.46939263030174</c:v>
                </c:pt>
                <c:pt idx="139">
                  <c:v>638.46939263030174</c:v>
                </c:pt>
                <c:pt idx="140">
                  <c:v>638.46939263030174</c:v>
                </c:pt>
                <c:pt idx="141">
                  <c:v>638.46939263030174</c:v>
                </c:pt>
                <c:pt idx="142">
                  <c:v>638.46939263030174</c:v>
                </c:pt>
                <c:pt idx="143">
                  <c:v>638.46939263030174</c:v>
                </c:pt>
                <c:pt idx="144">
                  <c:v>638.46939263030174</c:v>
                </c:pt>
                <c:pt idx="145">
                  <c:v>638.46939263030174</c:v>
                </c:pt>
                <c:pt idx="146">
                  <c:v>638.46939263030174</c:v>
                </c:pt>
                <c:pt idx="147">
                  <c:v>638.46939263030174</c:v>
                </c:pt>
                <c:pt idx="148">
                  <c:v>638.46939263030174</c:v>
                </c:pt>
                <c:pt idx="149">
                  <c:v>638.46939263030174</c:v>
                </c:pt>
                <c:pt idx="150">
                  <c:v>638.46939263030174</c:v>
                </c:pt>
                <c:pt idx="151">
                  <c:v>638.46939263030174</c:v>
                </c:pt>
                <c:pt idx="152">
                  <c:v>638.46939263030174</c:v>
                </c:pt>
                <c:pt idx="153">
                  <c:v>638.46939263030174</c:v>
                </c:pt>
                <c:pt idx="154">
                  <c:v>638.46939263030174</c:v>
                </c:pt>
                <c:pt idx="155">
                  <c:v>638.46939263030174</c:v>
                </c:pt>
                <c:pt idx="156">
                  <c:v>638.46939263030174</c:v>
                </c:pt>
                <c:pt idx="157">
                  <c:v>638.46939263030174</c:v>
                </c:pt>
                <c:pt idx="158">
                  <c:v>638.46939263030174</c:v>
                </c:pt>
                <c:pt idx="159">
                  <c:v>638.46939263030174</c:v>
                </c:pt>
                <c:pt idx="160">
                  <c:v>638.46939263030174</c:v>
                </c:pt>
                <c:pt idx="161">
                  <c:v>638.46939263030174</c:v>
                </c:pt>
                <c:pt idx="162">
                  <c:v>638.46939263030174</c:v>
                </c:pt>
                <c:pt idx="163">
                  <c:v>638.46939263030174</c:v>
                </c:pt>
                <c:pt idx="164">
                  <c:v>638.46939263030174</c:v>
                </c:pt>
                <c:pt idx="165">
                  <c:v>638.46939263030174</c:v>
                </c:pt>
                <c:pt idx="166">
                  <c:v>638.46939263030174</c:v>
                </c:pt>
                <c:pt idx="167">
                  <c:v>638.46939263030174</c:v>
                </c:pt>
                <c:pt idx="168">
                  <c:v>638.46939263030174</c:v>
                </c:pt>
                <c:pt idx="169">
                  <c:v>638.46939263030174</c:v>
                </c:pt>
                <c:pt idx="170">
                  <c:v>638.46939263030174</c:v>
                </c:pt>
                <c:pt idx="171">
                  <c:v>638.46939263030174</c:v>
                </c:pt>
                <c:pt idx="172">
                  <c:v>638.46939263030174</c:v>
                </c:pt>
                <c:pt idx="173">
                  <c:v>638.46939263030174</c:v>
                </c:pt>
                <c:pt idx="174">
                  <c:v>638.46939263030174</c:v>
                </c:pt>
                <c:pt idx="175">
                  <c:v>638.46939263030174</c:v>
                </c:pt>
                <c:pt idx="176">
                  <c:v>638.46939263030174</c:v>
                </c:pt>
                <c:pt idx="177">
                  <c:v>638.46939263030174</c:v>
                </c:pt>
                <c:pt idx="178">
                  <c:v>638.46939263030174</c:v>
                </c:pt>
                <c:pt idx="179">
                  <c:v>638.46939263030174</c:v>
                </c:pt>
                <c:pt idx="180">
                  <c:v>638.46939263030174</c:v>
                </c:pt>
                <c:pt idx="181">
                  <c:v>638.46939263030174</c:v>
                </c:pt>
                <c:pt idx="182">
                  <c:v>638.46939263030174</c:v>
                </c:pt>
                <c:pt idx="183">
                  <c:v>638.46939263030174</c:v>
                </c:pt>
                <c:pt idx="184">
                  <c:v>638.46939263030174</c:v>
                </c:pt>
                <c:pt idx="185">
                  <c:v>638.46939263030174</c:v>
                </c:pt>
                <c:pt idx="186">
                  <c:v>638.46939263030174</c:v>
                </c:pt>
                <c:pt idx="187">
                  <c:v>638.46939263030174</c:v>
                </c:pt>
                <c:pt idx="188">
                  <c:v>638.46939263030174</c:v>
                </c:pt>
                <c:pt idx="189">
                  <c:v>638.46939263030174</c:v>
                </c:pt>
                <c:pt idx="190">
                  <c:v>638.46939263030174</c:v>
                </c:pt>
                <c:pt idx="191">
                  <c:v>638.46939263030174</c:v>
                </c:pt>
                <c:pt idx="192">
                  <c:v>638.46939263030174</c:v>
                </c:pt>
                <c:pt idx="193">
                  <c:v>638.46939263030174</c:v>
                </c:pt>
                <c:pt idx="194">
                  <c:v>638.46939263030174</c:v>
                </c:pt>
                <c:pt idx="195">
                  <c:v>638.46939263030174</c:v>
                </c:pt>
                <c:pt idx="196">
                  <c:v>638.46939263030174</c:v>
                </c:pt>
                <c:pt idx="197">
                  <c:v>638.46939263030174</c:v>
                </c:pt>
                <c:pt idx="198">
                  <c:v>638.46939263030174</c:v>
                </c:pt>
                <c:pt idx="199">
                  <c:v>638.46939263030174</c:v>
                </c:pt>
                <c:pt idx="200">
                  <c:v>638.46939263030174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1.8260980461380403</c:v>
                </c:pt>
                <c:pt idx="2">
                  <c:v>2.722557665050882</c:v>
                </c:pt>
                <c:pt idx="3">
                  <c:v>4.0611406191612867</c:v>
                </c:pt>
                <c:pt idx="4">
                  <c:v>6.06084142493496</c:v>
                </c:pt>
                <c:pt idx="5">
                  <c:v>9.0495637462716036</c:v>
                </c:pt>
                <c:pt idx="6">
                  <c:v>13.518482708533952</c:v>
                </c:pt>
                <c:pt idx="7">
                  <c:v>20.203633933769883</c:v>
                </c:pt>
                <c:pt idx="8">
                  <c:v>30.208407245593722</c:v>
                </c:pt>
                <c:pt idx="9">
                  <c:v>45.187513391310006</c:v>
                </c:pt>
                <c:pt idx="10">
                  <c:v>67.623362229808464</c:v>
                </c:pt>
                <c:pt idx="11">
                  <c:v>84.609505003384001</c:v>
                </c:pt>
                <c:pt idx="12">
                  <c:v>101.50936444093702</c:v>
                </c:pt>
                <c:pt idx="13">
                  <c:v>118.33939341491465</c:v>
                </c:pt>
                <c:pt idx="14">
                  <c:v>135.11094794481608</c:v>
                </c:pt>
                <c:pt idx="15">
                  <c:v>151.83232046894278</c:v>
                </c:pt>
                <c:pt idx="16">
                  <c:v>142.45780791637236</c:v>
                </c:pt>
                <c:pt idx="17">
                  <c:v>161.3963988836461</c:v>
                </c:pt>
                <c:pt idx="18">
                  <c:v>180.28235468562397</c:v>
                </c:pt>
                <c:pt idx="19">
                  <c:v>199.12196846462484</c:v>
                </c:pt>
                <c:pt idx="20">
                  <c:v>217.92024306476188</c:v>
                </c:pt>
                <c:pt idx="21">
                  <c:v>202.84433687260935</c:v>
                </c:pt>
                <c:pt idx="22">
                  <c:v>223.22939635788296</c:v>
                </c:pt>
                <c:pt idx="23">
                  <c:v>243.57176817821448</c:v>
                </c:pt>
                <c:pt idx="24">
                  <c:v>263.87551853453971</c:v>
                </c:pt>
                <c:pt idx="25">
                  <c:v>284.14403642988754</c:v>
                </c:pt>
                <c:pt idx="26">
                  <c:v>266.44863484368716</c:v>
                </c:pt>
                <c:pt idx="27">
                  <c:v>285.40846246182491</c:v>
                </c:pt>
                <c:pt idx="28">
                  <c:v>304.34010679301917</c:v>
                </c:pt>
                <c:pt idx="29">
                  <c:v>323.2455671188647</c:v>
                </c:pt>
                <c:pt idx="30">
                  <c:v>342.12658977783849</c:v>
                </c:pt>
                <c:pt idx="31">
                  <c:v>322.52505476163662</c:v>
                </c:pt>
                <c:pt idx="32">
                  <c:v>340.52741152315878</c:v>
                </c:pt>
                <c:pt idx="33">
                  <c:v>358.50884274169317</c:v>
                </c:pt>
                <c:pt idx="34">
                  <c:v>376.4705452992568</c:v>
                </c:pt>
                <c:pt idx="35">
                  <c:v>394.41359257797143</c:v>
                </c:pt>
                <c:pt idx="36">
                  <c:v>372.99943588368359</c:v>
                </c:pt>
                <c:pt idx="37">
                  <c:v>388.67378622443084</c:v>
                </c:pt>
                <c:pt idx="38">
                  <c:v>404.33441938330162</c:v>
                </c:pt>
                <c:pt idx="39">
                  <c:v>419.98194134071883</c:v>
                </c:pt>
                <c:pt idx="40">
                  <c:v>435.61690924842759</c:v>
                </c:pt>
                <c:pt idx="41">
                  <c:v>414.07083277751366</c:v>
                </c:pt>
                <c:pt idx="42">
                  <c:v>430.42650479955245</c:v>
                </c:pt>
                <c:pt idx="43">
                  <c:v>446.7688264343347</c:v>
                </c:pt>
                <c:pt idx="44">
                  <c:v>463.09835460351195</c:v>
                </c:pt>
                <c:pt idx="45">
                  <c:v>479.41560376398502</c:v>
                </c:pt>
                <c:pt idx="46">
                  <c:v>456.68325596396556</c:v>
                </c:pt>
                <c:pt idx="47">
                  <c:v>471.67534303179355</c:v>
                </c:pt>
                <c:pt idx="48">
                  <c:v>486.65728665769012</c:v>
                </c:pt>
                <c:pt idx="49">
                  <c:v>501.62944299248096</c:v>
                </c:pt>
                <c:pt idx="50">
                  <c:v>516.59214520035414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2.7603282618447889</c:v>
                </c:pt>
                <c:pt idx="2">
                  <c:v>3.4114188821959091</c:v>
                </c:pt>
                <c:pt idx="3">
                  <c:v>4.2166727529947705</c:v>
                </c:pt>
                <c:pt idx="4">
                  <c:v>5.212723364515309</c:v>
                </c:pt>
                <c:pt idx="5">
                  <c:v>6.4449385194544933</c:v>
                </c:pt>
                <c:pt idx="6">
                  <c:v>7.9695092689740825</c:v>
                </c:pt>
                <c:pt idx="7">
                  <c:v>9.8560398752979861</c:v>
                </c:pt>
                <c:pt idx="8">
                  <c:v>12.190759285230749</c:v>
                </c:pt>
                <c:pt idx="9">
                  <c:v>15.080503641437184</c:v>
                </c:pt>
                <c:pt idx="10">
                  <c:v>18.657655416524996</c:v>
                </c:pt>
                <c:pt idx="11">
                  <c:v>25.057384454090755</c:v>
                </c:pt>
                <c:pt idx="12">
                  <c:v>31.410514276526541</c:v>
                </c:pt>
                <c:pt idx="13">
                  <c:v>37.727903052748168</c:v>
                </c:pt>
                <c:pt idx="14">
                  <c:v>44.016422187733419</c:v>
                </c:pt>
                <c:pt idx="15">
                  <c:v>50.280799365877662</c:v>
                </c:pt>
                <c:pt idx="16">
                  <c:v>59.250271506484438</c:v>
                </c:pt>
                <c:pt idx="17">
                  <c:v>68.18426908822488</c:v>
                </c:pt>
                <c:pt idx="18">
                  <c:v>77.088111983126907</c:v>
                </c:pt>
                <c:pt idx="19">
                  <c:v>85.965783832884156</c:v>
                </c:pt>
                <c:pt idx="20">
                  <c:v>94.820374611380657</c:v>
                </c:pt>
                <c:pt idx="21">
                  <c:v>105.5722522556094</c:v>
                </c:pt>
                <c:pt idx="22">
                  <c:v>116.29710631986525</c:v>
                </c:pt>
                <c:pt idx="23">
                  <c:v>126.99778389938218</c:v>
                </c:pt>
                <c:pt idx="24">
                  <c:v>137.67661187603181</c:v>
                </c:pt>
                <c:pt idx="25">
                  <c:v>148.33552588657841</c:v>
                </c:pt>
                <c:pt idx="26">
                  <c:v>159.35586286360191</c:v>
                </c:pt>
                <c:pt idx="27">
                  <c:v>170.35813814817595</c:v>
                </c:pt>
                <c:pt idx="28">
                  <c:v>181.34368368345903</c:v>
                </c:pt>
                <c:pt idx="29">
                  <c:v>192.31365664017576</c:v>
                </c:pt>
                <c:pt idx="30">
                  <c:v>203.26907123098991</c:v>
                </c:pt>
                <c:pt idx="31">
                  <c:v>139.20049206512991</c:v>
                </c:pt>
                <c:pt idx="32">
                  <c:v>149.09615963333516</c:v>
                </c:pt>
                <c:pt idx="33">
                  <c:v>158.97616013715958</c:v>
                </c:pt>
                <c:pt idx="34">
                  <c:v>168.84160560976815</c:v>
                </c:pt>
                <c:pt idx="35">
                  <c:v>178.69346731764233</c:v>
                </c:pt>
                <c:pt idx="36">
                  <c:v>165.04886131109478</c:v>
                </c:pt>
                <c:pt idx="37">
                  <c:v>174.14808519452978</c:v>
                </c:pt>
                <c:pt idx="38">
                  <c:v>183.23613938898782</c:v>
                </c:pt>
                <c:pt idx="39">
                  <c:v>192.31365664017576</c:v>
                </c:pt>
                <c:pt idx="40">
                  <c:v>201.38120500067475</c:v>
                </c:pt>
                <c:pt idx="41">
                  <c:v>187.3979404339226</c:v>
                </c:pt>
                <c:pt idx="42">
                  <c:v>196.09298269939742</c:v>
                </c:pt>
                <c:pt idx="43">
                  <c:v>204.77907175916712</c:v>
                </c:pt>
                <c:pt idx="44">
                  <c:v>213.45664137520589</c:v>
                </c:pt>
                <c:pt idx="45">
                  <c:v>222.12608711761609</c:v>
                </c:pt>
                <c:pt idx="46">
                  <c:v>207.42095417122439</c:v>
                </c:pt>
                <c:pt idx="47">
                  <c:v>215.34198157425362</c:v>
                </c:pt>
                <c:pt idx="48">
                  <c:v>223.2563047738025</c:v>
                </c:pt>
                <c:pt idx="49">
                  <c:v>231.16419524801097</c:v>
                </c:pt>
                <c:pt idx="50">
                  <c:v>239.06590436046727</c:v>
                </c:pt>
                <c:pt idx="51">
                  <c:v>225.89297020726829</c:v>
                </c:pt>
                <c:pt idx="52">
                  <c:v>233.42244664801692</c:v>
                </c:pt>
                <c:pt idx="53">
                  <c:v>240.94637860003544</c:v>
                </c:pt>
                <c:pt idx="54">
                  <c:v>248.46496383915076</c:v>
                </c:pt>
                <c:pt idx="55">
                  <c:v>255.97838717928323</c:v>
                </c:pt>
                <c:pt idx="56">
                  <c:v>242.07450258222403</c:v>
                </c:pt>
                <c:pt idx="57">
                  <c:v>248.84075611692742</c:v>
                </c:pt>
                <c:pt idx="58">
                  <c:v>255.60283589073163</c:v>
                </c:pt>
                <c:pt idx="59">
                  <c:v>262.36086804994267</c:v>
                </c:pt>
                <c:pt idx="60">
                  <c:v>269.11497170292409</c:v>
                </c:pt>
                <c:pt idx="61">
                  <c:v>255.97838717928315</c:v>
                </c:pt>
                <c:pt idx="62">
                  <c:v>261.61017170872884</c:v>
                </c:pt>
                <c:pt idx="63">
                  <c:v>267.23921926263682</c:v>
                </c:pt>
                <c:pt idx="64">
                  <c:v>272.86559571589561</c:v>
                </c:pt>
                <c:pt idx="65">
                  <c:v>278.48936400091253</c:v>
                </c:pt>
                <c:pt idx="66">
                  <c:v>267.23921926263682</c:v>
                </c:pt>
                <c:pt idx="67">
                  <c:v>272.86559571589561</c:v>
                </c:pt>
                <c:pt idx="68">
                  <c:v>278.48936400091253</c:v>
                </c:pt>
                <c:pt idx="69">
                  <c:v>284.11058429716269</c:v>
                </c:pt>
                <c:pt idx="70">
                  <c:v>289.72931420493518</c:v>
                </c:pt>
                <c:pt idx="71">
                  <c:v>278.11452603753787</c:v>
                </c:pt>
                <c:pt idx="72">
                  <c:v>283.36123337871345</c:v>
                </c:pt>
                <c:pt idx="73">
                  <c:v>288.60576477216415</c:v>
                </c:pt>
                <c:pt idx="74">
                  <c:v>293.84816539917779</c:v>
                </c:pt>
                <c:pt idx="75">
                  <c:v>299.08847869495406</c:v>
                </c:pt>
                <c:pt idx="76">
                  <c:v>288.60576477216415</c:v>
                </c:pt>
                <c:pt idx="77">
                  <c:v>293.09937981445825</c:v>
                </c:pt>
                <c:pt idx="78">
                  <c:v>297.591456851224</c:v>
                </c:pt>
                <c:pt idx="79">
                  <c:v>302.08202241270902</c:v>
                </c:pt>
                <c:pt idx="80">
                  <c:v>306.57110217476514</c:v>
                </c:pt>
                <c:pt idx="81">
                  <c:v>296.46858031425882</c:v>
                </c:pt>
                <c:pt idx="82">
                  <c:v>301.33369868276128</c:v>
                </c:pt>
                <c:pt idx="83">
                  <c:v>306.19706833197517</c:v>
                </c:pt>
                <c:pt idx="84">
                  <c:v>311.05872099875796</c:v>
                </c:pt>
                <c:pt idx="85">
                  <c:v>315.91868734548365</c:v>
                </c:pt>
                <c:pt idx="86">
                  <c:v>305.44897015478278</c:v>
                </c:pt>
                <c:pt idx="87">
                  <c:v>309.93695192564945</c:v>
                </c:pt>
                <c:pt idx="88">
                  <c:v>314.42349089260625</c:v>
                </c:pt>
                <c:pt idx="89">
                  <c:v>318.90861058050916</c:v>
                </c:pt>
                <c:pt idx="90">
                  <c:v>323.39233379750692</c:v>
                </c:pt>
                <c:pt idx="91">
                  <c:v>313.30199011471797</c:v>
                </c:pt>
                <c:pt idx="92">
                  <c:v>318.16118821698814</c:v>
                </c:pt>
                <c:pt idx="93">
                  <c:v>323.01874298926219</c:v>
                </c:pt>
                <c:pt idx="94">
                  <c:v>327.87468266673795</c:v>
                </c:pt>
                <c:pt idx="95">
                  <c:v>332.72903457884451</c:v>
                </c:pt>
                <c:pt idx="96">
                  <c:v>320.40333904330788</c:v>
                </c:pt>
                <c:pt idx="97">
                  <c:v>324.88660171920714</c:v>
                </c:pt>
                <c:pt idx="98">
                  <c:v>329.36849727470798</c:v>
                </c:pt>
                <c:pt idx="99">
                  <c:v>333.84904696577172</c:v>
                </c:pt>
                <c:pt idx="100">
                  <c:v>338.3282714304305</c:v>
                </c:pt>
                <c:pt idx="101">
                  <c:v>321.52428406625791</c:v>
                </c:pt>
                <c:pt idx="102">
                  <c:v>321.52428406625791</c:v>
                </c:pt>
                <c:pt idx="103">
                  <c:v>321.52428406625791</c:v>
                </c:pt>
                <c:pt idx="104">
                  <c:v>321.52428406625791</c:v>
                </c:pt>
                <c:pt idx="105">
                  <c:v>321.52428406625791</c:v>
                </c:pt>
                <c:pt idx="106">
                  <c:v>321.52428406625791</c:v>
                </c:pt>
                <c:pt idx="107">
                  <c:v>321.52428406625791</c:v>
                </c:pt>
                <c:pt idx="108">
                  <c:v>321.52428406625791</c:v>
                </c:pt>
                <c:pt idx="109">
                  <c:v>321.52428406625791</c:v>
                </c:pt>
                <c:pt idx="110">
                  <c:v>321.52428406625791</c:v>
                </c:pt>
                <c:pt idx="111">
                  <c:v>321.52428406625791</c:v>
                </c:pt>
                <c:pt idx="112">
                  <c:v>321.52428406625791</c:v>
                </c:pt>
                <c:pt idx="113">
                  <c:v>321.52428406625791</c:v>
                </c:pt>
                <c:pt idx="114">
                  <c:v>321.52428406625791</c:v>
                </c:pt>
                <c:pt idx="115">
                  <c:v>321.52428406625791</c:v>
                </c:pt>
                <c:pt idx="116">
                  <c:v>321.52428406625791</c:v>
                </c:pt>
                <c:pt idx="117">
                  <c:v>321.52428406625791</c:v>
                </c:pt>
                <c:pt idx="118">
                  <c:v>321.52428406625791</c:v>
                </c:pt>
                <c:pt idx="119">
                  <c:v>321.52428406625791</c:v>
                </c:pt>
                <c:pt idx="120">
                  <c:v>321.52428406625791</c:v>
                </c:pt>
                <c:pt idx="121">
                  <c:v>321.52428406625791</c:v>
                </c:pt>
                <c:pt idx="122">
                  <c:v>321.52428406625791</c:v>
                </c:pt>
                <c:pt idx="123">
                  <c:v>321.52428406625791</c:v>
                </c:pt>
                <c:pt idx="124">
                  <c:v>321.52428406625791</c:v>
                </c:pt>
                <c:pt idx="125">
                  <c:v>321.52428406625791</c:v>
                </c:pt>
                <c:pt idx="126">
                  <c:v>321.52428406625791</c:v>
                </c:pt>
                <c:pt idx="127">
                  <c:v>321.52428406625791</c:v>
                </c:pt>
                <c:pt idx="128">
                  <c:v>321.52428406625791</c:v>
                </c:pt>
                <c:pt idx="129">
                  <c:v>321.52428406625791</c:v>
                </c:pt>
                <c:pt idx="130">
                  <c:v>321.52428406625791</c:v>
                </c:pt>
                <c:pt idx="131">
                  <c:v>321.52428406625791</c:v>
                </c:pt>
                <c:pt idx="132">
                  <c:v>321.52428406625791</c:v>
                </c:pt>
                <c:pt idx="133">
                  <c:v>321.52428406625791</c:v>
                </c:pt>
                <c:pt idx="134">
                  <c:v>321.52428406625791</c:v>
                </c:pt>
                <c:pt idx="135">
                  <c:v>321.52428406625791</c:v>
                </c:pt>
                <c:pt idx="136">
                  <c:v>321.52428406625791</c:v>
                </c:pt>
                <c:pt idx="137">
                  <c:v>321.52428406625791</c:v>
                </c:pt>
                <c:pt idx="138">
                  <c:v>321.52428406625791</c:v>
                </c:pt>
                <c:pt idx="139">
                  <c:v>321.52428406625791</c:v>
                </c:pt>
                <c:pt idx="140">
                  <c:v>321.52428406625791</c:v>
                </c:pt>
                <c:pt idx="141">
                  <c:v>321.52428406625791</c:v>
                </c:pt>
                <c:pt idx="142">
                  <c:v>321.52428406625791</c:v>
                </c:pt>
                <c:pt idx="143">
                  <c:v>321.52428406625791</c:v>
                </c:pt>
                <c:pt idx="144">
                  <c:v>321.52428406625791</c:v>
                </c:pt>
                <c:pt idx="145">
                  <c:v>321.52428406625791</c:v>
                </c:pt>
                <c:pt idx="146">
                  <c:v>321.52428406625791</c:v>
                </c:pt>
                <c:pt idx="147">
                  <c:v>321.52428406625791</c:v>
                </c:pt>
                <c:pt idx="148">
                  <c:v>321.52428406625791</c:v>
                </c:pt>
                <c:pt idx="149">
                  <c:v>321.52428406625791</c:v>
                </c:pt>
                <c:pt idx="150">
                  <c:v>321.52428406625791</c:v>
                </c:pt>
                <c:pt idx="151">
                  <c:v>321.52428406625791</c:v>
                </c:pt>
                <c:pt idx="152">
                  <c:v>321.52428406625791</c:v>
                </c:pt>
                <c:pt idx="153">
                  <c:v>321.52428406625791</c:v>
                </c:pt>
                <c:pt idx="154">
                  <c:v>321.52428406625791</c:v>
                </c:pt>
                <c:pt idx="155">
                  <c:v>321.52428406625791</c:v>
                </c:pt>
                <c:pt idx="156">
                  <c:v>321.52428406625791</c:v>
                </c:pt>
                <c:pt idx="157">
                  <c:v>321.52428406625791</c:v>
                </c:pt>
                <c:pt idx="158">
                  <c:v>321.52428406625791</c:v>
                </c:pt>
                <c:pt idx="159">
                  <c:v>321.52428406625791</c:v>
                </c:pt>
                <c:pt idx="160">
                  <c:v>321.52428406625791</c:v>
                </c:pt>
                <c:pt idx="161">
                  <c:v>321.52428406625791</c:v>
                </c:pt>
                <c:pt idx="162">
                  <c:v>321.52428406625791</c:v>
                </c:pt>
                <c:pt idx="163">
                  <c:v>321.52428406625791</c:v>
                </c:pt>
                <c:pt idx="164">
                  <c:v>321.52428406625791</c:v>
                </c:pt>
                <c:pt idx="165">
                  <c:v>321.52428406625791</c:v>
                </c:pt>
                <c:pt idx="166">
                  <c:v>321.52428406625791</c:v>
                </c:pt>
                <c:pt idx="167">
                  <c:v>321.52428406625791</c:v>
                </c:pt>
                <c:pt idx="168">
                  <c:v>321.52428406625791</c:v>
                </c:pt>
                <c:pt idx="169">
                  <c:v>321.52428406625791</c:v>
                </c:pt>
                <c:pt idx="170">
                  <c:v>321.52428406625791</c:v>
                </c:pt>
                <c:pt idx="171">
                  <c:v>321.52428406625791</c:v>
                </c:pt>
                <c:pt idx="172">
                  <c:v>321.52428406625791</c:v>
                </c:pt>
                <c:pt idx="173">
                  <c:v>321.52428406625791</c:v>
                </c:pt>
                <c:pt idx="174">
                  <c:v>321.52428406625791</c:v>
                </c:pt>
                <c:pt idx="175">
                  <c:v>321.52428406625791</c:v>
                </c:pt>
                <c:pt idx="176">
                  <c:v>321.52428406625791</c:v>
                </c:pt>
                <c:pt idx="177">
                  <c:v>321.52428406625791</c:v>
                </c:pt>
                <c:pt idx="178">
                  <c:v>321.52428406625791</c:v>
                </c:pt>
                <c:pt idx="179">
                  <c:v>321.52428406625791</c:v>
                </c:pt>
                <c:pt idx="180">
                  <c:v>321.52428406625791</c:v>
                </c:pt>
                <c:pt idx="181">
                  <c:v>321.52428406625791</c:v>
                </c:pt>
                <c:pt idx="182">
                  <c:v>321.52428406625791</c:v>
                </c:pt>
                <c:pt idx="183">
                  <c:v>321.52428406625791</c:v>
                </c:pt>
                <c:pt idx="184">
                  <c:v>321.52428406625791</c:v>
                </c:pt>
                <c:pt idx="185">
                  <c:v>321.52428406625791</c:v>
                </c:pt>
                <c:pt idx="186">
                  <c:v>321.52428406625791</c:v>
                </c:pt>
                <c:pt idx="187">
                  <c:v>321.52428406625791</c:v>
                </c:pt>
                <c:pt idx="188">
                  <c:v>321.52428406625791</c:v>
                </c:pt>
                <c:pt idx="189">
                  <c:v>321.52428406625791</c:v>
                </c:pt>
                <c:pt idx="190">
                  <c:v>321.52428406625791</c:v>
                </c:pt>
                <c:pt idx="191">
                  <c:v>321.52428406625791</c:v>
                </c:pt>
                <c:pt idx="192">
                  <c:v>321.52428406625791</c:v>
                </c:pt>
                <c:pt idx="193">
                  <c:v>321.52428406625791</c:v>
                </c:pt>
                <c:pt idx="194">
                  <c:v>321.52428406625791</c:v>
                </c:pt>
                <c:pt idx="195">
                  <c:v>321.52428406625791</c:v>
                </c:pt>
                <c:pt idx="196">
                  <c:v>321.52428406625791</c:v>
                </c:pt>
                <c:pt idx="197">
                  <c:v>321.52428406625791</c:v>
                </c:pt>
                <c:pt idx="198">
                  <c:v>321.52428406625791</c:v>
                </c:pt>
                <c:pt idx="199">
                  <c:v>321.52428406625791</c:v>
                </c:pt>
                <c:pt idx="200">
                  <c:v>321.52428406625791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24" sqref="C2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29.05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72</v>
      </c>
      <c r="C9" s="32">
        <v>0.44500000000000001</v>
      </c>
      <c r="D9" s="33">
        <f t="shared" ref="D9:D18" si="0">C9*$C$5</f>
        <v>12.927250000000001</v>
      </c>
      <c r="E9" s="34">
        <v>47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230</v>
      </c>
      <c r="C10" s="32">
        <v>0.25609999999999999</v>
      </c>
      <c r="D10" s="33">
        <f t="shared" si="0"/>
        <v>7.439705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242</v>
      </c>
      <c r="C11" s="32">
        <v>0.1069</v>
      </c>
      <c r="D11" s="33">
        <f t="shared" si="0"/>
        <v>3.105445</v>
      </c>
      <c r="E11" s="34">
        <v>103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269</v>
      </c>
      <c r="C12" s="32">
        <v>0.1007</v>
      </c>
      <c r="D12" s="33">
        <f t="shared" si="0"/>
        <v>2.925335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 t="s">
        <v>157</v>
      </c>
      <c r="C13" s="32">
        <v>5.3600000000000002E-2</v>
      </c>
      <c r="D13" s="33">
        <f t="shared" si="0"/>
        <v>1.55708</v>
      </c>
      <c r="E13" s="34">
        <v>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 t="s">
        <v>145</v>
      </c>
      <c r="C14" s="32">
        <v>3.73E-2</v>
      </c>
      <c r="D14" s="33">
        <f t="shared" si="0"/>
        <v>1.0835650000000001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0.99960000000000004</v>
      </c>
      <c r="D19" s="38">
        <f>SUM(D9:D18)</f>
        <v>29.03838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0.15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Epicéa de Sitka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7" t="s">
        <v>45</v>
      </c>
      <c r="D34" s="267"/>
      <c r="E34" s="268" t="s">
        <v>46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144</v>
      </c>
      <c r="C36" s="60">
        <v>1</v>
      </c>
      <c r="D36" s="60">
        <v>48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21</v>
      </c>
      <c r="B37" s="60">
        <v>201</v>
      </c>
      <c r="C37" s="60">
        <v>2</v>
      </c>
      <c r="D37" s="60">
        <v>45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35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24</v>
      </c>
      <c r="B38" s="60">
        <v>281</v>
      </c>
      <c r="C38" s="60">
        <v>3</v>
      </c>
      <c r="D38" s="60">
        <v>50</v>
      </c>
      <c r="E38" s="51">
        <v>0.3</v>
      </c>
      <c r="F38" s="51">
        <v>0.6</v>
      </c>
      <c r="G38" s="51">
        <v>0.1</v>
      </c>
      <c r="H38" s="51">
        <v>0</v>
      </c>
      <c r="I38" s="53">
        <f t="shared" si="1"/>
        <v>41.666666666666664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28</v>
      </c>
      <c r="B39" s="60">
        <v>414</v>
      </c>
      <c r="C39" s="60">
        <v>4</v>
      </c>
      <c r="D39" s="60">
        <v>80</v>
      </c>
      <c r="E39" s="51">
        <v>0.3</v>
      </c>
      <c r="F39" s="51">
        <v>0.6</v>
      </c>
      <c r="G39" s="51">
        <v>0.1</v>
      </c>
      <c r="H39" s="51">
        <v>0</v>
      </c>
      <c r="I39" s="49">
        <f t="shared" si="1"/>
        <v>45.75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32</v>
      </c>
      <c r="B40" s="60">
        <v>516</v>
      </c>
      <c r="C40" s="60">
        <v>5</v>
      </c>
      <c r="D40" s="60">
        <v>56</v>
      </c>
      <c r="E40" s="51">
        <v>0.3</v>
      </c>
      <c r="F40" s="51">
        <v>0.6</v>
      </c>
      <c r="G40" s="51">
        <v>0.1</v>
      </c>
      <c r="H40" s="51">
        <v>0</v>
      </c>
      <c r="I40" s="49">
        <f t="shared" si="1"/>
        <v>45.5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36</v>
      </c>
      <c r="B41" s="60">
        <v>628</v>
      </c>
      <c r="C41" s="60">
        <v>6</v>
      </c>
      <c r="D41" s="60">
        <v>78</v>
      </c>
      <c r="E41" s="51">
        <v>0.5</v>
      </c>
      <c r="F41" s="51">
        <v>0.5</v>
      </c>
      <c r="G41" s="51">
        <v>0</v>
      </c>
      <c r="H41" s="51">
        <v>0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42</v>
      </c>
      <c r="B42" s="60">
        <v>766</v>
      </c>
      <c r="C42" s="60">
        <v>7</v>
      </c>
      <c r="D42" s="60">
        <v>79</v>
      </c>
      <c r="E42" s="51">
        <v>0.5</v>
      </c>
      <c r="F42" s="51">
        <v>0.5</v>
      </c>
      <c r="G42" s="51">
        <v>0</v>
      </c>
      <c r="H42" s="51">
        <v>0</v>
      </c>
      <c r="I42" s="53">
        <f t="shared" si="1"/>
        <v>36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47</v>
      </c>
      <c r="B43" s="60">
        <v>834</v>
      </c>
      <c r="C43" s="60" t="s">
        <v>57</v>
      </c>
      <c r="D43" s="60">
        <v>834</v>
      </c>
      <c r="E43" s="51">
        <v>0.5</v>
      </c>
      <c r="F43" s="51">
        <v>0.5</v>
      </c>
      <c r="G43" s="51">
        <v>0</v>
      </c>
      <c r="H43" s="51">
        <v>0</v>
      </c>
      <c r="I43" s="49">
        <f t="shared" si="1"/>
        <v>29.4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maritime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7" t="s">
        <v>45</v>
      </c>
      <c r="D60" s="267"/>
      <c r="E60" s="268" t="s">
        <v>46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17</v>
      </c>
      <c r="B62" s="258">
        <v>126.33076923076922</v>
      </c>
      <c r="C62" s="258">
        <v>1</v>
      </c>
      <c r="D62" s="258">
        <v>42.084615384615383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7.4312217194570129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23</v>
      </c>
      <c r="B63" s="258">
        <v>173.80769230769229</v>
      </c>
      <c r="C63" s="258">
        <v>2</v>
      </c>
      <c r="D63" s="258">
        <v>54.099999999999994</v>
      </c>
      <c r="E63" s="259">
        <v>0</v>
      </c>
      <c r="F63" s="259">
        <v>0.56000000000000005</v>
      </c>
      <c r="G63" s="259">
        <v>0.44</v>
      </c>
      <c r="H63" s="259">
        <v>0</v>
      </c>
      <c r="I63" s="49">
        <f>IF(A63&lt;&gt;0,(B63-(B62-D62))/(A63-A62),"")</f>
        <v>14.926923076923075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29</v>
      </c>
      <c r="B64" s="258">
        <v>210.14615384615385</v>
      </c>
      <c r="C64" s="258">
        <v>3</v>
      </c>
      <c r="D64" s="258">
        <v>47.661538461538463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15.073076923076925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30</v>
      </c>
      <c r="B65" s="258">
        <v>176.66153846153844</v>
      </c>
      <c r="C65" s="258" t="s">
        <v>56</v>
      </c>
      <c r="D65" s="258">
        <v>0</v>
      </c>
      <c r="E65" s="259">
        <v>0</v>
      </c>
      <c r="F65" s="259">
        <v>0</v>
      </c>
      <c r="G65" s="259">
        <v>0</v>
      </c>
      <c r="H65" s="259">
        <v>0</v>
      </c>
      <c r="I65" s="49">
        <f>IF(A65&lt;&gt;0,(B65-(B64-D64))/(A65-A64),"")</f>
        <v>14.17692307692306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36</v>
      </c>
      <c r="B66" s="258">
        <v>262.57692307692309</v>
      </c>
      <c r="C66" s="258">
        <v>4</v>
      </c>
      <c r="D66" s="258">
        <v>64.553846153846152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14.319230769230776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44</v>
      </c>
      <c r="B67" s="258">
        <v>303.15384615384613</v>
      </c>
      <c r="C67" s="258">
        <v>5</v>
      </c>
      <c r="D67" s="258">
        <v>64.476923076923072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13.14134615384615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52</v>
      </c>
      <c r="B68" s="258">
        <v>331.81538461538463</v>
      </c>
      <c r="C68" s="258">
        <v>6</v>
      </c>
      <c r="D68" s="258">
        <v>61.784615384615378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11.642307692307696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60</v>
      </c>
      <c r="B69" s="261">
        <v>353.5</v>
      </c>
      <c r="C69" s="261">
        <v>7</v>
      </c>
      <c r="D69" s="261">
        <v>353.5</v>
      </c>
      <c r="E69" s="260">
        <v>0.7</v>
      </c>
      <c r="F69" s="260">
        <v>0.16800000000000001</v>
      </c>
      <c r="G69" s="260">
        <v>0.13200000000000001</v>
      </c>
      <c r="H69" s="260">
        <v>0</v>
      </c>
      <c r="I69" s="49">
        <f t="shared" si="2"/>
        <v>10.433653846153845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Pin sylvestre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7" t="s">
        <v>45</v>
      </c>
      <c r="D86" s="267"/>
      <c r="E86" s="268" t="s">
        <v>46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22</v>
      </c>
      <c r="B88" s="258">
        <v>135.94615384615386</v>
      </c>
      <c r="C88" s="258">
        <v>1</v>
      </c>
      <c r="D88" s="258">
        <v>57.423076923076927</v>
      </c>
      <c r="E88" s="259">
        <v>0</v>
      </c>
      <c r="F88" s="259">
        <v>0.56000000000000005</v>
      </c>
      <c r="G88" s="259">
        <v>0.44</v>
      </c>
      <c r="H88" s="262">
        <v>0</v>
      </c>
      <c r="I88" s="53">
        <f>IFERROR(B88/A88,"")</f>
        <v>6.1793706293706299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29</v>
      </c>
      <c r="B89" s="258">
        <v>149.85384615384615</v>
      </c>
      <c r="C89" s="258">
        <v>2</v>
      </c>
      <c r="D89" s="258">
        <v>31.753846153846155</v>
      </c>
      <c r="E89" s="259">
        <v>0</v>
      </c>
      <c r="F89" s="259">
        <v>0.56000000000000005</v>
      </c>
      <c r="G89" s="259">
        <v>0.44</v>
      </c>
      <c r="H89" s="262">
        <v>0</v>
      </c>
      <c r="I89" s="53">
        <f t="shared" ref="I89:I107" si="3">IF(A89&lt;&gt;0,(B89-(B88-D88))/(A89-A88),"")</f>
        <v>10.190109890109889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36</v>
      </c>
      <c r="B90" s="258">
        <v>187.88461538461539</v>
      </c>
      <c r="C90" s="258">
        <v>3</v>
      </c>
      <c r="D90" s="258">
        <v>40.184615384615384</v>
      </c>
      <c r="E90" s="262">
        <v>0.7</v>
      </c>
      <c r="F90" s="262">
        <v>0.17</v>
      </c>
      <c r="G90" s="262">
        <v>0.13</v>
      </c>
      <c r="H90" s="262">
        <v>0</v>
      </c>
      <c r="I90" s="53">
        <f t="shared" si="3"/>
        <v>9.9692307692307711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44</v>
      </c>
      <c r="B91" s="258">
        <v>221.70000000000002</v>
      </c>
      <c r="C91" s="258">
        <v>4</v>
      </c>
      <c r="D91" s="258">
        <v>39.492307692307691</v>
      </c>
      <c r="E91" s="262">
        <v>0.7</v>
      </c>
      <c r="F91" s="262">
        <v>0.17</v>
      </c>
      <c r="G91" s="262">
        <v>0.13</v>
      </c>
      <c r="H91" s="262">
        <v>0</v>
      </c>
      <c r="I91" s="53">
        <f t="shared" si="3"/>
        <v>9.2500000000000036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52</v>
      </c>
      <c r="B92" s="258">
        <v>248.96153846153842</v>
      </c>
      <c r="C92" s="258">
        <v>5</v>
      </c>
      <c r="D92" s="258">
        <v>42.030769230769231</v>
      </c>
      <c r="E92" s="262">
        <v>0.7</v>
      </c>
      <c r="F92" s="262">
        <v>0.17</v>
      </c>
      <c r="G92" s="262">
        <v>0.13</v>
      </c>
      <c r="H92" s="262">
        <v>0</v>
      </c>
      <c r="I92" s="53">
        <f t="shared" si="3"/>
        <v>8.3442307692307622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60</v>
      </c>
      <c r="B93" s="258">
        <v>265.82307692307694</v>
      </c>
      <c r="C93" s="258">
        <v>6</v>
      </c>
      <c r="D93" s="258">
        <v>37.138461538461542</v>
      </c>
      <c r="E93" s="263">
        <v>0.7</v>
      </c>
      <c r="F93" s="263">
        <v>0.17</v>
      </c>
      <c r="G93" s="263">
        <v>0.13</v>
      </c>
      <c r="H93" s="263">
        <v>0</v>
      </c>
      <c r="I93" s="53">
        <f t="shared" si="3"/>
        <v>7.3615384615384691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70</v>
      </c>
      <c r="B94" s="258">
        <v>293.3</v>
      </c>
      <c r="C94" s="258">
        <v>7</v>
      </c>
      <c r="D94" s="258">
        <v>44.123076923076923</v>
      </c>
      <c r="E94" s="263">
        <v>0.7</v>
      </c>
      <c r="F94" s="263">
        <v>0.17</v>
      </c>
      <c r="G94" s="263">
        <v>0.13</v>
      </c>
      <c r="H94" s="263">
        <v>0</v>
      </c>
      <c r="I94" s="53">
        <f t="shared" si="3"/>
        <v>6.4615384615384617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80</v>
      </c>
      <c r="B95" s="60">
        <v>304.44615384615383</v>
      </c>
      <c r="C95" s="60">
        <v>8</v>
      </c>
      <c r="D95" s="60">
        <v>34.915384615384617</v>
      </c>
      <c r="E95" s="87">
        <v>0.7</v>
      </c>
      <c r="F95" s="87">
        <v>0.17</v>
      </c>
      <c r="G95" s="87">
        <v>0.13</v>
      </c>
      <c r="H95" s="87">
        <v>0</v>
      </c>
      <c r="I95" s="53">
        <f t="shared" si="3"/>
        <v>5.5269230769230742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90</v>
      </c>
      <c r="B96" s="60">
        <v>317.2076923076923</v>
      </c>
      <c r="C96" s="60">
        <v>9</v>
      </c>
      <c r="D96" s="60">
        <v>35.161538461538463</v>
      </c>
      <c r="E96" s="87">
        <v>0.7</v>
      </c>
      <c r="F96" s="87">
        <v>0.17</v>
      </c>
      <c r="G96" s="87">
        <v>0.13</v>
      </c>
      <c r="H96" s="87">
        <v>0</v>
      </c>
      <c r="I96" s="53">
        <f t="shared" si="3"/>
        <v>4.7676923076923057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100</v>
      </c>
      <c r="B97" s="60">
        <v>323.16923076923075</v>
      </c>
      <c r="C97" s="60">
        <v>10</v>
      </c>
      <c r="D97" s="60">
        <v>190.88461538461539</v>
      </c>
      <c r="E97" s="87">
        <v>0.7</v>
      </c>
      <c r="F97" s="87">
        <v>0.17</v>
      </c>
      <c r="G97" s="87">
        <v>0.13</v>
      </c>
      <c r="H97" s="87">
        <v>0</v>
      </c>
      <c r="I97" s="53">
        <f t="shared" si="3"/>
        <v>4.1123076923076898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103</v>
      </c>
      <c r="B98" s="60">
        <v>138.55384615384617</v>
      </c>
      <c r="C98" s="60">
        <v>11</v>
      </c>
      <c r="D98" s="60">
        <v>138.55384615384617</v>
      </c>
      <c r="E98" s="87">
        <v>0.7</v>
      </c>
      <c r="F98" s="87">
        <v>0.17</v>
      </c>
      <c r="G98" s="87">
        <v>0.13</v>
      </c>
      <c r="H98" s="87">
        <v>0</v>
      </c>
      <c r="I98" s="53">
        <f t="shared" si="3"/>
        <v>2.0897435897436005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Thuya géant</v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7" t="s">
        <v>45</v>
      </c>
      <c r="D112" s="267"/>
      <c r="E112" s="268" t="s">
        <v>46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15</v>
      </c>
      <c r="B114" s="258">
        <v>46</v>
      </c>
      <c r="C114" s="257">
        <v>0</v>
      </c>
      <c r="D114" s="258">
        <v>0</v>
      </c>
      <c r="E114" s="259">
        <v>0</v>
      </c>
      <c r="F114" s="259">
        <v>0</v>
      </c>
      <c r="G114" s="259">
        <v>0</v>
      </c>
      <c r="H114" s="259">
        <v>0</v>
      </c>
      <c r="I114" s="53">
        <f>IFERROR(B114/A114,"")</f>
        <v>3.0666666666666669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20</v>
      </c>
      <c r="B115" s="258">
        <v>134</v>
      </c>
      <c r="C115" s="257">
        <v>1</v>
      </c>
      <c r="D115" s="258">
        <v>5</v>
      </c>
      <c r="E115" s="259">
        <v>0</v>
      </c>
      <c r="F115" s="259">
        <v>0</v>
      </c>
      <c r="G115" s="259">
        <v>0.5</v>
      </c>
      <c r="H115" s="259">
        <v>0.5</v>
      </c>
      <c r="I115" s="53">
        <f t="shared" ref="I115:I133" si="4">IF(A115&lt;&gt;0,(B115-(B114-D114))/(A115-A114),"")</f>
        <v>17.600000000000001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25</v>
      </c>
      <c r="B116" s="258">
        <v>243</v>
      </c>
      <c r="C116" s="257">
        <v>2</v>
      </c>
      <c r="D116" s="258">
        <v>63</v>
      </c>
      <c r="E116" s="259">
        <v>0</v>
      </c>
      <c r="F116" s="259">
        <v>4.7619047619047616E-2</v>
      </c>
      <c r="G116" s="259">
        <v>0.47619047619047616</v>
      </c>
      <c r="H116" s="259">
        <v>0.47619047619047616</v>
      </c>
      <c r="I116" s="53">
        <f t="shared" si="4"/>
        <v>22.8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30</v>
      </c>
      <c r="B117" s="258">
        <v>308</v>
      </c>
      <c r="C117" s="257">
        <v>3</v>
      </c>
      <c r="D117" s="258">
        <v>63</v>
      </c>
      <c r="E117" s="259">
        <v>0</v>
      </c>
      <c r="F117" s="259">
        <v>9.5238095238095233E-2</v>
      </c>
      <c r="G117" s="259">
        <v>0.45238095238095238</v>
      </c>
      <c r="H117" s="259">
        <v>0.45238095238095238</v>
      </c>
      <c r="I117" s="53">
        <f t="shared" si="4"/>
        <v>25.6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35</v>
      </c>
      <c r="B118" s="258">
        <v>376</v>
      </c>
      <c r="C118" s="257">
        <v>4</v>
      </c>
      <c r="D118" s="258">
        <v>63</v>
      </c>
      <c r="E118" s="259">
        <v>1.5873015873015872E-2</v>
      </c>
      <c r="F118" s="259">
        <v>0.20634920634920634</v>
      </c>
      <c r="G118" s="259">
        <v>0.3888888888888889</v>
      </c>
      <c r="H118" s="259">
        <v>0.3888888888888889</v>
      </c>
      <c r="I118" s="53">
        <f t="shared" si="4"/>
        <v>26.2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40</v>
      </c>
      <c r="B119" s="258">
        <v>440</v>
      </c>
      <c r="C119" s="257">
        <v>5</v>
      </c>
      <c r="D119" s="258">
        <v>63</v>
      </c>
      <c r="E119" s="260">
        <v>6.3492063492063489E-2</v>
      </c>
      <c r="F119" s="260">
        <v>0.34920634920634919</v>
      </c>
      <c r="G119" s="260">
        <v>0.29365079365079366</v>
      </c>
      <c r="H119" s="260">
        <v>0.29365079365079366</v>
      </c>
      <c r="I119" s="53">
        <f t="shared" si="4"/>
        <v>25.4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45</v>
      </c>
      <c r="B120" s="258">
        <v>498</v>
      </c>
      <c r="C120" s="258">
        <v>6</v>
      </c>
      <c r="D120" s="258">
        <v>63</v>
      </c>
      <c r="E120" s="263">
        <v>0.15873015873015872</v>
      </c>
      <c r="F120" s="263">
        <v>0.44444444444444442</v>
      </c>
      <c r="G120" s="263">
        <v>0.1984126984126984</v>
      </c>
      <c r="H120" s="263">
        <v>0.1984126984126984</v>
      </c>
      <c r="I120" s="53">
        <f t="shared" si="4"/>
        <v>24.2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50</v>
      </c>
      <c r="B121" s="264">
        <v>549</v>
      </c>
      <c r="C121" s="264">
        <v>7</v>
      </c>
      <c r="D121" s="264">
        <v>63</v>
      </c>
      <c r="E121" s="263">
        <v>0.31746031746031744</v>
      </c>
      <c r="F121" s="263">
        <v>0.41269841269841268</v>
      </c>
      <c r="G121" s="263">
        <v>0.13492063492063491</v>
      </c>
      <c r="H121" s="263">
        <v>0.13492063492063491</v>
      </c>
      <c r="I121" s="53">
        <f t="shared" si="4"/>
        <v>22.8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55</v>
      </c>
      <c r="B122" s="264">
        <v>594</v>
      </c>
      <c r="C122" s="264">
        <v>8</v>
      </c>
      <c r="D122" s="264">
        <v>60</v>
      </c>
      <c r="E122" s="263">
        <v>0.46666666666666667</v>
      </c>
      <c r="F122" s="263">
        <v>0.35</v>
      </c>
      <c r="G122" s="263">
        <v>9.166666666666666E-2</v>
      </c>
      <c r="H122" s="263">
        <v>9.166666666666666E-2</v>
      </c>
      <c r="I122" s="53">
        <f t="shared" si="4"/>
        <v>21.6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634</v>
      </c>
      <c r="C123" s="60">
        <v>9</v>
      </c>
      <c r="D123" s="60">
        <v>53</v>
      </c>
      <c r="E123" s="87">
        <v>0.60377358490566035</v>
      </c>
      <c r="F123" s="87">
        <v>0.26415094339622641</v>
      </c>
      <c r="G123" s="87">
        <v>6.6037735849056603E-2</v>
      </c>
      <c r="H123" s="87">
        <v>6.6037735849056603E-2</v>
      </c>
      <c r="I123" s="53">
        <f t="shared" si="4"/>
        <v>20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674</v>
      </c>
      <c r="C124" s="60">
        <v>10</v>
      </c>
      <c r="D124" s="60">
        <v>48</v>
      </c>
      <c r="E124" s="87">
        <v>0.6875</v>
      </c>
      <c r="F124" s="87">
        <v>0.20833333333333334</v>
      </c>
      <c r="G124" s="87">
        <v>5.2083333333333336E-2</v>
      </c>
      <c r="H124" s="87">
        <v>5.2083333333333336E-2</v>
      </c>
      <c r="I124" s="53">
        <f t="shared" si="4"/>
        <v>18.600000000000001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70</v>
      </c>
      <c r="B125" s="60">
        <v>712</v>
      </c>
      <c r="C125" s="60">
        <v>11</v>
      </c>
      <c r="D125" s="60">
        <v>45</v>
      </c>
      <c r="E125" s="87">
        <v>0.75555555555555554</v>
      </c>
      <c r="F125" s="87">
        <v>0.17777777777777778</v>
      </c>
      <c r="G125" s="87">
        <v>3.3333333333333333E-2</v>
      </c>
      <c r="H125" s="87">
        <v>3.3333333333333333E-2</v>
      </c>
      <c r="I125" s="53">
        <f t="shared" si="4"/>
        <v>17.2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75</v>
      </c>
      <c r="B126" s="60">
        <v>746</v>
      </c>
      <c r="C126" s="60">
        <v>12</v>
      </c>
      <c r="D126" s="60">
        <v>43</v>
      </c>
      <c r="E126" s="65">
        <v>0.81395348837209303</v>
      </c>
      <c r="F126" s="65">
        <v>0.11627906976744186</v>
      </c>
      <c r="G126" s="65">
        <v>3.4883720930232558E-2</v>
      </c>
      <c r="H126" s="65">
        <v>3.4883720930232558E-2</v>
      </c>
      <c r="I126" s="53">
        <f t="shared" si="4"/>
        <v>15.8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80</v>
      </c>
      <c r="B127" s="60">
        <v>776</v>
      </c>
      <c r="C127" s="60">
        <v>13</v>
      </c>
      <c r="D127" s="60">
        <v>41</v>
      </c>
      <c r="E127" s="65">
        <v>0.85365853658536583</v>
      </c>
      <c r="F127" s="65">
        <v>9.7560975609756101E-2</v>
      </c>
      <c r="G127" s="65">
        <v>2.4390243902439025E-2</v>
      </c>
      <c r="H127" s="65">
        <v>2.4390243902439025E-2</v>
      </c>
      <c r="I127" s="53">
        <f t="shared" si="4"/>
        <v>14.6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>Cryptomère du Japon</v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7" t="s">
        <v>45</v>
      </c>
      <c r="D138" s="267"/>
      <c r="E138" s="268" t="s">
        <v>46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10</v>
      </c>
      <c r="B140" s="258">
        <v>63.3</v>
      </c>
      <c r="C140" s="257">
        <v>0</v>
      </c>
      <c r="D140" s="258">
        <v>0</v>
      </c>
      <c r="E140" s="259">
        <v>0</v>
      </c>
      <c r="F140" s="259">
        <v>0.8</v>
      </c>
      <c r="G140" s="259">
        <v>0.2</v>
      </c>
      <c r="H140" s="259">
        <v>0</v>
      </c>
      <c r="I140" s="57">
        <f>IFERROR(B140/A140,"")</f>
        <v>6.33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15</v>
      </c>
      <c r="B141" s="258">
        <v>145.30000000000001</v>
      </c>
      <c r="C141" s="257">
        <v>1</v>
      </c>
      <c r="D141" s="258">
        <v>27.8</v>
      </c>
      <c r="E141" s="259">
        <v>0</v>
      </c>
      <c r="F141" s="259">
        <v>0.8</v>
      </c>
      <c r="G141" s="259">
        <v>0.2</v>
      </c>
      <c r="H141" s="259">
        <v>0</v>
      </c>
      <c r="I141" s="57">
        <f>IF(A141&lt;&gt;0,(B141-(B140-D140))/(A141-A140),"")</f>
        <v>16.400000000000002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20</v>
      </c>
      <c r="B142" s="258">
        <v>210.5</v>
      </c>
      <c r="C142" s="257">
        <v>2</v>
      </c>
      <c r="D142" s="258">
        <v>35.1</v>
      </c>
      <c r="E142" s="259">
        <v>0.3</v>
      </c>
      <c r="F142" s="259">
        <v>0.6</v>
      </c>
      <c r="G142" s="259">
        <v>0.1</v>
      </c>
      <c r="H142" s="259">
        <v>0</v>
      </c>
      <c r="I142" s="57">
        <f>IF(A142&lt;&gt;0,(B142-(B141-D141))/(A142-A141),"")</f>
        <v>18.599999999999998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25</v>
      </c>
      <c r="B143" s="258">
        <v>276.3</v>
      </c>
      <c r="C143" s="257">
        <v>3</v>
      </c>
      <c r="D143" s="258">
        <v>36.5</v>
      </c>
      <c r="E143" s="259">
        <v>0.3</v>
      </c>
      <c r="F143" s="259">
        <v>0.6</v>
      </c>
      <c r="G143" s="259">
        <v>0.1</v>
      </c>
      <c r="H143" s="259">
        <v>0</v>
      </c>
      <c r="I143" s="57">
        <f t="shared" ref="I143:I159" si="5">IF(A143&lt;&gt;0,(B143-(B142-D142))/(A143-A142),"")</f>
        <v>20.18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30</v>
      </c>
      <c r="B144" s="258">
        <v>334.2</v>
      </c>
      <c r="C144" s="257">
        <v>4</v>
      </c>
      <c r="D144" s="258">
        <v>37.6</v>
      </c>
      <c r="E144" s="259">
        <v>0.3</v>
      </c>
      <c r="F144" s="259">
        <v>0.6</v>
      </c>
      <c r="G144" s="259">
        <v>0.1</v>
      </c>
      <c r="H144" s="259">
        <v>0</v>
      </c>
      <c r="I144" s="57">
        <f t="shared" si="5"/>
        <v>18.879999999999995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386.6</v>
      </c>
      <c r="C145" s="50">
        <v>5</v>
      </c>
      <c r="D145" s="60">
        <v>37.200000000000003</v>
      </c>
      <c r="E145" s="51">
        <v>0.5</v>
      </c>
      <c r="F145" s="51">
        <v>0.5</v>
      </c>
      <c r="G145" s="51">
        <v>0</v>
      </c>
      <c r="H145" s="51">
        <v>0</v>
      </c>
      <c r="I145" s="57">
        <f t="shared" si="5"/>
        <v>18.000000000000011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428</v>
      </c>
      <c r="C146" s="50">
        <v>6</v>
      </c>
      <c r="D146" s="60">
        <v>38.1</v>
      </c>
      <c r="E146" s="51">
        <v>0.5</v>
      </c>
      <c r="F146" s="51">
        <v>0.5</v>
      </c>
      <c r="G146" s="51">
        <v>0</v>
      </c>
      <c r="H146" s="51">
        <v>0</v>
      </c>
      <c r="I146" s="57">
        <f t="shared" si="5"/>
        <v>15.719999999999994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472.1</v>
      </c>
      <c r="C147" s="50">
        <v>6</v>
      </c>
      <c r="D147" s="60">
        <v>38</v>
      </c>
      <c r="E147" s="51">
        <v>0.5</v>
      </c>
      <c r="F147" s="51">
        <v>0.5</v>
      </c>
      <c r="G147" s="51">
        <v>0</v>
      </c>
      <c r="H147" s="51">
        <v>0</v>
      </c>
      <c r="I147" s="57">
        <f>IF(A147&lt;&gt;0,(B147-(B146-D146))/(A147-A146),"")</f>
        <v>16.440000000000008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509.6</v>
      </c>
      <c r="C148" s="50">
        <v>7</v>
      </c>
      <c r="D148" s="60">
        <v>509.6</v>
      </c>
      <c r="E148" s="51">
        <v>0.5</v>
      </c>
      <c r="F148" s="51">
        <v>0.5</v>
      </c>
      <c r="G148" s="51">
        <v>0</v>
      </c>
      <c r="H148" s="51">
        <v>0</v>
      </c>
      <c r="I148" s="57">
        <f t="shared" si="5"/>
        <v>15.1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>Chêne rouge d'Amérique</v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7" t="s">
        <v>45</v>
      </c>
      <c r="D164" s="267"/>
      <c r="E164" s="268" t="s">
        <v>46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10</v>
      </c>
      <c r="B166" s="60">
        <v>9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0.9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15</v>
      </c>
      <c r="B167" s="60">
        <v>25</v>
      </c>
      <c r="C167" s="60">
        <v>0</v>
      </c>
      <c r="D167" s="60">
        <v>0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3.2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20</v>
      </c>
      <c r="B168" s="60">
        <v>48</v>
      </c>
      <c r="C168" s="60">
        <v>0</v>
      </c>
      <c r="D168" s="60">
        <v>0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4.5999999999999996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25</v>
      </c>
      <c r="B169" s="60">
        <v>76</v>
      </c>
      <c r="C169" s="60">
        <v>0</v>
      </c>
      <c r="D169" s="60">
        <v>0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5.6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30</v>
      </c>
      <c r="B170" s="60">
        <v>105</v>
      </c>
      <c r="C170" s="60">
        <v>1</v>
      </c>
      <c r="D170" s="60">
        <v>39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5.8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35</v>
      </c>
      <c r="B171" s="60">
        <v>92</v>
      </c>
      <c r="C171" s="60">
        <v>2</v>
      </c>
      <c r="D171" s="60">
        <v>12</v>
      </c>
      <c r="E171" s="51">
        <v>0</v>
      </c>
      <c r="F171" s="51">
        <v>0</v>
      </c>
      <c r="G171" s="51">
        <v>0</v>
      </c>
      <c r="H171" s="51">
        <v>1</v>
      </c>
      <c r="I171" s="49">
        <f t="shared" si="6"/>
        <v>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40</v>
      </c>
      <c r="B172" s="60">
        <v>104</v>
      </c>
      <c r="C172" s="60">
        <v>3</v>
      </c>
      <c r="D172" s="60">
        <v>12</v>
      </c>
      <c r="E172" s="51">
        <v>0</v>
      </c>
      <c r="F172" s="51">
        <v>0</v>
      </c>
      <c r="G172" s="51">
        <v>0</v>
      </c>
      <c r="H172" s="51">
        <v>1</v>
      </c>
      <c r="I172" s="49">
        <f t="shared" si="6"/>
        <v>4.8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45</v>
      </c>
      <c r="B173" s="50">
        <v>115</v>
      </c>
      <c r="C173" s="50">
        <v>4</v>
      </c>
      <c r="D173" s="50">
        <v>12</v>
      </c>
      <c r="E173" s="51">
        <v>0</v>
      </c>
      <c r="F173" s="51">
        <v>0</v>
      </c>
      <c r="G173" s="51">
        <v>0</v>
      </c>
      <c r="H173" s="51">
        <v>1</v>
      </c>
      <c r="I173" s="49">
        <f t="shared" si="6"/>
        <v>4.5999999999999996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50</v>
      </c>
      <c r="B174" s="50">
        <v>124</v>
      </c>
      <c r="C174" s="50">
        <v>5</v>
      </c>
      <c r="D174" s="50">
        <v>11</v>
      </c>
      <c r="E174" s="51">
        <v>0</v>
      </c>
      <c r="F174" s="51">
        <v>0</v>
      </c>
      <c r="G174" s="51">
        <v>0</v>
      </c>
      <c r="H174" s="51">
        <v>1</v>
      </c>
      <c r="I174" s="49">
        <f t="shared" si="6"/>
        <v>4.2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55</v>
      </c>
      <c r="B175" s="50">
        <v>133</v>
      </c>
      <c r="C175" s="50">
        <v>6</v>
      </c>
      <c r="D175" s="50">
        <v>11</v>
      </c>
      <c r="E175" s="51">
        <v>0</v>
      </c>
      <c r="F175" s="51">
        <v>0</v>
      </c>
      <c r="G175" s="51">
        <v>0</v>
      </c>
      <c r="H175" s="51">
        <v>0.5</v>
      </c>
      <c r="I175" s="49">
        <f t="shared" si="6"/>
        <v>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60</v>
      </c>
      <c r="B176" s="50">
        <v>140</v>
      </c>
      <c r="C176" s="50">
        <v>7</v>
      </c>
      <c r="D176" s="50">
        <v>10</v>
      </c>
      <c r="E176" s="51">
        <v>0</v>
      </c>
      <c r="F176" s="51">
        <v>0.5</v>
      </c>
      <c r="G176" s="51">
        <v>0</v>
      </c>
      <c r="H176" s="51">
        <v>0.5</v>
      </c>
      <c r="I176" s="49">
        <f t="shared" si="6"/>
        <v>3.6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65</v>
      </c>
      <c r="B177" s="50">
        <v>145</v>
      </c>
      <c r="C177" s="50">
        <v>8</v>
      </c>
      <c r="D177" s="50">
        <v>9</v>
      </c>
      <c r="E177" s="51">
        <v>0</v>
      </c>
      <c r="F177" s="51">
        <v>0.5</v>
      </c>
      <c r="G177" s="51">
        <v>0</v>
      </c>
      <c r="H177" s="51">
        <v>0.5</v>
      </c>
      <c r="I177" s="49">
        <f t="shared" si="6"/>
        <v>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70</v>
      </c>
      <c r="B178" s="50">
        <v>151</v>
      </c>
      <c r="C178" s="50">
        <v>9</v>
      </c>
      <c r="D178" s="50">
        <v>9</v>
      </c>
      <c r="E178" s="51">
        <v>0</v>
      </c>
      <c r="F178" s="51">
        <v>0.5</v>
      </c>
      <c r="G178" s="51">
        <v>0</v>
      </c>
      <c r="H178" s="51">
        <v>0.5</v>
      </c>
      <c r="I178" s="49">
        <f t="shared" si="6"/>
        <v>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75</v>
      </c>
      <c r="B179" s="50">
        <v>156</v>
      </c>
      <c r="C179" s="50">
        <v>10</v>
      </c>
      <c r="D179" s="50">
        <v>8</v>
      </c>
      <c r="E179" s="51">
        <v>0</v>
      </c>
      <c r="F179" s="51">
        <v>0.5</v>
      </c>
      <c r="G179" s="51">
        <v>0</v>
      </c>
      <c r="H179" s="51">
        <v>0.5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80</v>
      </c>
      <c r="B180" s="50">
        <v>160</v>
      </c>
      <c r="C180" s="50">
        <v>11</v>
      </c>
      <c r="D180" s="50">
        <v>8</v>
      </c>
      <c r="E180" s="51">
        <v>0</v>
      </c>
      <c r="F180" s="51">
        <v>0.5</v>
      </c>
      <c r="G180" s="51">
        <v>0</v>
      </c>
      <c r="H180" s="51">
        <v>0.5</v>
      </c>
      <c r="I180" s="49">
        <f t="shared" si="6"/>
        <v>2.4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85</v>
      </c>
      <c r="B181" s="50">
        <v>165</v>
      </c>
      <c r="C181" s="50">
        <v>12</v>
      </c>
      <c r="D181" s="50">
        <v>8</v>
      </c>
      <c r="E181" s="51">
        <v>0.4</v>
      </c>
      <c r="F181" s="51">
        <v>0.4</v>
      </c>
      <c r="G181" s="51">
        <v>0</v>
      </c>
      <c r="H181" s="51">
        <v>0.2</v>
      </c>
      <c r="I181" s="49">
        <f t="shared" si="6"/>
        <v>2.6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90</v>
      </c>
      <c r="B182" s="50">
        <v>169</v>
      </c>
      <c r="C182" s="50">
        <v>13</v>
      </c>
      <c r="D182" s="50">
        <v>8</v>
      </c>
      <c r="E182" s="51">
        <v>0.4</v>
      </c>
      <c r="F182" s="51">
        <v>0.4</v>
      </c>
      <c r="G182" s="51">
        <v>0</v>
      </c>
      <c r="H182" s="51">
        <v>0.2</v>
      </c>
      <c r="I182" s="49">
        <f t="shared" si="6"/>
        <v>2.4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95</v>
      </c>
      <c r="B183" s="50">
        <v>174</v>
      </c>
      <c r="C183" s="50">
        <v>14</v>
      </c>
      <c r="D183" s="50">
        <v>9</v>
      </c>
      <c r="E183" s="51">
        <v>0.4</v>
      </c>
      <c r="F183" s="51">
        <v>0.4</v>
      </c>
      <c r="G183" s="51">
        <v>0</v>
      </c>
      <c r="H183" s="51">
        <v>0.2</v>
      </c>
      <c r="I183" s="49">
        <f t="shared" si="6"/>
        <v>2.6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100</v>
      </c>
      <c r="B184" s="50">
        <v>177</v>
      </c>
      <c r="C184" s="50">
        <v>15</v>
      </c>
      <c r="D184" s="50">
        <v>9</v>
      </c>
      <c r="E184" s="51">
        <v>0.4</v>
      </c>
      <c r="F184" s="51">
        <v>0.4</v>
      </c>
      <c r="G184" s="51">
        <v>0</v>
      </c>
      <c r="H184" s="51">
        <v>0.2</v>
      </c>
      <c r="I184" s="49">
        <f t="shared" si="6"/>
        <v>2.4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7" t="s">
        <v>45</v>
      </c>
      <c r="D190" s="267"/>
      <c r="E190" s="268" t="s">
        <v>46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7" t="s">
        <v>45</v>
      </c>
      <c r="D216" s="267"/>
      <c r="E216" s="268" t="s">
        <v>46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7" t="s">
        <v>45</v>
      </c>
      <c r="D242" s="267"/>
      <c r="E242" s="268" t="s">
        <v>46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7" t="s">
        <v>45</v>
      </c>
      <c r="D268" s="267"/>
      <c r="E268" s="268" t="s">
        <v>46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58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63</v>
      </c>
      <c r="D8" s="23"/>
      <c r="E8" s="105">
        <v>4</v>
      </c>
      <c r="F8" s="61">
        <v>1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Epicéa de Sitka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maritime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Pin sylvestre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Thuya géant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Cryptomère du Japon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Chêne rouge d'Amérique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51</v>
      </c>
      <c r="X2" s="7" t="s">
        <v>52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51</v>
      </c>
      <c r="AS2" s="7" t="s">
        <v>52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51</v>
      </c>
      <c r="BN2" s="7" t="s">
        <v>52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51</v>
      </c>
      <c r="CI2" s="7" t="s">
        <v>52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51</v>
      </c>
      <c r="DD2" s="7" t="s">
        <v>52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51</v>
      </c>
      <c r="DY2" s="7" t="s">
        <v>52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51</v>
      </c>
      <c r="ET2" s="7" t="s">
        <v>52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51</v>
      </c>
      <c r="FO2" s="7" t="s">
        <v>52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51</v>
      </c>
      <c r="GJ2" s="7" t="s">
        <v>52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51</v>
      </c>
      <c r="HE2" s="7" t="s">
        <v>52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294.94285920643927</v>
      </c>
      <c r="T3" s="59">
        <f>IF('Données projet'!E9&gt;30,$R$33-$H$33,LOOKUP('Données projet'!$E$9,$A$3:$A$203,R3:R203)-LOOKUP('Données projet'!$E$9,$A$3:$A$203,$H$3:$H$203))</f>
        <v>399.89535338426606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200.14675249215634</v>
      </c>
      <c r="AO3" s="59">
        <f>IF('Données projet'!E10&gt;30,$AM$33-$H$33,LOOKUP('Données projet'!$E$10,$A$3:$A$203,AM3:AM203)-LOOKUP('Données projet'!$E$10,$A$3:$A$203,$H$3:$H$203))</f>
        <v>200.55017434999968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182.46132340647313</v>
      </c>
      <c r="BJ3" s="59">
        <f>IF('Données projet'!E11&gt;30,$BH$33-$H$33,LOOKUP('Données projet'!$E$11,$A$3:$A$203,BH3:BH203)-LOOKUP('Données projet'!$E$11,$A$3:$A$203,$H$3:$H$203))</f>
        <v>130.51706975490481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291.0962681460345</v>
      </c>
      <c r="CE3" s="59">
        <f>IF('Données projet'!E12&gt;30,$CC$33-$H$33,LOOKUP('Données projet'!$E$12,$A$3:$A$203,CC3:CC203)-LOOKUP('Données projet'!$E$12,$A$3:$A$203,$H$3:$H$203))</f>
        <v>240.28311826371385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225.92546546283018</v>
      </c>
      <c r="CZ3" s="59">
        <f>IF('Données projet'!E13&gt;30,$CX$33-$H$33,LOOKUP('Données projet'!$E$13,$A$3:$A$203,CX3:CX203)-LOOKUP('Données projet'!$E$13,$A$3:$A$203,$H$3:$H$203))</f>
        <v>309.38786160614563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150.06600397498823</v>
      </c>
      <c r="DU3" s="59">
        <f>IF('Données projet'!E14&gt;30,$DS$33-$H$33,LOOKUP('Données projet'!$E$14,$A$3:$A$203,DS3:DS203)-LOOKUP('Données projet'!$E$14,$A$3:$A$203,$H$3:$H$203))</f>
        <v>170.53034305929714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</v>
      </c>
      <c r="N4" s="13">
        <f>IF('Données projet'!$A$36&gt;35,N3+M4-V3,IF(A4&lt;'Données projet'!$A$36,$K$205^A4,IF(A4='Données projet'!$A$36,'Données projet'!$B$36,N3+M4-V3)))</f>
        <v>1.3179806292130023</v>
      </c>
      <c r="O4" s="13">
        <f>N4*VLOOKUP('Données projet'!$B$9,Paramètres!$A$1:$I$89,3,0)*VLOOKUP('Données projet'!$B$9,Paramètres!$A$1:$I$89,5,0)</f>
        <v>0.61681493447168512</v>
      </c>
      <c r="P4" s="13">
        <f>EXP(-1.0587+0.8836*LN(O4)+0.284)</f>
        <v>0.30069964626072099</v>
      </c>
      <c r="Q4" s="20">
        <f t="shared" ref="Q4:Q34" si="2">(O4+P4)*0.475*44/12</f>
        <v>1.5980045614422742</v>
      </c>
      <c r="R4" s="59">
        <f t="shared" si="0"/>
        <v>294.9313378947756</v>
      </c>
      <c r="S4" s="59">
        <f ca="1">AVERAGE(OFFSET($R$3,0,0,'Données projet'!$E$9+1,1))-AVERAGE(OFFSET($H$3,0,0,'Données projet'!$E$9+1,1))</f>
        <v>294.94285920643927</v>
      </c>
      <c r="T4" s="59">
        <f>$T$3</f>
        <v>399.89535338426606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7.4312217194570129</v>
      </c>
      <c r="AI4" s="13">
        <f>IF('Données projet'!$A$62&gt;35,AI3+AH4-AQ3,IF(A4&lt;'Données projet'!$A$62,$AF$205^A4,IF(A4='Données projet'!$A$62,'Données projet'!$B$62,AI3+AH4-AQ3)))</f>
        <v>1.3292852468636394</v>
      </c>
      <c r="AJ4" s="13">
        <f>AI4*VLOOKUP('Données projet'!$B$10,Paramètres!$A$1:$I$89,3,0)*VLOOKUP('Données projet'!$B$10,Paramètres!$A$1:$I$89,5,0)</f>
        <v>0.79491257762445644</v>
      </c>
      <c r="AK4" s="13">
        <f>EXP(-1.0587+0.8836*LN(AJ4)+0.284)</f>
        <v>0.37624805113513943</v>
      </c>
      <c r="AL4" s="20">
        <f t="shared" ref="AL4:AL67" si="4">(AJ4+AK4)*0.475*44/12</f>
        <v>2.0397714284229629</v>
      </c>
      <c r="AM4" s="59">
        <f t="shared" ref="AM4:AM67" si="5">AL4+(AD4+AE4)*44/12</f>
        <v>295.37310476175628</v>
      </c>
      <c r="AN4" s="59">
        <f ca="1">AVERAGE(OFFSET($AM$3,0,0,'Données projet'!$E$10+1,1))-AVERAGE(OFFSET($H$3,0,0,'Données projet'!$E$10+1,1))</f>
        <v>200.14675249215634</v>
      </c>
      <c r="AO4" s="59">
        <f>$AO$3</f>
        <v>200.55017434999968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6.1793706293706299</v>
      </c>
      <c r="BD4" s="12">
        <f>IF('Données projet'!$A$88&gt;35,BD3+BC4-BL3,IF(A4&lt;'Données projet'!$A$88,$BA$205^A4,IF(A4='Données projet'!$A$88,'Données projet'!$B$88,BD3+BC4-BL3)))</f>
        <v>1.2501761914401572</v>
      </c>
      <c r="BE4" s="13">
        <f>BD4*VLOOKUP('Données projet'!$B$11,Paramètres!$A$1:$I$89,3,0)*VLOOKUP('Données projet'!$B$11,Paramètres!$A$1:$I$89,5,0)</f>
        <v>0.71510078150376999</v>
      </c>
      <c r="BF4" s="13">
        <f>EXP(-1.0587+0.8836*LN(BE4)+0.284)</f>
        <v>0.34266596395379439</v>
      </c>
      <c r="BG4" s="20">
        <f t="shared" ref="BG4:BG67" si="7">(BE4+BF4)*0.475*44/12</f>
        <v>1.8422770816719243</v>
      </c>
      <c r="BH4" s="59">
        <f t="shared" ref="BH4:BH67" si="8">BG4+(AY4+AZ4)*44/12</f>
        <v>295.17561041500522</v>
      </c>
      <c r="BI4" s="59">
        <f ca="1">AVERAGE(OFFSET($BH$3,0,0,'Données projet'!$E$11+1,1))-AVERAGE(OFFSET($H$3,0,0,'Données projet'!$E$11+1,1))</f>
        <v>182.46132340647313</v>
      </c>
      <c r="BJ4" s="59">
        <f>$BJ$3</f>
        <v>130.51706975490481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3.0666666666666669</v>
      </c>
      <c r="BY4" s="12">
        <f>IF('Données projet'!$A$114&gt;35,BY3+BX4-CG3,IF(A4&lt;'Données projet'!$A$114,$BV$205^A4,IF(A4='Données projet'!$A$114,'Données projet'!$B$114,BY3+BX4-CG3)))</f>
        <v>1.2907749310619425</v>
      </c>
      <c r="BZ4" s="13">
        <f>BY4*VLOOKUP('Données projet'!$B$12,Paramètres!$A$1:$I$89,3,0)*VLOOKUP('Données projet'!$B$12,Paramètres!$A$1:$I$89,5,0)</f>
        <v>0.52018229721796283</v>
      </c>
      <c r="CA4" s="13">
        <f>EXP(-1.0587+0.8836*LN(BZ4)+0.284)</f>
        <v>0.25867063247706096</v>
      </c>
      <c r="CB4" s="20">
        <f t="shared" ref="CB4:CB67" si="10">(BZ4+CA4)*0.475*44/12</f>
        <v>1.3565021858854998</v>
      </c>
      <c r="CC4" s="59">
        <f t="shared" ref="CC4:CC67" si="11">CB4+(BT4+BU4)*44/12</f>
        <v>294.68983551921883</v>
      </c>
      <c r="CD4" s="59">
        <f ca="1">AVERAGE(OFFSET($CC$3,0,0,'Données projet'!$E$12+1,1))-AVERAGE(OFFSET($H$3,0,0,'Données projet'!$E$12+1,1))</f>
        <v>291.0962681460345</v>
      </c>
      <c r="CE4" s="59">
        <f>$CE$3</f>
        <v>240.28311826371385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6.33</v>
      </c>
      <c r="CT4" s="12">
        <f>IF('Données projet'!$A$140&gt;35,CT3+CS4-DB3,IF(A4&lt;'Données projet'!$A$140,$CQ$205^A4,IF(A4='Données projet'!$A$140,'Données projet'!$B$140,CT3+CS4-DB3)))</f>
        <v>1.5140505349836018</v>
      </c>
      <c r="CU4" s="17">
        <f>CT4*VLOOKUP('Données projet'!$B$13,Paramètres!$A$1:$I$89,3,0)*VLOOKUP('Données projet'!$B$13,Paramètres!$A$1:$I$89,5,0)</f>
        <v>0.70857565037232562</v>
      </c>
      <c r="CV4" s="13">
        <f>EXP(-1.0587+0.8836*LN(CU4)+0.284)</f>
        <v>0.33990169669257803</v>
      </c>
      <c r="CW4" s="20">
        <f t="shared" ref="CW4:CW67" si="13">(CU4+CV4)*0.475*44/12</f>
        <v>1.8260980461380403</v>
      </c>
      <c r="CX4" s="59">
        <f t="shared" ref="CX4:CX67" si="14">CW4+(CO4+CP4)*44/12</f>
        <v>295.15943137947136</v>
      </c>
      <c r="CY4" s="59">
        <f ca="1">AVERAGE(OFFSET($CX$3,0,0,'Données projet'!$E$13+1,1))-AVERAGE(OFFSET($H$3,0,0,'Données projet'!$E$13+1,1))</f>
        <v>225.92546546283018</v>
      </c>
      <c r="CZ4" s="59">
        <f>$CZ$3</f>
        <v>309.38786160614563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0.9</v>
      </c>
      <c r="DO4" s="12">
        <f>IF('Données projet'!$A$166&gt;35,DO3+DN4-DW3,IF(A4&lt;'Données projet'!$A$166,$DL$205^A4,IF(A4='Données projet'!$A$166,'Données projet'!$B$166,DO3+DN4-DW3)))</f>
        <v>1.2457309396155174</v>
      </c>
      <c r="DP4" s="17">
        <f>DO4*VLOOKUP('Données projet'!$B$14,Paramètres!$A$1:$I$89,3,0)*VLOOKUP('Données projet'!$B$14,Paramètres!$A$1:$I$89,5,0)</f>
        <v>1.0882705488481161</v>
      </c>
      <c r="DQ4" s="13">
        <f>EXP(-1.0587+0.8836*LN(DP4)+0.284)</f>
        <v>0.4966069220675523</v>
      </c>
      <c r="DR4" s="20">
        <f t="shared" ref="DR4:DR67" si="16">(DP4+DQ4)*0.475*44/12</f>
        <v>2.7603282618447889</v>
      </c>
      <c r="DS4" s="59">
        <f t="shared" ref="DS4:DS67" si="17">DR4+(DJ4+DK4)*44/12</f>
        <v>296.09366159517811</v>
      </c>
      <c r="DT4" s="59">
        <f ca="1">AVERAGE(OFFSET($DS$3,0,0,'Données projet'!$E$14+1,1))-AVERAGE(OFFSET($H$3,0,0,'Données projet'!$E$14+1,1))</f>
        <v>150.06600397498823</v>
      </c>
      <c r="DU4" s="59">
        <f>$DU$3</f>
        <v>170.53034305929714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</v>
      </c>
      <c r="N5" s="13">
        <f>IF('Données projet'!$A$36&gt;35,N4+M5-V4,IF(A5&lt;'Données projet'!$A$36,$K$205^A5,IF(A5='Données projet'!$A$36,'Données projet'!$B$36,N4+M5-V4)))</f>
        <v>1.7370729389807014</v>
      </c>
      <c r="O5" s="13">
        <f>N5*VLOOKUP('Données projet'!$B$9,Paramètres!$A$1:$I$89,3,0)*VLOOKUP('Données projet'!$B$9,Paramètres!$A$1:$I$89,5,0)</f>
        <v>0.81295013544296824</v>
      </c>
      <c r="P5" s="13">
        <f t="shared" ref="P5:P68" si="33">EXP(-1.0587+0.8836*LN(O5)+0.284)</f>
        <v>0.38378193990825132</v>
      </c>
      <c r="Q5" s="20">
        <f t="shared" si="2"/>
        <v>2.0843083645700404</v>
      </c>
      <c r="R5" s="59">
        <f t="shared" si="0"/>
        <v>295.41764169790338</v>
      </c>
      <c r="S5" s="59">
        <f ca="1">AVERAGE(OFFSET($R$3,0,0,'Données projet'!$E$9+1,1))-AVERAGE(OFFSET($H$3,0,0,'Données projet'!$E$9+1,1))</f>
        <v>294.94285920643927</v>
      </c>
      <c r="T5" s="59">
        <f t="shared" ref="T5:T68" si="34">$T$3</f>
        <v>399.89535338426606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7.4312217194570129</v>
      </c>
      <c r="AI5" s="13">
        <f>IF('Données projet'!$A$62&gt;35,AI4+AH5-AQ4,IF(A5&lt;'Données projet'!$A$62,$AF$205^A5,IF(A5='Données projet'!$A$62,'Données projet'!$B$62,AI4+AH5-AQ4)))</f>
        <v>1.7669992675293267</v>
      </c>
      <c r="AJ5" s="13">
        <f>AI5*VLOOKUP('Données projet'!$B$10,Paramètres!$A$1:$I$89,3,0)*VLOOKUP('Données projet'!$B$10,Paramètres!$A$1:$I$89,5,0)</f>
        <v>1.0566655619825374</v>
      </c>
      <c r="AK5" s="13">
        <f t="shared" ref="AK5:AK68" si="35">EXP(-1.0587+0.8836*LN(AJ5)+0.284)</f>
        <v>0.48384169076702271</v>
      </c>
      <c r="AL5" s="20">
        <f t="shared" si="4"/>
        <v>2.6830501318721502</v>
      </c>
      <c r="AM5" s="59">
        <f t="shared" si="5"/>
        <v>296.01638346520548</v>
      </c>
      <c r="AN5" s="59">
        <f ca="1">AVERAGE(OFFSET($AM$3,0,0,'Données projet'!$E$10+1,1))-AVERAGE(OFFSET($H$3,0,0,'Données projet'!$E$10+1,1))</f>
        <v>200.14675249215634</v>
      </c>
      <c r="AO5" s="59">
        <f t="shared" ref="AO5:AO68" si="36">$AO$3</f>
        <v>200.55017434999968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6.1793706293706299</v>
      </c>
      <c r="BD5" s="12">
        <f>IF('Données projet'!$A$88&gt;35,BD4+BC5-BL4,IF(A5&lt;'Données projet'!$A$88,$BA$205^A5,IF(A5='Données projet'!$A$88,'Données projet'!$B$88,BD4+BC5-BL4)))</f>
        <v>1.5629405096438167</v>
      </c>
      <c r="BE5" s="13">
        <f>BD5*VLOOKUP('Données projet'!$B$11,Paramètres!$A$1:$I$89,3,0)*VLOOKUP('Données projet'!$B$11,Paramètres!$A$1:$I$89,5,0)</f>
        <v>0.89400197151626326</v>
      </c>
      <c r="BF5" s="13">
        <f t="shared" ref="BF5:BF68" si="37">EXP(-1.0587+0.8836*LN(BE5)+0.284)</f>
        <v>0.41740220861658023</v>
      </c>
      <c r="BG5" s="20">
        <f t="shared" si="7"/>
        <v>2.2840289470647019</v>
      </c>
      <c r="BH5" s="59">
        <f t="shared" si="8"/>
        <v>295.61736228039803</v>
      </c>
      <c r="BI5" s="59">
        <f ca="1">AVERAGE(OFFSET($BH$3,0,0,'Données projet'!$E$11+1,1))-AVERAGE(OFFSET($H$3,0,0,'Données projet'!$E$11+1,1))</f>
        <v>182.46132340647313</v>
      </c>
      <c r="BJ5" s="59">
        <f t="shared" ref="BJ5:BJ68" si="38">$BJ$3</f>
        <v>130.51706975490481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3.0666666666666669</v>
      </c>
      <c r="BY5" s="12">
        <f>IF('Données projet'!$A$114&gt;35,BY4+BX5-CG4,IF(A5&lt;'Données projet'!$A$114,$BV$205^A5,IF(A5='Données projet'!$A$114,'Données projet'!$B$114,BY4+BX5-CG4)))</f>
        <v>1.6660999226579625</v>
      </c>
      <c r="BZ5" s="13">
        <f>BY5*VLOOKUP('Données projet'!$B$12,Paramètres!$A$1:$I$89,3,0)*VLOOKUP('Données projet'!$B$12,Paramètres!$A$1:$I$89,5,0)</f>
        <v>0.67143826883115887</v>
      </c>
      <c r="CA5" s="13">
        <f t="shared" ref="CA5:CA68" si="39">EXP(-1.0587+0.8836*LN(BZ5)+0.284)</f>
        <v>0.32411165339368714</v>
      </c>
      <c r="CB5" s="20">
        <f t="shared" si="10"/>
        <v>1.7339161145416069</v>
      </c>
      <c r="CC5" s="59">
        <f t="shared" si="11"/>
        <v>295.06724944787493</v>
      </c>
      <c r="CD5" s="59">
        <f ca="1">AVERAGE(OFFSET($CC$3,0,0,'Données projet'!$E$12+1,1))-AVERAGE(OFFSET($H$3,0,0,'Données projet'!$E$12+1,1))</f>
        <v>291.0962681460345</v>
      </c>
      <c r="CE5" s="59">
        <f t="shared" ref="CE5:CE68" si="40">$CE$3</f>
        <v>240.28311826371385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6.33</v>
      </c>
      <c r="CT5" s="12">
        <f>IF('Données projet'!$A$140&gt;35,CT4+CS5-DB4,IF(A5&lt;'Données projet'!$A$140,$CQ$205^A5,IF(A5='Données projet'!$A$140,'Données projet'!$B$140,CT4+CS5-DB4)))</f>
        <v>2.2923490224841307</v>
      </c>
      <c r="CU5" s="17">
        <f>CT5*VLOOKUP('Données projet'!$B$13,Paramètres!$A$1:$I$89,3,0)*VLOOKUP('Données projet'!$B$13,Paramètres!$A$1:$I$89,5,0)</f>
        <v>1.0728193425225732</v>
      </c>
      <c r="CV5" s="13">
        <f t="shared" ref="CV5:CV68" si="41">EXP(-1.0587+0.8836*LN(CU5)+0.284)</f>
        <v>0.49037166133439303</v>
      </c>
      <c r="CW5" s="20">
        <f t="shared" si="13"/>
        <v>2.722557665050882</v>
      </c>
      <c r="CX5" s="59">
        <f t="shared" si="14"/>
        <v>296.0558909983842</v>
      </c>
      <c r="CY5" s="59">
        <f ca="1">AVERAGE(OFFSET($CX$3,0,0,'Données projet'!$E$13+1,1))-AVERAGE(OFFSET($H$3,0,0,'Données projet'!$E$13+1,1))</f>
        <v>225.92546546283018</v>
      </c>
      <c r="CZ5" s="59">
        <f t="shared" ref="CZ5:CZ68" si="42">$CZ$3</f>
        <v>309.38786160614563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0.9</v>
      </c>
      <c r="DO5" s="12">
        <f>IF('Données projet'!$A$166&gt;35,DO4+DN5-DW4,IF(A5&lt;'Données projet'!$A$166,$DL$205^A5,IF(A5='Données projet'!$A$166,'Données projet'!$B$166,DO4+DN5-DW4)))</f>
        <v>1.5518455739153598</v>
      </c>
      <c r="DP5" s="17">
        <f>DO5*VLOOKUP('Données projet'!$B$14,Paramètres!$A$1:$I$89,3,0)*VLOOKUP('Données projet'!$B$14,Paramètres!$A$1:$I$89,5,0)</f>
        <v>1.3556922933724584</v>
      </c>
      <c r="DQ5" s="13">
        <f t="shared" ref="DQ5:DQ68" si="43">EXP(-1.0587+0.8836*LN(DP5)+0.284)</f>
        <v>0.6030171126730397</v>
      </c>
      <c r="DR5" s="20">
        <f t="shared" si="16"/>
        <v>3.4114188821959091</v>
      </c>
      <c r="DS5" s="59">
        <f t="shared" si="17"/>
        <v>296.74475221552922</v>
      </c>
      <c r="DT5" s="59">
        <f ca="1">AVERAGE(OFFSET($DS$3,0,0,'Données projet'!$E$14+1,1))-AVERAGE(OFFSET($H$3,0,0,'Données projet'!$E$14+1,1))</f>
        <v>150.06600397498823</v>
      </c>
      <c r="DU5" s="59">
        <f t="shared" ref="DU5:DU68" si="44">$DU$3</f>
        <v>170.53034305929714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</v>
      </c>
      <c r="N6" s="13">
        <f>IF('Données projet'!$A$36&gt;35,N5+M6-V5,IF(A6&lt;'Données projet'!$A$36,$K$205^A6,IF(A6='Données projet'!$A$36,'Données projet'!$B$36,N5+M6-V5)))</f>
        <v>2.2894284851066637</v>
      </c>
      <c r="O6" s="13">
        <f>N6*VLOOKUP('Données projet'!$B$9,Paramètres!$A$1:$I$89,3,0)*VLOOKUP('Données projet'!$B$9,Paramètres!$A$1:$I$89,5,0)</f>
        <v>1.0714525310299186</v>
      </c>
      <c r="P6" s="13">
        <f t="shared" si="33"/>
        <v>0.48981958985091184</v>
      </c>
      <c r="Q6" s="20">
        <f t="shared" si="2"/>
        <v>2.7192156105341128</v>
      </c>
      <c r="R6" s="59">
        <f t="shared" si="0"/>
        <v>296.05254894386741</v>
      </c>
      <c r="S6" s="59">
        <f ca="1">AVERAGE(OFFSET($R$3,0,0,'Données projet'!$E$9+1,1))-AVERAGE(OFFSET($H$3,0,0,'Données projet'!$E$9+1,1))</f>
        <v>294.94285920643927</v>
      </c>
      <c r="T6" s="59">
        <f t="shared" si="34"/>
        <v>399.89535338426606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7.4312217194570129</v>
      </c>
      <c r="AI6" s="13">
        <f>IF('Données projet'!$A$62&gt;35,AI5+AH6-AQ5,IF(A6&lt;'Données projet'!$A$62,$AF$205^A6,IF(A6='Données projet'!$A$62,'Données projet'!$B$62,AI5+AH6-AQ5)))</f>
        <v>2.3488460575455909</v>
      </c>
      <c r="AJ6" s="13">
        <f>AI6*VLOOKUP('Données projet'!$B$10,Paramètres!$A$1:$I$89,3,0)*VLOOKUP('Données projet'!$B$10,Paramètres!$A$1:$I$89,5,0)</f>
        <v>1.4046099424122636</v>
      </c>
      <c r="AK6" s="13">
        <f t="shared" si="35"/>
        <v>0.62220330714804695</v>
      </c>
      <c r="AL6" s="20">
        <f t="shared" si="4"/>
        <v>3.5300330763175403</v>
      </c>
      <c r="AM6" s="59">
        <f t="shared" si="5"/>
        <v>296.86336640965084</v>
      </c>
      <c r="AN6" s="59">
        <f ca="1">AVERAGE(OFFSET($AM$3,0,0,'Données projet'!$E$10+1,1))-AVERAGE(OFFSET($H$3,0,0,'Données projet'!$E$10+1,1))</f>
        <v>200.14675249215634</v>
      </c>
      <c r="AO6" s="59">
        <f t="shared" si="36"/>
        <v>200.55017434999968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6.1793706293706299</v>
      </c>
      <c r="BD6" s="12">
        <f>IF('Données projet'!$A$88&gt;35,BD5+BC6-BL5,IF(A6&lt;'Données projet'!$A$88,$BA$205^A6,IF(A6='Données projet'!$A$88,'Données projet'!$B$88,BD5+BC6-BL5)))</f>
        <v>1.953951013794045</v>
      </c>
      <c r="BE6" s="13">
        <f>BD6*VLOOKUP('Données projet'!$B$11,Paramètres!$A$1:$I$89,3,0)*VLOOKUP('Données projet'!$B$11,Paramètres!$A$1:$I$89,5,0)</f>
        <v>1.1176599798901938</v>
      </c>
      <c r="BF6" s="13">
        <f t="shared" si="37"/>
        <v>0.5084386022695031</v>
      </c>
      <c r="BG6" s="20">
        <f t="shared" si="7"/>
        <v>2.8321216972614724</v>
      </c>
      <c r="BH6" s="59">
        <f t="shared" si="8"/>
        <v>296.16545503059479</v>
      </c>
      <c r="BI6" s="59">
        <f ca="1">AVERAGE(OFFSET($BH$3,0,0,'Données projet'!$E$11+1,1))-AVERAGE(OFFSET($H$3,0,0,'Données projet'!$E$11+1,1))</f>
        <v>182.46132340647313</v>
      </c>
      <c r="BJ6" s="59">
        <f t="shared" si="38"/>
        <v>130.51706975490481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3.0666666666666669</v>
      </c>
      <c r="BY6" s="12">
        <f>IF('Données projet'!$A$114&gt;35,BY5+BX6-CG5,IF(A6&lt;'Données projet'!$A$114,$BV$205^A6,IF(A6='Données projet'!$A$114,'Données projet'!$B$114,BY5+BX6-CG5)))</f>
        <v>2.1505600128111393</v>
      </c>
      <c r="BZ6" s="13">
        <f>BY6*VLOOKUP('Données projet'!$B$12,Paramètres!$A$1:$I$89,3,0)*VLOOKUP('Données projet'!$B$12,Paramètres!$A$1:$I$89,5,0)</f>
        <v>0.86667568516288906</v>
      </c>
      <c r="CA6" s="13">
        <f t="shared" si="39"/>
        <v>0.40610858240703196</v>
      </c>
      <c r="CB6" s="20">
        <f t="shared" si="10"/>
        <v>2.2167659326842788</v>
      </c>
      <c r="CC6" s="59">
        <f t="shared" si="11"/>
        <v>295.55009926601758</v>
      </c>
      <c r="CD6" s="59">
        <f ca="1">AVERAGE(OFFSET($CC$3,0,0,'Données projet'!$E$12+1,1))-AVERAGE(OFFSET($H$3,0,0,'Données projet'!$E$12+1,1))</f>
        <v>291.0962681460345</v>
      </c>
      <c r="CE6" s="59">
        <f t="shared" si="40"/>
        <v>240.28311826371385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6.33</v>
      </c>
      <c r="CT6" s="12">
        <f>IF('Données projet'!$A$140&gt;35,CT5+CS6-DB5,IF(A6&lt;'Données projet'!$A$140,$CQ$205^A6,IF(A6='Données projet'!$A$140,'Données projet'!$B$140,CT5+CS6-DB5)))</f>
        <v>3.4707322638612346</v>
      </c>
      <c r="CU6" s="17">
        <f>CT6*VLOOKUP('Données projet'!$B$13,Paramètres!$A$1:$I$89,3,0)*VLOOKUP('Données projet'!$B$13,Paramètres!$A$1:$I$89,5,0)</f>
        <v>1.6243026994870577</v>
      </c>
      <c r="CV6" s="13">
        <f t="shared" si="41"/>
        <v>0.70745267993569072</v>
      </c>
      <c r="CW6" s="20">
        <f t="shared" si="13"/>
        <v>4.0611406191612867</v>
      </c>
      <c r="CX6" s="59">
        <f t="shared" si="14"/>
        <v>297.39447395249459</v>
      </c>
      <c r="CY6" s="59">
        <f ca="1">AVERAGE(OFFSET($CX$3,0,0,'Données projet'!$E$13+1,1))-AVERAGE(OFFSET($H$3,0,0,'Données projet'!$E$13+1,1))</f>
        <v>225.92546546283018</v>
      </c>
      <c r="CZ6" s="59">
        <f t="shared" si="42"/>
        <v>309.38786160614563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0.9</v>
      </c>
      <c r="DO6" s="12">
        <f>IF('Données projet'!$A$166&gt;35,DO5+DN6-DW5,IF(A6&lt;'Données projet'!$A$166,$DL$205^A6,IF(A6='Données projet'!$A$166,'Données projet'!$B$166,DO5+DN6-DW5)))</f>
        <v>1.9331820449317632</v>
      </c>
      <c r="DP6" s="17">
        <f>DO6*VLOOKUP('Données projet'!$B$14,Paramètres!$A$1:$I$89,3,0)*VLOOKUP('Données projet'!$B$14,Paramètres!$A$1:$I$89,5,0)</f>
        <v>1.6888278344523886</v>
      </c>
      <c r="DQ6" s="13">
        <f t="shared" si="43"/>
        <v>0.73222829166901104</v>
      </c>
      <c r="DR6" s="20">
        <f t="shared" si="16"/>
        <v>4.2166727529947705</v>
      </c>
      <c r="DS6" s="59">
        <f t="shared" si="17"/>
        <v>297.5500060863281</v>
      </c>
      <c r="DT6" s="59">
        <f ca="1">AVERAGE(OFFSET($DS$3,0,0,'Données projet'!$E$14+1,1))-AVERAGE(OFFSET($H$3,0,0,'Données projet'!$E$14+1,1))</f>
        <v>150.06600397498823</v>
      </c>
      <c r="DU6" s="59">
        <f t="shared" si="44"/>
        <v>170.53034305929714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</v>
      </c>
      <c r="N7" s="13">
        <f>IF('Données projet'!$A$36&gt;35,N6+M7-V6,IF(A7&lt;'Données projet'!$A$36,$K$205^A7,IF(A7='Données projet'!$A$36,'Données projet'!$B$36,N6+M7-V6)))</f>
        <v>3.0174223953390515</v>
      </c>
      <c r="O7" s="13">
        <f>N7*VLOOKUP('Données projet'!$B$9,Paramètres!$A$1:$I$89,3,0)*VLOOKUP('Données projet'!$B$9,Paramètres!$A$1:$I$89,5,0)</f>
        <v>1.4121536810186761</v>
      </c>
      <c r="P7" s="13">
        <f t="shared" si="33"/>
        <v>0.62515508327221625</v>
      </c>
      <c r="Q7" s="20">
        <f t="shared" si="2"/>
        <v>3.5483127644733039</v>
      </c>
      <c r="R7" s="59">
        <f t="shared" si="0"/>
        <v>296.88164609780659</v>
      </c>
      <c r="S7" s="59">
        <f ca="1">AVERAGE(OFFSET($R$3,0,0,'Données projet'!$E$9+1,1))-AVERAGE(OFFSET($H$3,0,0,'Données projet'!$E$9+1,1))</f>
        <v>294.94285920643927</v>
      </c>
      <c r="T7" s="59">
        <f t="shared" si="34"/>
        <v>399.89535338426606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7.4312217194570129</v>
      </c>
      <c r="AI7" s="13">
        <f>IF('Données projet'!$A$62&gt;35,AI6+AH7-AQ6,IF(A7&lt;'Données projet'!$A$62,$AF$205^A7,IF(A7='Données projet'!$A$62,'Données projet'!$B$62,AI6+AH7-AQ6)))</f>
        <v>3.1222864114491768</v>
      </c>
      <c r="AJ7" s="13">
        <f>AI7*VLOOKUP('Données projet'!$B$10,Paramètres!$A$1:$I$89,3,0)*VLOOKUP('Données projet'!$B$10,Paramètres!$A$1:$I$89,5,0)</f>
        <v>1.8671272740466078</v>
      </c>
      <c r="AK7" s="13">
        <f t="shared" si="35"/>
        <v>0.80013145376589556</v>
      </c>
      <c r="AL7" s="20">
        <f t="shared" si="4"/>
        <v>4.6454756176067766</v>
      </c>
      <c r="AM7" s="59">
        <f t="shared" si="5"/>
        <v>297.97880895094011</v>
      </c>
      <c r="AN7" s="59">
        <f ca="1">AVERAGE(OFFSET($AM$3,0,0,'Données projet'!$E$10+1,1))-AVERAGE(OFFSET($H$3,0,0,'Données projet'!$E$10+1,1))</f>
        <v>200.14675249215634</v>
      </c>
      <c r="AO7" s="59">
        <f t="shared" si="36"/>
        <v>200.55017434999968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6.1793706293706299</v>
      </c>
      <c r="BD7" s="12">
        <f>IF('Données projet'!$A$88&gt;35,BD6+BC7-BL6,IF(A7&lt;'Données projet'!$A$88,$BA$205^A7,IF(A7='Données projet'!$A$88,'Données projet'!$B$88,BD6+BC7-BL6)))</f>
        <v>2.4427830366856735</v>
      </c>
      <c r="BE7" s="13">
        <f>BD7*VLOOKUP('Données projet'!$B$11,Paramètres!$A$1:$I$89,3,0)*VLOOKUP('Données projet'!$B$11,Paramètres!$A$1:$I$89,5,0)</f>
        <v>1.3972718969842053</v>
      </c>
      <c r="BF7" s="13">
        <f t="shared" si="37"/>
        <v>0.61933024536348213</v>
      </c>
      <c r="BG7" s="20">
        <f t="shared" si="7"/>
        <v>3.5122487312555548</v>
      </c>
      <c r="BH7" s="59">
        <f t="shared" si="8"/>
        <v>296.84558206458888</v>
      </c>
      <c r="BI7" s="59">
        <f ca="1">AVERAGE(OFFSET($BH$3,0,0,'Données projet'!$E$11+1,1))-AVERAGE(OFFSET($H$3,0,0,'Données projet'!$E$11+1,1))</f>
        <v>182.46132340647313</v>
      </c>
      <c r="BJ7" s="59">
        <f t="shared" si="38"/>
        <v>130.51706975490481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3.0666666666666669</v>
      </c>
      <c r="BY7" s="12">
        <f>IF('Données projet'!$A$114&gt;35,BY6+BX7-CG6,IF(A7&lt;'Données projet'!$A$114,$BV$205^A7,IF(A7='Données projet'!$A$114,'Données projet'!$B$114,BY6+BX7-CG6)))</f>
        <v>2.7758889522808685</v>
      </c>
      <c r="BZ7" s="13">
        <f>BY7*VLOOKUP('Données projet'!$B$12,Paramètres!$A$1:$I$89,3,0)*VLOOKUP('Données projet'!$B$12,Paramètres!$A$1:$I$89,5,0)</f>
        <v>1.1186832477691899</v>
      </c>
      <c r="CA7" s="13">
        <f t="shared" si="39"/>
        <v>0.50884989471304642</v>
      </c>
      <c r="CB7" s="20">
        <f t="shared" si="10"/>
        <v>2.8346202231565614</v>
      </c>
      <c r="CC7" s="59">
        <f t="shared" si="11"/>
        <v>296.16795355648986</v>
      </c>
      <c r="CD7" s="59">
        <f ca="1">AVERAGE(OFFSET($CC$3,0,0,'Données projet'!$E$12+1,1))-AVERAGE(OFFSET($H$3,0,0,'Données projet'!$E$12+1,1))</f>
        <v>291.0962681460345</v>
      </c>
      <c r="CE7" s="59">
        <f t="shared" si="40"/>
        <v>240.28311826371385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6.33</v>
      </c>
      <c r="CT7" s="12">
        <f>IF('Données projet'!$A$140&gt;35,CT6+CS7-DB6,IF(A7&lt;'Données projet'!$A$140,$CQ$205^A7,IF(A7='Données projet'!$A$140,'Données projet'!$B$140,CT6+CS7-DB6)))</f>
        <v>5.25486404088395</v>
      </c>
      <c r="CU7" s="17">
        <f>CT7*VLOOKUP('Données projet'!$B$13,Paramètres!$A$1:$I$89,3,0)*VLOOKUP('Données projet'!$B$13,Paramètres!$A$1:$I$89,5,0)</f>
        <v>2.4592763711336887</v>
      </c>
      <c r="CV7" s="13">
        <f t="shared" si="41"/>
        <v>1.0206325809820778</v>
      </c>
      <c r="CW7" s="20">
        <f t="shared" si="13"/>
        <v>6.06084142493496</v>
      </c>
      <c r="CX7" s="59">
        <f t="shared" si="14"/>
        <v>299.39417475826826</v>
      </c>
      <c r="CY7" s="59">
        <f ca="1">AVERAGE(OFFSET($CX$3,0,0,'Données projet'!$E$13+1,1))-AVERAGE(OFFSET($H$3,0,0,'Données projet'!$E$13+1,1))</f>
        <v>225.92546546283018</v>
      </c>
      <c r="CZ7" s="59">
        <f t="shared" si="42"/>
        <v>309.38786160614563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0.9</v>
      </c>
      <c r="DO7" s="12">
        <f>IF('Données projet'!$A$166&gt;35,DO6+DN7-DW6,IF(A7&lt;'Données projet'!$A$166,$DL$205^A7,IF(A7='Données projet'!$A$166,'Données projet'!$B$166,DO6+DN7-DW6)))</f>
        <v>2.4082246852806923</v>
      </c>
      <c r="DP7" s="17">
        <f>DO7*VLOOKUP('Données projet'!$B$14,Paramètres!$A$1:$I$89,3,0)*VLOOKUP('Données projet'!$B$14,Paramètres!$A$1:$I$89,5,0)</f>
        <v>2.1038250850612132</v>
      </c>
      <c r="DQ7" s="13">
        <f t="shared" si="43"/>
        <v>0.88912612901456278</v>
      </c>
      <c r="DR7" s="20">
        <f t="shared" si="16"/>
        <v>5.212723364515309</v>
      </c>
      <c r="DS7" s="59">
        <f t="shared" si="17"/>
        <v>298.5460566978486</v>
      </c>
      <c r="DT7" s="59">
        <f ca="1">AVERAGE(OFFSET($DS$3,0,0,'Données projet'!$E$14+1,1))-AVERAGE(OFFSET($H$3,0,0,'Données projet'!$E$14+1,1))</f>
        <v>150.06600397498823</v>
      </c>
      <c r="DU7" s="59">
        <f t="shared" si="44"/>
        <v>170.53034305929714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</v>
      </c>
      <c r="N8" s="13">
        <f>IF('Données projet'!$A$36&gt;35,N7+M8-V7,IF(A8&lt;'Données projet'!$A$36,$K$205^A8,IF(A8='Données projet'!$A$36,'Données projet'!$B$36,N7+M8-V7)))</f>
        <v>3.9769042672103678</v>
      </c>
      <c r="O8" s="13">
        <f>N8*VLOOKUP('Données projet'!$B$9,Paramètres!$A$1:$I$89,3,0)*VLOOKUP('Données projet'!$B$9,Paramètres!$A$1:$I$89,5,0)</f>
        <v>1.8611911970544521</v>
      </c>
      <c r="P8" s="13">
        <f t="shared" si="33"/>
        <v>0.79788331507942867</v>
      </c>
      <c r="Q8" s="20">
        <f t="shared" si="2"/>
        <v>4.6312214419665088</v>
      </c>
      <c r="R8" s="59">
        <f t="shared" si="0"/>
        <v>297.9645547752998</v>
      </c>
      <c r="S8" s="59">
        <f ca="1">AVERAGE(OFFSET($R$3,0,0,'Données projet'!$E$9+1,1))-AVERAGE(OFFSET($H$3,0,0,'Données projet'!$E$9+1,1))</f>
        <v>294.94285920643927</v>
      </c>
      <c r="T8" s="59">
        <f t="shared" si="34"/>
        <v>399.89535338426606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7.4312217194570129</v>
      </c>
      <c r="AI8" s="13">
        <f>IF('Données projet'!$A$62&gt;35,AI7+AH8-AQ7,IF(A8&lt;'Données projet'!$A$62,$AF$205^A8,IF(A8='Données projet'!$A$62,'Données projet'!$B$62,AI7+AH8-AQ7)))</f>
        <v>4.1504092632222056</v>
      </c>
      <c r="AJ8" s="13">
        <f>AI8*VLOOKUP('Données projet'!$B$10,Paramètres!$A$1:$I$89,3,0)*VLOOKUP('Données projet'!$B$10,Paramètres!$A$1:$I$89,5,0)</f>
        <v>2.4819447394068792</v>
      </c>
      <c r="AK8" s="13">
        <f t="shared" si="35"/>
        <v>1.0289407593154982</v>
      </c>
      <c r="AL8" s="20">
        <f t="shared" si="4"/>
        <v>6.1147922436081394</v>
      </c>
      <c r="AM8" s="59">
        <f t="shared" si="5"/>
        <v>299.44812557694144</v>
      </c>
      <c r="AN8" s="59">
        <f ca="1">AVERAGE(OFFSET($AM$3,0,0,'Données projet'!$E$10+1,1))-AVERAGE(OFFSET($H$3,0,0,'Données projet'!$E$10+1,1))</f>
        <v>200.14675249215634</v>
      </c>
      <c r="AO8" s="59">
        <f t="shared" si="36"/>
        <v>200.55017434999968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6.1793706293706299</v>
      </c>
      <c r="BD8" s="12">
        <f>IF('Données projet'!$A$88&gt;35,BD7+BC8-BL7,IF(A8&lt;'Données projet'!$A$88,$BA$205^A8,IF(A8='Données projet'!$A$88,'Données projet'!$B$88,BD7+BC8-BL7)))</f>
        <v>3.0539091933183173</v>
      </c>
      <c r="BE8" s="13">
        <f>BD8*VLOOKUP('Données projet'!$B$11,Paramètres!$A$1:$I$89,3,0)*VLOOKUP('Données projet'!$B$11,Paramètres!$A$1:$I$89,5,0)</f>
        <v>1.7468360585780778</v>
      </c>
      <c r="BF8" s="13">
        <f t="shared" si="37"/>
        <v>0.75440761403611101</v>
      </c>
      <c r="BG8" s="20">
        <f t="shared" si="7"/>
        <v>4.3563327298030456</v>
      </c>
      <c r="BH8" s="59">
        <f t="shared" si="8"/>
        <v>297.68966606313637</v>
      </c>
      <c r="BI8" s="59">
        <f ca="1">AVERAGE(OFFSET($BH$3,0,0,'Données projet'!$E$11+1,1))-AVERAGE(OFFSET($H$3,0,0,'Données projet'!$E$11+1,1))</f>
        <v>182.46132340647313</v>
      </c>
      <c r="BJ8" s="59">
        <f t="shared" si="38"/>
        <v>130.51706975490481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3.0666666666666669</v>
      </c>
      <c r="BY8" s="12">
        <f>IF('Données projet'!$A$114&gt;35,BY7+BX8-CG7,IF(A8&lt;'Données projet'!$A$114,$BV$205^A8,IF(A8='Données projet'!$A$114,'Données projet'!$B$114,BY7+BX8-CG7)))</f>
        <v>3.5830478710159461</v>
      </c>
      <c r="BZ8" s="13">
        <f>BY8*VLOOKUP('Données projet'!$B$12,Paramètres!$A$1:$I$89,3,0)*VLOOKUP('Données projet'!$B$12,Paramètres!$A$1:$I$89,5,0)</f>
        <v>1.4439682920194263</v>
      </c>
      <c r="CA8" s="13">
        <f t="shared" si="39"/>
        <v>0.63758370683720622</v>
      </c>
      <c r="CB8" s="20">
        <f t="shared" si="10"/>
        <v>3.6253697313419679</v>
      </c>
      <c r="CC8" s="59">
        <f t="shared" si="11"/>
        <v>296.95870306467526</v>
      </c>
      <c r="CD8" s="59">
        <f ca="1">AVERAGE(OFFSET($CC$3,0,0,'Données projet'!$E$12+1,1))-AVERAGE(OFFSET($H$3,0,0,'Données projet'!$E$12+1,1))</f>
        <v>291.0962681460345</v>
      </c>
      <c r="CE8" s="59">
        <f t="shared" si="40"/>
        <v>240.28311826371385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6.33</v>
      </c>
      <c r="CT8" s="12">
        <f>IF('Données projet'!$A$140&gt;35,CT7+CS8-DB7,IF(A8&lt;'Données projet'!$A$140,$CQ$205^A8,IF(A8='Données projet'!$A$140,'Données projet'!$B$140,CT7+CS8-DB7)))</f>
        <v>7.9561297123664358</v>
      </c>
      <c r="CU8" s="17">
        <f>CT8*VLOOKUP('Données projet'!$B$13,Paramètres!$A$1:$I$89,3,0)*VLOOKUP('Données projet'!$B$13,Paramètres!$A$1:$I$89,5,0)</f>
        <v>3.723468705387492</v>
      </c>
      <c r="CV8" s="13">
        <f t="shared" si="41"/>
        <v>1.4724530628067305</v>
      </c>
      <c r="CW8" s="20">
        <f t="shared" si="13"/>
        <v>9.0495637462716036</v>
      </c>
      <c r="CX8" s="59">
        <f t="shared" si="14"/>
        <v>302.3828970796049</v>
      </c>
      <c r="CY8" s="59">
        <f ca="1">AVERAGE(OFFSET($CX$3,0,0,'Données projet'!$E$13+1,1))-AVERAGE(OFFSET($H$3,0,0,'Données projet'!$E$13+1,1))</f>
        <v>225.92546546283018</v>
      </c>
      <c r="CZ8" s="59">
        <f t="shared" si="42"/>
        <v>309.38786160614563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0.9</v>
      </c>
      <c r="DO8" s="12">
        <f>IF('Données projet'!$A$166&gt;35,DO7+DN8-DW7,IF(A8&lt;'Données projet'!$A$166,$DL$205^A8,IF(A8='Données projet'!$A$166,'Données projet'!$B$166,DO7+DN8-DW7)))</f>
        <v>3.0000000000000004</v>
      </c>
      <c r="DP8" s="17">
        <f>DO8*VLOOKUP('Données projet'!$B$14,Paramètres!$A$1:$I$89,3,0)*VLOOKUP('Données projet'!$B$14,Paramètres!$A$1:$I$89,5,0)</f>
        <v>2.6208000000000009</v>
      </c>
      <c r="DQ8" s="13">
        <f t="shared" si="43"/>
        <v>1.0796431690647799</v>
      </c>
      <c r="DR8" s="20">
        <f t="shared" si="16"/>
        <v>6.4449385194544933</v>
      </c>
      <c r="DS8" s="59">
        <f t="shared" si="17"/>
        <v>299.77827185278778</v>
      </c>
      <c r="DT8" s="59">
        <f ca="1">AVERAGE(OFFSET($DS$3,0,0,'Données projet'!$E$14+1,1))-AVERAGE(OFFSET($H$3,0,0,'Données projet'!$E$14+1,1))</f>
        <v>150.06600397498823</v>
      </c>
      <c r="DU8" s="59">
        <f t="shared" si="44"/>
        <v>170.53034305929714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</v>
      </c>
      <c r="N9" s="13">
        <f>IF('Données projet'!$A$36&gt;35,N8+M9-V8,IF(A9&lt;'Données projet'!$A$36,$K$205^A9,IF(A9='Données projet'!$A$36,'Données projet'!$B$36,N8+M9-V8)))</f>
        <v>5.2414827884177937</v>
      </c>
      <c r="O9" s="13">
        <f>N9*VLOOKUP('Données projet'!$B$9,Paramètres!$A$1:$I$89,3,0)*VLOOKUP('Données projet'!$B$9,Paramètres!$A$1:$I$89,5,0)</f>
        <v>2.4530139449795274</v>
      </c>
      <c r="P9" s="13">
        <f t="shared" si="33"/>
        <v>1.0183357722213886</v>
      </c>
      <c r="Q9" s="20">
        <f t="shared" si="2"/>
        <v>6.0459340907915946</v>
      </c>
      <c r="R9" s="59">
        <f t="shared" si="0"/>
        <v>299.37926742412492</v>
      </c>
      <c r="S9" s="59">
        <f ca="1">AVERAGE(OFFSET($R$3,0,0,'Données projet'!$E$9+1,1))-AVERAGE(OFFSET($H$3,0,0,'Données projet'!$E$9+1,1))</f>
        <v>294.94285920643927</v>
      </c>
      <c r="T9" s="59">
        <f t="shared" si="34"/>
        <v>399.89535338426606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7.4312217194570129</v>
      </c>
      <c r="AI9" s="13">
        <f>IF('Données projet'!$A$62&gt;35,AI8+AH9-AQ8,IF(A9&lt;'Données projet'!$A$62,$AF$205^A9,IF(A9='Données projet'!$A$62,'Données projet'!$B$62,AI8+AH9-AQ8)))</f>
        <v>5.5170778020474653</v>
      </c>
      <c r="AJ9" s="13">
        <f>AI9*VLOOKUP('Données projet'!$B$10,Paramètres!$A$1:$I$89,3,0)*VLOOKUP('Données projet'!$B$10,Paramètres!$A$1:$I$89,5,0)</f>
        <v>3.2992125256243843</v>
      </c>
      <c r="AK9" s="13">
        <f t="shared" si="35"/>
        <v>1.3231814362474952</v>
      </c>
      <c r="AL9" s="20">
        <f t="shared" si="4"/>
        <v>8.0506694835935235</v>
      </c>
      <c r="AM9" s="59">
        <f t="shared" si="5"/>
        <v>301.38400281692685</v>
      </c>
      <c r="AN9" s="59">
        <f ca="1">AVERAGE(OFFSET($AM$3,0,0,'Données projet'!$E$10+1,1))-AVERAGE(OFFSET($H$3,0,0,'Données projet'!$E$10+1,1))</f>
        <v>200.14675249215634</v>
      </c>
      <c r="AO9" s="59">
        <f t="shared" si="36"/>
        <v>200.55017434999968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6.1793706293706299</v>
      </c>
      <c r="BD9" s="12">
        <f>IF('Données projet'!$A$88&gt;35,BD8+BC9-BL8,IF(A9&lt;'Données projet'!$A$88,$BA$205^A9,IF(A9='Données projet'!$A$88,'Données projet'!$B$88,BD8+BC9-BL8)))</f>
        <v>3.817924564306777</v>
      </c>
      <c r="BE9" s="13">
        <f>BD9*VLOOKUP('Données projet'!$B$11,Paramètres!$A$1:$I$89,3,0)*VLOOKUP('Données projet'!$B$11,Paramètres!$A$1:$I$89,5,0)</f>
        <v>2.1838528507834765</v>
      </c>
      <c r="BF9" s="13">
        <f t="shared" si="37"/>
        <v>0.91894567135444416</v>
      </c>
      <c r="BG9" s="20">
        <f t="shared" si="7"/>
        <v>5.4040407593902104</v>
      </c>
      <c r="BH9" s="59">
        <f t="shared" si="8"/>
        <v>298.73737409272354</v>
      </c>
      <c r="BI9" s="59">
        <f ca="1">AVERAGE(OFFSET($BH$3,0,0,'Données projet'!$E$11+1,1))-AVERAGE(OFFSET($H$3,0,0,'Données projet'!$E$11+1,1))</f>
        <v>182.46132340647313</v>
      </c>
      <c r="BJ9" s="59">
        <f t="shared" si="38"/>
        <v>130.51706975490481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3.0666666666666669</v>
      </c>
      <c r="BY9" s="12">
        <f>IF('Données projet'!$A$114&gt;35,BY8+BX9-CG8,IF(A9&lt;'Données projet'!$A$114,$BV$205^A9,IF(A9='Données projet'!$A$114,'Données projet'!$B$114,BY8+BX9-CG8)))</f>
        <v>4.6249083687022479</v>
      </c>
      <c r="BZ9" s="13">
        <f>BY9*VLOOKUP('Données projet'!$B$12,Paramètres!$A$1:$I$89,3,0)*VLOOKUP('Données projet'!$B$12,Paramètres!$A$1:$I$89,5,0)</f>
        <v>1.8638380725870061</v>
      </c>
      <c r="CA9" s="13">
        <f t="shared" si="39"/>
        <v>0.79888585503887266</v>
      </c>
      <c r="CB9" s="20">
        <f t="shared" si="10"/>
        <v>4.6375775072817387</v>
      </c>
      <c r="CC9" s="59">
        <f t="shared" si="11"/>
        <v>297.97091084061503</v>
      </c>
      <c r="CD9" s="59">
        <f ca="1">AVERAGE(OFFSET($CC$3,0,0,'Données projet'!$E$12+1,1))-AVERAGE(OFFSET($H$3,0,0,'Données projet'!$E$12+1,1))</f>
        <v>291.0962681460345</v>
      </c>
      <c r="CE9" s="59">
        <f t="shared" si="40"/>
        <v>240.28311826371385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6.33</v>
      </c>
      <c r="CT9" s="12">
        <f>IF('Données projet'!$A$140&gt;35,CT8+CS9-DB8,IF(A9&lt;'Données projet'!$A$140,$CQ$205^A9,IF(A9='Données projet'!$A$140,'Données projet'!$B$140,CT8+CS9-DB8)))</f>
        <v>12.045982447407331</v>
      </c>
      <c r="CU9" s="17">
        <f>CT9*VLOOKUP('Données projet'!$B$13,Paramètres!$A$1:$I$89,3,0)*VLOOKUP('Données projet'!$B$13,Paramètres!$A$1:$I$89,5,0)</f>
        <v>5.6375197853866306</v>
      </c>
      <c r="CV9" s="13">
        <f t="shared" si="41"/>
        <v>2.1242884683170753</v>
      </c>
      <c r="CW9" s="20">
        <f t="shared" si="13"/>
        <v>13.518482708533952</v>
      </c>
      <c r="CX9" s="59">
        <f t="shared" si="14"/>
        <v>306.85181604186727</v>
      </c>
      <c r="CY9" s="59">
        <f ca="1">AVERAGE(OFFSET($CX$3,0,0,'Données projet'!$E$13+1,1))-AVERAGE(OFFSET($H$3,0,0,'Données projet'!$E$13+1,1))</f>
        <v>225.92546546283018</v>
      </c>
      <c r="CZ9" s="59">
        <f t="shared" si="42"/>
        <v>309.38786160614563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0.9</v>
      </c>
      <c r="DO9" s="12">
        <f>IF('Données projet'!$A$166&gt;35,DO8+DN9-DW8,IF(A9&lt;'Données projet'!$A$166,$DL$205^A9,IF(A9='Données projet'!$A$166,'Données projet'!$B$166,DO8+DN9-DW8)))</f>
        <v>3.7371928188465526</v>
      </c>
      <c r="DP9" s="17">
        <f>DO9*VLOOKUP('Données projet'!$B$14,Paramètres!$A$1:$I$89,3,0)*VLOOKUP('Données projet'!$B$14,Paramètres!$A$1:$I$89,5,0)</f>
        <v>3.2648116465443486</v>
      </c>
      <c r="DQ9" s="13">
        <f t="shared" si="43"/>
        <v>1.310983149038857</v>
      </c>
      <c r="DR9" s="20">
        <f t="shared" si="16"/>
        <v>7.9695092689740825</v>
      </c>
      <c r="DS9" s="59">
        <f t="shared" si="17"/>
        <v>301.30284260230741</v>
      </c>
      <c r="DT9" s="59">
        <f ca="1">AVERAGE(OFFSET($DS$3,0,0,'Données projet'!$E$14+1,1))-AVERAGE(OFFSET($H$3,0,0,'Données projet'!$E$14+1,1))</f>
        <v>150.06600397498823</v>
      </c>
      <c r="DU9" s="59">
        <f t="shared" si="44"/>
        <v>170.53034305929714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</v>
      </c>
      <c r="N10" s="13">
        <f>IF('Données projet'!$A$36&gt;35,N9+M10-V9,IF(A10&lt;'Données projet'!$A$36,$K$205^A10,IF(A10='Données projet'!$A$36,'Données projet'!$B$36,N9+M10-V9)))</f>
        <v>6.9081727834880056</v>
      </c>
      <c r="O10" s="13">
        <f>N10*VLOOKUP('Données projet'!$B$9,Paramètres!$A$1:$I$89,3,0)*VLOOKUP('Données projet'!$B$9,Paramètres!$A$1:$I$89,5,0)</f>
        <v>3.2330248626723868</v>
      </c>
      <c r="P10" s="13">
        <f t="shared" si="33"/>
        <v>1.2996984964931853</v>
      </c>
      <c r="Q10" s="20">
        <f t="shared" si="2"/>
        <v>7.8944931838800372</v>
      </c>
      <c r="R10" s="59">
        <f t="shared" si="0"/>
        <v>301.22782651721337</v>
      </c>
      <c r="S10" s="59">
        <f ca="1">AVERAGE(OFFSET($R$3,0,0,'Données projet'!$E$9+1,1))-AVERAGE(OFFSET($H$3,0,0,'Données projet'!$E$9+1,1))</f>
        <v>294.94285920643927</v>
      </c>
      <c r="T10" s="59">
        <f t="shared" si="34"/>
        <v>399.89535338426606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7.4312217194570129</v>
      </c>
      <c r="AI10" s="13">
        <f>IF('Données projet'!$A$62&gt;35,AI9+AH10-AQ9,IF(A10&lt;'Données projet'!$A$62,$AF$205^A10,IF(A10='Données projet'!$A$62,'Données projet'!$B$62,AI9+AH10-AQ9)))</f>
        <v>7.3337701280605696</v>
      </c>
      <c r="AJ10" s="13">
        <f>AI10*VLOOKUP('Données projet'!$B$10,Paramètres!$A$1:$I$89,3,0)*VLOOKUP('Données projet'!$B$10,Paramètres!$A$1:$I$89,5,0)</f>
        <v>4.3855945365802205</v>
      </c>
      <c r="AK10" s="13">
        <f t="shared" si="35"/>
        <v>1.7015645433219191</v>
      </c>
      <c r="AL10" s="20">
        <f t="shared" si="4"/>
        <v>10.601802064162893</v>
      </c>
      <c r="AM10" s="59">
        <f t="shared" si="5"/>
        <v>303.9351353974962</v>
      </c>
      <c r="AN10" s="59">
        <f ca="1">AVERAGE(OFFSET($AM$3,0,0,'Données projet'!$E$10+1,1))-AVERAGE(OFFSET($H$3,0,0,'Données projet'!$E$10+1,1))</f>
        <v>200.14675249215634</v>
      </c>
      <c r="AO10" s="59">
        <f t="shared" si="36"/>
        <v>200.55017434999968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6.1793706293706299</v>
      </c>
      <c r="BD10" s="12">
        <f>IF('Données projet'!$A$88&gt;35,BD9+BC10-BL9,IF(A10&lt;'Données projet'!$A$88,$BA$205^A10,IF(A10='Données projet'!$A$88,'Données projet'!$B$88,BD9+BC10-BL9)))</f>
        <v>4.7730783910108681</v>
      </c>
      <c r="BE10" s="13">
        <f>BD10*VLOOKUP('Données projet'!$B$11,Paramètres!$A$1:$I$89,3,0)*VLOOKUP('Données projet'!$B$11,Paramètres!$A$1:$I$89,5,0)</f>
        <v>2.7302008396582167</v>
      </c>
      <c r="BF10" s="13">
        <f t="shared" si="37"/>
        <v>1.1193698621136245</v>
      </c>
      <c r="BG10" s="20">
        <f t="shared" si="7"/>
        <v>6.704668972252624</v>
      </c>
      <c r="BH10" s="59">
        <f t="shared" si="8"/>
        <v>300.03800230558596</v>
      </c>
      <c r="BI10" s="59">
        <f ca="1">AVERAGE(OFFSET($BH$3,0,0,'Données projet'!$E$11+1,1))-AVERAGE(OFFSET($H$3,0,0,'Données projet'!$E$11+1,1))</f>
        <v>182.46132340647313</v>
      </c>
      <c r="BJ10" s="59">
        <f t="shared" si="38"/>
        <v>130.51706975490481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3.0666666666666669</v>
      </c>
      <c r="BY10" s="12">
        <f>IF('Données projet'!$A$114&gt;35,BY9+BX10-CG9,IF(A10&lt;'Données projet'!$A$114,$BV$205^A10,IF(A10='Données projet'!$A$114,'Données projet'!$B$114,BY9+BX10-CG9)))</f>
        <v>5.9697157807794445</v>
      </c>
      <c r="BZ10" s="13">
        <f>BY10*VLOOKUP('Données projet'!$B$12,Paramètres!$A$1:$I$89,3,0)*VLOOKUP('Données projet'!$B$12,Paramètres!$A$1:$I$89,5,0)</f>
        <v>2.4057954596541165</v>
      </c>
      <c r="CA10" s="13">
        <f t="shared" si="39"/>
        <v>1.0009957948065109</v>
      </c>
      <c r="CB10" s="20">
        <f t="shared" si="10"/>
        <v>5.9334947681855921</v>
      </c>
      <c r="CC10" s="59">
        <f t="shared" si="11"/>
        <v>299.26682810151891</v>
      </c>
      <c r="CD10" s="59">
        <f ca="1">AVERAGE(OFFSET($CC$3,0,0,'Données projet'!$E$12+1,1))-AVERAGE(OFFSET($H$3,0,0,'Données projet'!$E$12+1,1))</f>
        <v>291.0962681460345</v>
      </c>
      <c r="CE10" s="59">
        <f t="shared" si="40"/>
        <v>240.28311826371385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6.33</v>
      </c>
      <c r="CT10" s="12">
        <f>IF('Données projet'!$A$140&gt;35,CT9+CS10-DB9,IF(A10&lt;'Données projet'!$A$140,$CQ$205^A10,IF(A10='Données projet'!$A$140,'Données projet'!$B$140,CT9+CS10-DB9)))</f>
        <v>18.238226168900148</v>
      </c>
      <c r="CU10" s="17">
        <f>CT10*VLOOKUP('Données projet'!$B$13,Paramètres!$A$1:$I$89,3,0)*VLOOKUP('Données projet'!$B$13,Paramètres!$A$1:$I$89,5,0)</f>
        <v>8.5354898470452696</v>
      </c>
      <c r="CV10" s="13">
        <f t="shared" si="41"/>
        <v>3.064682746506818</v>
      </c>
      <c r="CW10" s="20">
        <f t="shared" si="13"/>
        <v>20.203633933769883</v>
      </c>
      <c r="CX10" s="59">
        <f t="shared" si="14"/>
        <v>313.53696726710319</v>
      </c>
      <c r="CY10" s="59">
        <f ca="1">AVERAGE(OFFSET($CX$3,0,0,'Données projet'!$E$13+1,1))-AVERAGE(OFFSET($H$3,0,0,'Données projet'!$E$13+1,1))</f>
        <v>225.92546546283018</v>
      </c>
      <c r="CZ10" s="59">
        <f t="shared" si="42"/>
        <v>309.38786160614563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0.9</v>
      </c>
      <c r="DO10" s="12">
        <f>IF('Données projet'!$A$166&gt;35,DO9+DN10-DW9,IF(A10&lt;'Données projet'!$A$166,$DL$205^A10,IF(A10='Données projet'!$A$166,'Données projet'!$B$166,DO9+DN10-DW9)))</f>
        <v>4.6555367217460804</v>
      </c>
      <c r="DP10" s="17">
        <f>DO10*VLOOKUP('Données projet'!$B$14,Paramètres!$A$1:$I$89,3,0)*VLOOKUP('Données projet'!$B$14,Paramètres!$A$1:$I$89,5,0)</f>
        <v>4.0670768801173764</v>
      </c>
      <c r="DQ10" s="13">
        <f t="shared" si="43"/>
        <v>1.5918933832116116</v>
      </c>
      <c r="DR10" s="20">
        <f t="shared" si="16"/>
        <v>9.8560398752979861</v>
      </c>
      <c r="DS10" s="59">
        <f t="shared" si="17"/>
        <v>303.18937320863131</v>
      </c>
      <c r="DT10" s="59">
        <f ca="1">AVERAGE(OFFSET($DS$3,0,0,'Données projet'!$E$14+1,1))-AVERAGE(OFFSET($H$3,0,0,'Données projet'!$E$14+1,1))</f>
        <v>150.06600397498823</v>
      </c>
      <c r="DU10" s="59">
        <f t="shared" si="44"/>
        <v>170.53034305929714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</v>
      </c>
      <c r="N11" s="13">
        <f>IF('Données projet'!$A$36&gt;35,N10+M11-V10,IF(A11&lt;'Données projet'!$A$36,$K$205^A11,IF(A11='Données projet'!$A$36,'Données projet'!$B$36,N10+M11-V10)))</f>
        <v>9.1048379118936591</v>
      </c>
      <c r="O11" s="13">
        <f>N11*VLOOKUP('Données projet'!$B$9,Paramètres!$A$1:$I$89,3,0)*VLOOKUP('Données projet'!$B$9,Paramètres!$A$1:$I$89,5,0)</f>
        <v>4.2610641427662319</v>
      </c>
      <c r="P11" s="13">
        <f t="shared" si="33"/>
        <v>1.6588007883704257</v>
      </c>
      <c r="Q11" s="20">
        <f t="shared" si="2"/>
        <v>10.31043142172968</v>
      </c>
      <c r="R11" s="59">
        <f t="shared" si="0"/>
        <v>303.64376475506299</v>
      </c>
      <c r="S11" s="59">
        <f ca="1">AVERAGE(OFFSET($R$3,0,0,'Données projet'!$E$9+1,1))-AVERAGE(OFFSET($H$3,0,0,'Données projet'!$E$9+1,1))</f>
        <v>294.94285920643927</v>
      </c>
      <c r="T11" s="59">
        <f t="shared" si="34"/>
        <v>399.89535338426606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7.4312217194570129</v>
      </c>
      <c r="AI11" s="13">
        <f>IF('Données projet'!$A$62&gt;35,AI10+AH11-AQ10,IF(A11&lt;'Données projet'!$A$62,$AF$205^A11,IF(A11='Données projet'!$A$62,'Données projet'!$B$62,AI10+AH11-AQ10)))</f>
        <v>9.748672435120179</v>
      </c>
      <c r="AJ11" s="13">
        <f>AI11*VLOOKUP('Données projet'!$B$10,Paramètres!$A$1:$I$89,3,0)*VLOOKUP('Données projet'!$B$10,Paramètres!$A$1:$I$89,5,0)</f>
        <v>5.8297061162018684</v>
      </c>
      <c r="AK11" s="13">
        <f t="shared" si="35"/>
        <v>2.1881518405377438</v>
      </c>
      <c r="AL11" s="20">
        <f t="shared" si="4"/>
        <v>13.96443594132149</v>
      </c>
      <c r="AM11" s="59">
        <f t="shared" si="5"/>
        <v>307.2977692746548</v>
      </c>
      <c r="AN11" s="59">
        <f ca="1">AVERAGE(OFFSET($AM$3,0,0,'Données projet'!$E$10+1,1))-AVERAGE(OFFSET($H$3,0,0,'Données projet'!$E$10+1,1))</f>
        <v>200.14675249215634</v>
      </c>
      <c r="AO11" s="59">
        <f t="shared" si="36"/>
        <v>200.55017434999968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6.1793706293706299</v>
      </c>
      <c r="BD11" s="12">
        <f>IF('Données projet'!$A$88&gt;35,BD10+BC11-BL10,IF(A11&lt;'Données projet'!$A$88,$BA$205^A11,IF(A11='Données projet'!$A$88,'Données projet'!$B$88,BD10+BC11-BL10)))</f>
        <v>5.9671889643192806</v>
      </c>
      <c r="BE11" s="13">
        <f>BD11*VLOOKUP('Données projet'!$B$11,Paramètres!$A$1:$I$89,3,0)*VLOOKUP('Données projet'!$B$11,Paramètres!$A$1:$I$89,5,0)</f>
        <v>3.4132320875906288</v>
      </c>
      <c r="BF11" s="13">
        <f t="shared" si="37"/>
        <v>1.3635070355807659</v>
      </c>
      <c r="BG11" s="20">
        <f t="shared" si="7"/>
        <v>8.3194873061901777</v>
      </c>
      <c r="BH11" s="59">
        <f t="shared" si="8"/>
        <v>301.6528206395235</v>
      </c>
      <c r="BI11" s="59">
        <f ca="1">AVERAGE(OFFSET($BH$3,0,0,'Données projet'!$E$11+1,1))-AVERAGE(OFFSET($H$3,0,0,'Données projet'!$E$11+1,1))</f>
        <v>182.46132340647313</v>
      </c>
      <c r="BJ11" s="59">
        <f t="shared" si="38"/>
        <v>130.51706975490481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3.0666666666666669</v>
      </c>
      <c r="BY11" s="12">
        <f>IF('Données projet'!$A$114&gt;35,BY10+BX11-CG10,IF(A11&lt;'Données projet'!$A$114,$BV$205^A11,IF(A11='Données projet'!$A$114,'Données projet'!$B$114,BY10+BX11-CG10)))</f>
        <v>7.7055594753949777</v>
      </c>
      <c r="BZ11" s="13">
        <f>BY11*VLOOKUP('Données projet'!$B$12,Paramètres!$A$1:$I$89,3,0)*VLOOKUP('Données projet'!$B$12,Paramètres!$A$1:$I$89,5,0)</f>
        <v>3.1053404685841759</v>
      </c>
      <c r="CA11" s="13">
        <f t="shared" si="39"/>
        <v>1.2542374794851798</v>
      </c>
      <c r="CB11" s="20">
        <f t="shared" si="10"/>
        <v>7.592931592887461</v>
      </c>
      <c r="CC11" s="59">
        <f t="shared" si="11"/>
        <v>300.92626492622077</v>
      </c>
      <c r="CD11" s="59">
        <f ca="1">AVERAGE(OFFSET($CC$3,0,0,'Données projet'!$E$12+1,1))-AVERAGE(OFFSET($H$3,0,0,'Données projet'!$E$12+1,1))</f>
        <v>291.0962681460345</v>
      </c>
      <c r="CE11" s="59">
        <f t="shared" si="40"/>
        <v>240.28311826371385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6.33</v>
      </c>
      <c r="CT11" s="12">
        <f>IF('Données projet'!$A$140&gt;35,CT10+CS11-DB10,IF(A11&lt;'Données projet'!$A$140,$CQ$205^A11,IF(A11='Données projet'!$A$140,'Données projet'!$B$140,CT10+CS11-DB10)))</f>
        <v>27.613596088175196</v>
      </c>
      <c r="CU11" s="17">
        <f>CT11*VLOOKUP('Données projet'!$B$13,Paramètres!$A$1:$I$89,3,0)*VLOOKUP('Données projet'!$B$13,Paramètres!$A$1:$I$89,5,0)</f>
        <v>12.923162969265992</v>
      </c>
      <c r="CV11" s="13">
        <f t="shared" si="41"/>
        <v>4.4213770760509812</v>
      </c>
      <c r="CW11" s="20">
        <f t="shared" si="13"/>
        <v>30.208407245593722</v>
      </c>
      <c r="CX11" s="59">
        <f t="shared" si="14"/>
        <v>323.54174057892703</v>
      </c>
      <c r="CY11" s="59">
        <f ca="1">AVERAGE(OFFSET($CX$3,0,0,'Données projet'!$E$13+1,1))-AVERAGE(OFFSET($H$3,0,0,'Données projet'!$E$13+1,1))</f>
        <v>225.92546546283018</v>
      </c>
      <c r="CZ11" s="59">
        <f t="shared" si="42"/>
        <v>309.38786160614563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0.9</v>
      </c>
      <c r="DO11" s="12">
        <f>IF('Données projet'!$A$166&gt;35,DO10+DN11-DW10,IF(A11&lt;'Données projet'!$A$166,$DL$205^A11,IF(A11='Données projet'!$A$166,'Données projet'!$B$166,DO10+DN11-DW10)))</f>
        <v>5.7995461347952899</v>
      </c>
      <c r="DP11" s="17">
        <f>DO11*VLOOKUP('Données projet'!$B$14,Paramètres!$A$1:$I$89,3,0)*VLOOKUP('Données projet'!$B$14,Paramètres!$A$1:$I$89,5,0)</f>
        <v>5.0664835033571665</v>
      </c>
      <c r="DQ11" s="13">
        <f t="shared" si="43"/>
        <v>1.9329955120863271</v>
      </c>
      <c r="DR11" s="20">
        <f t="shared" si="16"/>
        <v>12.190759285230749</v>
      </c>
      <c r="DS11" s="59">
        <f t="shared" si="17"/>
        <v>305.52409261856405</v>
      </c>
      <c r="DT11" s="59">
        <f ca="1">AVERAGE(OFFSET($DS$3,0,0,'Données projet'!$E$14+1,1))-AVERAGE(OFFSET($H$3,0,0,'Données projet'!$E$14+1,1))</f>
        <v>150.06600397498823</v>
      </c>
      <c r="DU11" s="59">
        <f t="shared" si="44"/>
        <v>170.53034305929714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</v>
      </c>
      <c r="N12" s="13">
        <f>IF('Données projet'!$A$36&gt;35,N11+M12-V11,IF(A12&lt;'Données projet'!$A$36,$K$205^A12,IF(A12='Données projet'!$A$36,'Données projet'!$B$36,N11+M12-V11)))</f>
        <v>12.000000000000004</v>
      </c>
      <c r="O12" s="13">
        <f>N12*VLOOKUP('Données projet'!$B$9,Paramètres!$A$1:$I$89,3,0)*VLOOKUP('Données projet'!$B$9,Paramètres!$A$1:$I$89,5,0)</f>
        <v>5.6160000000000014</v>
      </c>
      <c r="P12" s="13">
        <f t="shared" si="33"/>
        <v>2.117121827041196</v>
      </c>
      <c r="Q12" s="20">
        <f t="shared" si="2"/>
        <v>13.468520515430084</v>
      </c>
      <c r="R12" s="59">
        <f t="shared" si="0"/>
        <v>306.80185384876341</v>
      </c>
      <c r="S12" s="59">
        <f ca="1">AVERAGE(OFFSET($R$3,0,0,'Données projet'!$E$9+1,1))-AVERAGE(OFFSET($H$3,0,0,'Données projet'!$E$9+1,1))</f>
        <v>294.94285920643927</v>
      </c>
      <c r="T12" s="59">
        <f t="shared" si="34"/>
        <v>399.89535338426606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7.4312217194570129</v>
      </c>
      <c r="AI12" s="13">
        <f>IF('Données projet'!$A$62&gt;35,AI11+AH12-AQ11,IF(A12&lt;'Données projet'!$A$62,$AF$205^A12,IF(A12='Données projet'!$A$62,'Données projet'!$B$62,AI11+AH12-AQ11)))</f>
        <v>12.958766444511483</v>
      </c>
      <c r="AJ12" s="13">
        <f>AI12*VLOOKUP('Données projet'!$B$10,Paramètres!$A$1:$I$89,3,0)*VLOOKUP('Données projet'!$B$10,Paramètres!$A$1:$I$89,5,0)</f>
        <v>7.7493423338178671</v>
      </c>
      <c r="AK12" s="13">
        <f t="shared" si="35"/>
        <v>2.8138859005026107</v>
      </c>
      <c r="AL12" s="20">
        <f t="shared" si="4"/>
        <v>18.397622508108167</v>
      </c>
      <c r="AM12" s="59">
        <f t="shared" si="5"/>
        <v>311.73095584144147</v>
      </c>
      <c r="AN12" s="59">
        <f ca="1">AVERAGE(OFFSET($AM$3,0,0,'Données projet'!$E$10+1,1))-AVERAGE(OFFSET($H$3,0,0,'Données projet'!$E$10+1,1))</f>
        <v>200.14675249215634</v>
      </c>
      <c r="AO12" s="59">
        <f t="shared" si="36"/>
        <v>200.55017434999968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6.1793706293706299</v>
      </c>
      <c r="BD12" s="12">
        <f>IF('Données projet'!$A$88&gt;35,BD11+BC12-BL11,IF(A12&lt;'Données projet'!$A$88,$BA$205^A12,IF(A12='Données projet'!$A$88,'Données projet'!$B$88,BD11+BC12-BL11)))</f>
        <v>7.4600375730164146</v>
      </c>
      <c r="BE12" s="13">
        <f>BD12*VLOOKUP('Données projet'!$B$11,Paramètres!$A$1:$I$89,3,0)*VLOOKUP('Données projet'!$B$11,Paramètres!$A$1:$I$89,5,0)</f>
        <v>4.2671414917653889</v>
      </c>
      <c r="BF12" s="13">
        <f t="shared" si="37"/>
        <v>1.6608910950735694</v>
      </c>
      <c r="BG12" s="20">
        <f t="shared" si="7"/>
        <v>10.324656755411185</v>
      </c>
      <c r="BH12" s="59">
        <f t="shared" si="8"/>
        <v>303.6579900887445</v>
      </c>
      <c r="BI12" s="59">
        <f ca="1">AVERAGE(OFFSET($BH$3,0,0,'Données projet'!$E$11+1,1))-AVERAGE(OFFSET($H$3,0,0,'Données projet'!$E$11+1,1))</f>
        <v>182.46132340647313</v>
      </c>
      <c r="BJ12" s="59">
        <f t="shared" si="38"/>
        <v>130.51706975490481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3.0666666666666669</v>
      </c>
      <c r="BY12" s="12">
        <f>IF('Données projet'!$A$114&gt;35,BY11+BX12-CG11,IF(A12&lt;'Données projet'!$A$114,$BV$205^A12,IF(A12='Données projet'!$A$114,'Données projet'!$B$114,BY11+BX12-CG11)))</f>
        <v>9.94614300064665</v>
      </c>
      <c r="BZ12" s="13">
        <f>BY12*VLOOKUP('Données projet'!$B$12,Paramètres!$A$1:$I$89,3,0)*VLOOKUP('Données projet'!$B$12,Paramètres!$A$1:$I$89,5,0)</f>
        <v>4.0082956292606005</v>
      </c>
      <c r="CA12" s="13">
        <f t="shared" si="39"/>
        <v>1.5715467168864723</v>
      </c>
      <c r="CB12" s="20">
        <f t="shared" si="10"/>
        <v>9.7182254195394844</v>
      </c>
      <c r="CC12" s="59">
        <f t="shared" si="11"/>
        <v>303.05155875287278</v>
      </c>
      <c r="CD12" s="59">
        <f ca="1">AVERAGE(OFFSET($CC$3,0,0,'Données projet'!$E$12+1,1))-AVERAGE(OFFSET($H$3,0,0,'Données projet'!$E$12+1,1))</f>
        <v>291.0962681460345</v>
      </c>
      <c r="CE12" s="59">
        <f t="shared" si="40"/>
        <v>240.28311826371385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6.33</v>
      </c>
      <c r="CT12" s="12">
        <f>IF('Données projet'!$A$140&gt;35,CT11+CS12-DB11,IF(A12&lt;'Données projet'!$A$140,$CQ$205^A12,IF(A12='Données projet'!$A$140,'Données projet'!$B$140,CT11+CS12-DB11)))</f>
        <v>41.808379930122747</v>
      </c>
      <c r="CU12" s="17">
        <f>CT12*VLOOKUP('Données projet'!$B$13,Paramètres!$A$1:$I$89,3,0)*VLOOKUP('Données projet'!$B$13,Paramètres!$A$1:$I$89,5,0)</f>
        <v>19.566321807297445</v>
      </c>
      <c r="CV12" s="13">
        <f t="shared" si="41"/>
        <v>6.37866195804801</v>
      </c>
      <c r="CW12" s="20">
        <f t="shared" si="13"/>
        <v>45.187513391310006</v>
      </c>
      <c r="CX12" s="59">
        <f t="shared" si="14"/>
        <v>338.52084672464332</v>
      </c>
      <c r="CY12" s="59">
        <f ca="1">AVERAGE(OFFSET($CX$3,0,0,'Données projet'!$E$13+1,1))-AVERAGE(OFFSET($H$3,0,0,'Données projet'!$E$13+1,1))</f>
        <v>225.92546546283018</v>
      </c>
      <c r="CZ12" s="59">
        <f t="shared" si="42"/>
        <v>309.38786160614563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0.9</v>
      </c>
      <c r="DO12" s="12">
        <f>IF('Données projet'!$A$166&gt;35,DO11+DN12-DW11,IF(A12&lt;'Données projet'!$A$166,$DL$205^A12,IF(A12='Données projet'!$A$166,'Données projet'!$B$166,DO11+DN12-DW11)))</f>
        <v>7.2246740558420788</v>
      </c>
      <c r="DP12" s="17">
        <f>DO12*VLOOKUP('Données projet'!$B$14,Paramètres!$A$1:$I$89,3,0)*VLOOKUP('Données projet'!$B$14,Paramètres!$A$1:$I$89,5,0)</f>
        <v>6.3114752551836411</v>
      </c>
      <c r="DQ12" s="13">
        <f t="shared" si="43"/>
        <v>2.34718712267503</v>
      </c>
      <c r="DR12" s="20">
        <f t="shared" si="16"/>
        <v>15.080503641437184</v>
      </c>
      <c r="DS12" s="59">
        <f t="shared" si="17"/>
        <v>308.4138369747705</v>
      </c>
      <c r="DT12" s="59">
        <f ca="1">AVERAGE(OFFSET($DS$3,0,0,'Données projet'!$E$14+1,1))-AVERAGE(OFFSET($H$3,0,0,'Données projet'!$E$14+1,1))</f>
        <v>150.06600397498823</v>
      </c>
      <c r="DU12" s="59">
        <f t="shared" si="44"/>
        <v>170.53034305929714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</v>
      </c>
      <c r="N13" s="13">
        <f>IF('Données projet'!$A$36&gt;35,N12+M13-V12,IF(A13&lt;'Données projet'!$A$36,$K$205^A13,IF(A13='Données projet'!$A$36,'Données projet'!$B$36,N12+M13-V12)))</f>
        <v>15.81576755055603</v>
      </c>
      <c r="O13" s="13">
        <f>N13*VLOOKUP('Données projet'!$B$9,Paramètres!$A$1:$I$89,3,0)*VLOOKUP('Données projet'!$B$9,Paramètres!$A$1:$I$89,5,0)</f>
        <v>7.4017792136602223</v>
      </c>
      <c r="P13" s="13">
        <f t="shared" si="33"/>
        <v>2.7020754161429368</v>
      </c>
      <c r="Q13" s="20">
        <f t="shared" si="2"/>
        <v>17.597546813573835</v>
      </c>
      <c r="R13" s="59">
        <f t="shared" si="0"/>
        <v>310.93088014690716</v>
      </c>
      <c r="S13" s="59">
        <f ca="1">AVERAGE(OFFSET($R$3,0,0,'Données projet'!$E$9+1,1))-AVERAGE(OFFSET($H$3,0,0,'Données projet'!$E$9+1,1))</f>
        <v>294.94285920643927</v>
      </c>
      <c r="T13" s="59">
        <f t="shared" si="34"/>
        <v>399.89535338426606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7.4312217194570129</v>
      </c>
      <c r="AI13" s="13">
        <f>IF('Données projet'!$A$62&gt;35,AI12+AH13-AQ12,IF(A13&lt;'Données projet'!$A$62,$AF$205^A13,IF(A13='Données projet'!$A$62,'Données projet'!$B$62,AI12+AH13-AQ12)))</f>
        <v>17.225897052240693</v>
      </c>
      <c r="AJ13" s="13">
        <f>AI13*VLOOKUP('Données projet'!$B$10,Paramètres!$A$1:$I$89,3,0)*VLOOKUP('Données projet'!$B$10,Paramètres!$A$1:$I$89,5,0)</f>
        <v>10.301086437239935</v>
      </c>
      <c r="AK13" s="13">
        <f t="shared" si="35"/>
        <v>3.6185577775542006</v>
      </c>
      <c r="AL13" s="20">
        <f t="shared" si="4"/>
        <v>24.243380340766453</v>
      </c>
      <c r="AM13" s="59">
        <f t="shared" si="5"/>
        <v>317.57671367409978</v>
      </c>
      <c r="AN13" s="59">
        <f ca="1">AVERAGE(OFFSET($AM$3,0,0,'Données projet'!$E$10+1,1))-AVERAGE(OFFSET($H$3,0,0,'Données projet'!$E$10+1,1))</f>
        <v>200.14675249215634</v>
      </c>
      <c r="AO13" s="59">
        <f t="shared" si="36"/>
        <v>200.55017434999968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6.1793706293706299</v>
      </c>
      <c r="BD13" s="12">
        <f>IF('Données projet'!$A$88&gt;35,BD12+BC13-BL12,IF(A13&lt;'Données projet'!$A$88,$BA$205^A13,IF(A13='Données projet'!$A$88,'Données projet'!$B$88,BD12+BC13-BL12)))</f>
        <v>9.3263613610341345</v>
      </c>
      <c r="BE13" s="13">
        <f>BD13*VLOOKUP('Données projet'!$B$11,Paramètres!$A$1:$I$89,3,0)*VLOOKUP('Données projet'!$B$11,Paramètres!$A$1:$I$89,5,0)</f>
        <v>5.3346786985115253</v>
      </c>
      <c r="BF13" s="13">
        <f t="shared" si="37"/>
        <v>2.0231353104237648</v>
      </c>
      <c r="BG13" s="20">
        <f t="shared" si="7"/>
        <v>12.81485939889563</v>
      </c>
      <c r="BH13" s="59">
        <f t="shared" si="8"/>
        <v>306.14819273222895</v>
      </c>
      <c r="BI13" s="59">
        <f ca="1">AVERAGE(OFFSET($BH$3,0,0,'Données projet'!$E$11+1,1))-AVERAGE(OFFSET($H$3,0,0,'Données projet'!$E$11+1,1))</f>
        <v>182.46132340647313</v>
      </c>
      <c r="BJ13" s="59">
        <f t="shared" si="38"/>
        <v>130.51706975490481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3.0666666666666669</v>
      </c>
      <c r="BY13" s="12">
        <f>IF('Données projet'!$A$114&gt;35,BY12+BX13-CG12,IF(A13&lt;'Données projet'!$A$114,$BV$205^A13,IF(A13='Données projet'!$A$114,'Données projet'!$B$114,BY12+BX13-CG12)))</f>
        <v>12.838232045991901</v>
      </c>
      <c r="BZ13" s="13">
        <f>BY13*VLOOKUP('Données projet'!$B$12,Paramètres!$A$1:$I$89,3,0)*VLOOKUP('Données projet'!$B$12,Paramètres!$A$1:$I$89,5,0)</f>
        <v>5.1738075145347366</v>
      </c>
      <c r="CA13" s="13">
        <f t="shared" si="39"/>
        <v>1.9691319417199988</v>
      </c>
      <c r="CB13" s="20">
        <f t="shared" si="10"/>
        <v>12.440619552976997</v>
      </c>
      <c r="CC13" s="59">
        <f t="shared" si="11"/>
        <v>305.77395288631033</v>
      </c>
      <c r="CD13" s="59">
        <f ca="1">AVERAGE(OFFSET($CC$3,0,0,'Données projet'!$E$12+1,1))-AVERAGE(OFFSET($H$3,0,0,'Données projet'!$E$12+1,1))</f>
        <v>291.0962681460345</v>
      </c>
      <c r="CE13" s="59">
        <f t="shared" si="40"/>
        <v>240.28311826371385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63.3</v>
      </c>
      <c r="CR13" s="12">
        <f>VLOOKUP(A13,'Données projet'!$A$139:$I$159,9,0)</f>
        <v>6.33</v>
      </c>
      <c r="CS13" s="12">
        <f t="array" ref="CS13">INDEX(CR:CR,MIN(IF(ISNUMBER(CR13:CR209),ROW(CR13:CR209),"")))</f>
        <v>6.33</v>
      </c>
      <c r="CT13" s="12">
        <f>IF('Données projet'!$A$140&gt;35,CT12+CS13-DB12,IF(A13&lt;'Données projet'!$A$140,$CQ$205^A13,IF(A13='Données projet'!$A$140,'Données projet'!$B$140,CT12+CS13-DB12)))</f>
        <v>63.3</v>
      </c>
      <c r="CU13" s="17">
        <f>CT13*VLOOKUP('Données projet'!$B$13,Paramètres!$A$1:$I$89,3,0)*VLOOKUP('Données projet'!$B$13,Paramètres!$A$1:$I$89,5,0)</f>
        <v>29.624399999999998</v>
      </c>
      <c r="CV13" s="13">
        <f t="shared" si="41"/>
        <v>9.2024108496507964</v>
      </c>
      <c r="CW13" s="20">
        <f t="shared" si="13"/>
        <v>67.623362229808464</v>
      </c>
      <c r="CX13" s="59">
        <f t="shared" si="14"/>
        <v>360.95669556314181</v>
      </c>
      <c r="CY13" s="59">
        <f ca="1">AVERAGE(OFFSET($CX$3,0,0,'Données projet'!$E$13+1,1))-AVERAGE(OFFSET($H$3,0,0,'Données projet'!$E$13+1,1))</f>
        <v>225.92546546283018</v>
      </c>
      <c r="CZ13" s="59">
        <f t="shared" si="42"/>
        <v>309.38786160614563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0.44000000000000006</v>
      </c>
      <c r="DE13" s="16">
        <f>IF(ISNA(VLOOKUP(A13,'Données projet'!$A$139:$I$159,7,0)),0%,VLOOKUP(A13,'Données projet'!$A$139:$I$159,7,0))</f>
        <v>0.2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9</v>
      </c>
      <c r="DM13" s="12">
        <f>VLOOKUP(A13,'Données projet'!$A$165:$I$185,9,0)</f>
        <v>0.9</v>
      </c>
      <c r="DN13" s="12">
        <f t="array" ref="DN13">INDEX(DM:DM,MIN(IF(ISNUMBER(DM13:DM209),ROW(DM13:DM209),"")))</f>
        <v>0.9</v>
      </c>
      <c r="DO13" s="12">
        <f>IF('Données projet'!$A$166&gt;35,DO12+DN13-DW12,IF(A13&lt;'Données projet'!$A$166,$DL$205^A13,IF(A13='Données projet'!$A$166,'Données projet'!$B$166,DO12+DN13-DW12)))</f>
        <v>9</v>
      </c>
      <c r="DP13" s="17">
        <f>DO13*VLOOKUP('Données projet'!$B$14,Paramètres!$A$1:$I$89,3,0)*VLOOKUP('Données projet'!$B$14,Paramètres!$A$1:$I$89,5,0)</f>
        <v>7.8624000000000018</v>
      </c>
      <c r="DQ13" s="13">
        <f t="shared" si="43"/>
        <v>2.8501294257559766</v>
      </c>
      <c r="DR13" s="20">
        <f t="shared" si="16"/>
        <v>18.657655416524996</v>
      </c>
      <c r="DS13" s="59">
        <f t="shared" si="17"/>
        <v>311.99098874985833</v>
      </c>
      <c r="DT13" s="59">
        <f ca="1">AVERAGE(OFFSET($DS$3,0,0,'Données projet'!$E$14+1,1))-AVERAGE(OFFSET($H$3,0,0,'Données projet'!$E$14+1,1))</f>
        <v>150.06600397498823</v>
      </c>
      <c r="DU13" s="59">
        <f t="shared" si="44"/>
        <v>170.53034305929714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</v>
      </c>
      <c r="N14" s="13">
        <f>IF('Données projet'!$A$36&gt;35,N13+M14-V13,IF(A14&lt;'Données projet'!$A$36,$K$205^A14,IF(A14='Données projet'!$A$36,'Données projet'!$B$36,N13+M14-V13)))</f>
        <v>20.844875267768419</v>
      </c>
      <c r="O14" s="13">
        <f>N14*VLOOKUP('Données projet'!$B$9,Paramètres!$A$1:$I$89,3,0)*VLOOKUP('Données projet'!$B$9,Paramètres!$A$1:$I$89,5,0)</f>
        <v>9.7554016253156188</v>
      </c>
      <c r="P14" s="13">
        <f t="shared" si="33"/>
        <v>3.4486497003943812</v>
      </c>
      <c r="Q14" s="20">
        <f t="shared" si="2"/>
        <v>22.997056058944917</v>
      </c>
      <c r="R14" s="59">
        <f t="shared" si="0"/>
        <v>316.33038939227822</v>
      </c>
      <c r="S14" s="59">
        <f ca="1">AVERAGE(OFFSET($R$3,0,0,'Données projet'!$E$9+1,1))-AVERAGE(OFFSET($H$3,0,0,'Données projet'!$E$9+1,1))</f>
        <v>294.94285920643927</v>
      </c>
      <c r="T14" s="59">
        <f t="shared" si="34"/>
        <v>399.89535338426606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7.4312217194570129</v>
      </c>
      <c r="AI14" s="13">
        <f>IF('Données projet'!$A$62&gt;35,AI13+AH14-AQ13,IF(A14&lt;'Données projet'!$A$62,$AF$205^A14,IF(A14='Données projet'!$A$62,'Données projet'!$B$62,AI13+AH14-AQ13)))</f>
        <v>22.89813081553541</v>
      </c>
      <c r="AJ14" s="13">
        <f>AI14*VLOOKUP('Données projet'!$B$10,Paramètres!$A$1:$I$89,3,0)*VLOOKUP('Données projet'!$B$10,Paramètres!$A$1:$I$89,5,0)</f>
        <v>13.693082227690176</v>
      </c>
      <c r="AK14" s="13">
        <f t="shared" si="35"/>
        <v>4.6533373606794726</v>
      </c>
      <c r="AL14" s="20">
        <f t="shared" si="4"/>
        <v>31.953347449743802</v>
      </c>
      <c r="AM14" s="59">
        <f t="shared" si="5"/>
        <v>325.28668078307714</v>
      </c>
      <c r="AN14" s="59">
        <f ca="1">AVERAGE(OFFSET($AM$3,0,0,'Données projet'!$E$10+1,1))-AVERAGE(OFFSET($H$3,0,0,'Données projet'!$E$10+1,1))</f>
        <v>200.14675249215634</v>
      </c>
      <c r="AO14" s="59">
        <f t="shared" si="36"/>
        <v>200.55017434999968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6.1793706293706299</v>
      </c>
      <c r="BD14" s="12">
        <f>IF('Données projet'!$A$88&gt;35,BD13+BC14-BL13,IF(A14&lt;'Données projet'!$A$88,$BA$205^A14,IF(A14='Données projet'!$A$88,'Données projet'!$B$88,BD13+BC14-BL13)))</f>
        <v>11.659594926332296</v>
      </c>
      <c r="BE14" s="13">
        <f>BD14*VLOOKUP('Données projet'!$B$11,Paramètres!$A$1:$I$89,3,0)*VLOOKUP('Données projet'!$B$11,Paramètres!$A$1:$I$89,5,0)</f>
        <v>6.6692882978620736</v>
      </c>
      <c r="BF14" s="13">
        <f t="shared" si="37"/>
        <v>2.4643858326557893</v>
      </c>
      <c r="BG14" s="20">
        <f t="shared" si="7"/>
        <v>15.907815777318609</v>
      </c>
      <c r="BH14" s="59">
        <f t="shared" si="8"/>
        <v>309.24114911065192</v>
      </c>
      <c r="BI14" s="59">
        <f ca="1">AVERAGE(OFFSET($BH$3,0,0,'Données projet'!$E$11+1,1))-AVERAGE(OFFSET($H$3,0,0,'Données projet'!$E$11+1,1))</f>
        <v>182.46132340647313</v>
      </c>
      <c r="BJ14" s="59">
        <f t="shared" si="38"/>
        <v>130.51706975490481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3.0666666666666669</v>
      </c>
      <c r="BY14" s="12">
        <f>IF('Données projet'!$A$114&gt;35,BY13+BX14-CG13,IF(A14&lt;'Données projet'!$A$114,$BV$205^A14,IF(A14='Données projet'!$A$114,'Données projet'!$B$114,BY13+BX14-CG13)))</f>
        <v>16.571268084122419</v>
      </c>
      <c r="BZ14" s="13">
        <f>BY14*VLOOKUP('Données projet'!$B$12,Paramètres!$A$1:$I$89,3,0)*VLOOKUP('Données projet'!$B$12,Paramètres!$A$1:$I$89,5,0)</f>
        <v>6.6782210379013351</v>
      </c>
      <c r="CA14" s="13">
        <f t="shared" si="39"/>
        <v>2.4673021566829321</v>
      </c>
      <c r="CB14" s="20">
        <f t="shared" si="10"/>
        <v>15.928452897234266</v>
      </c>
      <c r="CC14" s="59">
        <f t="shared" si="11"/>
        <v>309.26178623056757</v>
      </c>
      <c r="CD14" s="59">
        <f ca="1">AVERAGE(OFFSET($CC$3,0,0,'Données projet'!$E$12+1,1))-AVERAGE(OFFSET($H$3,0,0,'Données projet'!$E$12+1,1))</f>
        <v>291.0962681460345</v>
      </c>
      <c r="CE14" s="59">
        <f t="shared" si="40"/>
        <v>240.28311826371385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16.400000000000002</v>
      </c>
      <c r="CT14" s="12">
        <f>IF('Données projet'!$A$140&gt;35,CT13+CS14-DB13,IF(A14&lt;'Données projet'!$A$140,$CQ$205^A14,IF(A14='Données projet'!$A$140,'Données projet'!$B$140,CT13+CS14-DB13)))</f>
        <v>79.7</v>
      </c>
      <c r="CU14" s="17">
        <f>CT14*VLOOKUP('Données projet'!$B$13,Paramètres!$A$1:$I$89,3,0)*VLOOKUP('Données projet'!$B$13,Paramètres!$A$1:$I$89,5,0)</f>
        <v>37.299599999999998</v>
      </c>
      <c r="CV14" s="13">
        <f t="shared" si="41"/>
        <v>11.280020097636754</v>
      </c>
      <c r="CW14" s="20">
        <f t="shared" si="13"/>
        <v>84.609505003384001</v>
      </c>
      <c r="CX14" s="59">
        <f t="shared" si="14"/>
        <v>377.94283833671733</v>
      </c>
      <c r="CY14" s="59">
        <f ca="1">AVERAGE(OFFSET($CX$3,0,0,'Données projet'!$E$13+1,1))-AVERAGE(OFFSET($H$3,0,0,'Données projet'!$E$13+1,1))</f>
        <v>225.92546546283018</v>
      </c>
      <c r="CZ14" s="59">
        <f t="shared" si="42"/>
        <v>309.38786160614563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3.2</v>
      </c>
      <c r="DO14" s="12">
        <f>IF('Données projet'!$A$166&gt;35,DO13+DN14-DW13,IF(A14&lt;'Données projet'!$A$166,$DL$205^A14,IF(A14='Données projet'!$A$166,'Données projet'!$B$166,DO13+DN14-DW13)))</f>
        <v>12.2</v>
      </c>
      <c r="DP14" s="17">
        <f>DO14*VLOOKUP('Données projet'!$B$14,Paramètres!$A$1:$I$89,3,0)*VLOOKUP('Données projet'!$B$14,Paramètres!$A$1:$I$89,5,0)</f>
        <v>10.657920000000001</v>
      </c>
      <c r="DQ14" s="13">
        <f t="shared" si="43"/>
        <v>3.7290949975640704</v>
      </c>
      <c r="DR14" s="20">
        <f t="shared" si="16"/>
        <v>25.057384454090755</v>
      </c>
      <c r="DS14" s="59">
        <f t="shared" si="17"/>
        <v>318.39071778742408</v>
      </c>
      <c r="DT14" s="59">
        <f ca="1">AVERAGE(OFFSET($DS$3,0,0,'Données projet'!$E$14+1,1))-AVERAGE(OFFSET($H$3,0,0,'Données projet'!$E$14+1,1))</f>
        <v>150.06600397498823</v>
      </c>
      <c r="DU14" s="59">
        <f t="shared" si="44"/>
        <v>170.53034305929714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</v>
      </c>
      <c r="N15" s="13">
        <f>IF('Données projet'!$A$36&gt;35,N14+M15-V14,IF(A15&lt;'Données projet'!$A$36,$K$205^A15,IF(A15='Données projet'!$A$36,'Données projet'!$B$36,N14+M15-V14)))</f>
        <v>27.473141821279974</v>
      </c>
      <c r="O15" s="13">
        <f>N15*VLOOKUP('Données projet'!$B$9,Paramètres!$A$1:$I$89,3,0)*VLOOKUP('Données projet'!$B$9,Paramètres!$A$1:$I$89,5,0)</f>
        <v>12.857430372359026</v>
      </c>
      <c r="P15" s="13">
        <f t="shared" si="33"/>
        <v>4.4014999303783746</v>
      </c>
      <c r="Q15" s="20">
        <f t="shared" si="2"/>
        <v>30.059303610600974</v>
      </c>
      <c r="R15" s="59">
        <f t="shared" si="0"/>
        <v>323.39263694393429</v>
      </c>
      <c r="S15" s="59">
        <f ca="1">AVERAGE(OFFSET($R$3,0,0,'Données projet'!$E$9+1,1))-AVERAGE(OFFSET($H$3,0,0,'Données projet'!$E$9+1,1))</f>
        <v>294.94285920643927</v>
      </c>
      <c r="T15" s="59">
        <f t="shared" si="34"/>
        <v>399.89535338426606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7.4312217194570129</v>
      </c>
      <c r="AI15" s="13">
        <f>IF('Données projet'!$A$62&gt;35,AI14+AH15-AQ14,IF(A15&lt;'Données projet'!$A$62,$AF$205^A15,IF(A15='Données projet'!$A$62,'Données projet'!$B$62,AI14+AH15-AQ14)))</f>
        <v>30.438147473844893</v>
      </c>
      <c r="AJ15" s="13">
        <f>AI15*VLOOKUP('Données projet'!$B$10,Paramètres!$A$1:$I$89,3,0)*VLOOKUP('Données projet'!$B$10,Paramètres!$A$1:$I$89,5,0)</f>
        <v>18.202012189359248</v>
      </c>
      <c r="AK15" s="13">
        <f t="shared" si="35"/>
        <v>5.984027317903192</v>
      </c>
      <c r="AL15" s="20">
        <f t="shared" si="4"/>
        <v>42.124018808482084</v>
      </c>
      <c r="AM15" s="59">
        <f t="shared" si="5"/>
        <v>335.45735214181542</v>
      </c>
      <c r="AN15" s="59">
        <f ca="1">AVERAGE(OFFSET($AM$3,0,0,'Données projet'!$E$10+1,1))-AVERAGE(OFFSET($H$3,0,0,'Données projet'!$E$10+1,1))</f>
        <v>200.14675249215634</v>
      </c>
      <c r="AO15" s="59">
        <f t="shared" si="36"/>
        <v>200.55017434999968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6.1793706293706299</v>
      </c>
      <c r="BD15" s="12">
        <f>IF('Données projet'!$A$88&gt;35,BD14+BC15-BL14,IF(A15&lt;'Données projet'!$A$88,$BA$205^A15,IF(A15='Données projet'!$A$88,'Données projet'!$B$88,BD14+BC15-BL14)))</f>
        <v>14.576547978737091</v>
      </c>
      <c r="BE15" s="13">
        <f>BD15*VLOOKUP('Données projet'!$B$11,Paramètres!$A$1:$I$89,3,0)*VLOOKUP('Données projet'!$B$11,Paramètres!$A$1:$I$89,5,0)</f>
        <v>8.3377854438376158</v>
      </c>
      <c r="BF15" s="13">
        <f t="shared" si="37"/>
        <v>3.001874121272925</v>
      </c>
      <c r="BG15" s="20">
        <f t="shared" si="7"/>
        <v>19.749907075900857</v>
      </c>
      <c r="BH15" s="59">
        <f t="shared" si="8"/>
        <v>313.08324040923418</v>
      </c>
      <c r="BI15" s="59">
        <f ca="1">AVERAGE(OFFSET($BH$3,0,0,'Données projet'!$E$11+1,1))-AVERAGE(OFFSET($H$3,0,0,'Données projet'!$E$11+1,1))</f>
        <v>182.46132340647313</v>
      </c>
      <c r="BJ15" s="59">
        <f t="shared" si="38"/>
        <v>130.51706975490481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3.0666666666666669</v>
      </c>
      <c r="BY15" s="12">
        <f>IF('Données projet'!$A$114&gt;35,BY14+BX15-CG14,IF(A15&lt;'Données projet'!$A$114,$BV$205^A15,IF(A15='Données projet'!$A$114,'Données projet'!$B$114,BY14+BX15-CG14)))</f>
        <v>21.389777418892084</v>
      </c>
      <c r="BZ15" s="13">
        <f>BY15*VLOOKUP('Données projet'!$B$12,Paramètres!$A$1:$I$89,3,0)*VLOOKUP('Données projet'!$B$12,Paramètres!$A$1:$I$89,5,0)</f>
        <v>8.6200802998135106</v>
      </c>
      <c r="CA15" s="13">
        <f t="shared" si="39"/>
        <v>3.0915043341660806</v>
      </c>
      <c r="CB15" s="20">
        <f t="shared" si="10"/>
        <v>20.397676570847789</v>
      </c>
      <c r="CC15" s="59">
        <f t="shared" si="11"/>
        <v>313.73100990418112</v>
      </c>
      <c r="CD15" s="59">
        <f ca="1">AVERAGE(OFFSET($CC$3,0,0,'Données projet'!$E$12+1,1))-AVERAGE(OFFSET($H$3,0,0,'Données projet'!$E$12+1,1))</f>
        <v>291.0962681460345</v>
      </c>
      <c r="CE15" s="59">
        <f t="shared" si="40"/>
        <v>240.28311826371385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16.400000000000002</v>
      </c>
      <c r="CT15" s="12">
        <f>IF('Données projet'!$A$140&gt;35,CT14+CS15-DB14,IF(A15&lt;'Données projet'!$A$140,$CQ$205^A15,IF(A15='Données projet'!$A$140,'Données projet'!$B$140,CT14+CS15-DB14)))</f>
        <v>96.100000000000009</v>
      </c>
      <c r="CU15" s="17">
        <f>CT15*VLOOKUP('Données projet'!$B$13,Paramètres!$A$1:$I$89,3,0)*VLOOKUP('Données projet'!$B$13,Paramètres!$A$1:$I$89,5,0)</f>
        <v>44.974800000000009</v>
      </c>
      <c r="CV15" s="13">
        <f t="shared" si="41"/>
        <v>13.308088674222212</v>
      </c>
      <c r="CW15" s="20">
        <f t="shared" si="13"/>
        <v>101.50936444093702</v>
      </c>
      <c r="CX15" s="59">
        <f t="shared" si="14"/>
        <v>394.84269777427033</v>
      </c>
      <c r="CY15" s="59">
        <f ca="1">AVERAGE(OFFSET($CX$3,0,0,'Données projet'!$E$13+1,1))-AVERAGE(OFFSET($H$3,0,0,'Données projet'!$E$13+1,1))</f>
        <v>225.92546546283018</v>
      </c>
      <c r="CZ15" s="59">
        <f t="shared" si="42"/>
        <v>309.38786160614563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3.2</v>
      </c>
      <c r="DO15" s="12">
        <f>IF('Données projet'!$A$166&gt;35,DO14+DN15-DW14,IF(A15&lt;'Données projet'!$A$166,$DL$205^A15,IF(A15='Données projet'!$A$166,'Données projet'!$B$166,DO14+DN15-DW14)))</f>
        <v>15.399999999999999</v>
      </c>
      <c r="DP15" s="17">
        <f>DO15*VLOOKUP('Données projet'!$B$14,Paramètres!$A$1:$I$89,3,0)*VLOOKUP('Données projet'!$B$14,Paramètres!$A$1:$I$89,5,0)</f>
        <v>13.453440000000001</v>
      </c>
      <c r="DQ15" s="13">
        <f t="shared" si="43"/>
        <v>4.5813050391539978</v>
      </c>
      <c r="DR15" s="20">
        <f t="shared" si="16"/>
        <v>31.410514276526541</v>
      </c>
      <c r="DS15" s="59">
        <f t="shared" si="17"/>
        <v>324.74384760985987</v>
      </c>
      <c r="DT15" s="59">
        <f ca="1">AVERAGE(OFFSET($DS$3,0,0,'Données projet'!$E$14+1,1))-AVERAGE(OFFSET($H$3,0,0,'Données projet'!$E$14+1,1))</f>
        <v>150.06600397498823</v>
      </c>
      <c r="DU15" s="59">
        <f t="shared" si="44"/>
        <v>170.53034305929714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</v>
      </c>
      <c r="N16" s="13">
        <f>IF('Données projet'!$A$36&gt;35,N15+M16-V15,IF(A16&lt;'Données projet'!$A$36,$K$205^A16,IF(A16='Données projet'!$A$36,'Données projet'!$B$36,N15+M16-V15)))</f>
        <v>36.209068744068631</v>
      </c>
      <c r="O16" s="13">
        <f>N16*VLOOKUP('Données projet'!$B$9,Paramètres!$A$1:$I$89,3,0)*VLOOKUP('Données projet'!$B$9,Paramètres!$A$1:$I$89,5,0)</f>
        <v>16.94584417222412</v>
      </c>
      <c r="P16" s="13">
        <f t="shared" si="33"/>
        <v>5.6176194511449991</v>
      </c>
      <c r="Q16" s="20">
        <f t="shared" si="2"/>
        <v>39.298032477367883</v>
      </c>
      <c r="R16" s="59">
        <f t="shared" si="0"/>
        <v>332.6313658107012</v>
      </c>
      <c r="S16" s="59">
        <f ca="1">AVERAGE(OFFSET($R$3,0,0,'Données projet'!$E$9+1,1))-AVERAGE(OFFSET($H$3,0,0,'Données projet'!$E$9+1,1))</f>
        <v>294.94285920643927</v>
      </c>
      <c r="T16" s="59">
        <f t="shared" si="34"/>
        <v>399.89535338426606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7.4312217194570129</v>
      </c>
      <c r="AI16" s="13">
        <f>IF('Données projet'!$A$62&gt;35,AI15+AH16-AQ15,IF(A16&lt;'Données projet'!$A$62,$AF$205^A16,IF(A16='Données projet'!$A$62,'Données projet'!$B$62,AI15+AH16-AQ15)))</f>
        <v>40.460980378841768</v>
      </c>
      <c r="AJ16" s="13">
        <f>AI16*VLOOKUP('Données projet'!$B$10,Paramètres!$A$1:$I$89,3,0)*VLOOKUP('Données projet'!$B$10,Paramètres!$A$1:$I$89,5,0)</f>
        <v>24.195666266547377</v>
      </c>
      <c r="AK16" s="13">
        <f t="shared" si="35"/>
        <v>7.6952475537219458</v>
      </c>
      <c r="AL16" s="20">
        <f t="shared" si="4"/>
        <v>55.543341570302402</v>
      </c>
      <c r="AM16" s="59">
        <f t="shared" si="5"/>
        <v>348.87667490363572</v>
      </c>
      <c r="AN16" s="59">
        <f ca="1">AVERAGE(OFFSET($AM$3,0,0,'Données projet'!$E$10+1,1))-AVERAGE(OFFSET($H$3,0,0,'Données projet'!$E$10+1,1))</f>
        <v>200.14675249215634</v>
      </c>
      <c r="AO16" s="59">
        <f t="shared" si="36"/>
        <v>200.55017434999968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6.1793706293706299</v>
      </c>
      <c r="BD16" s="12">
        <f>IF('Données projet'!$A$88&gt;35,BD15+BC16-BL15,IF(A16&lt;'Données projet'!$A$88,$BA$205^A16,IF(A16='Données projet'!$A$88,'Données projet'!$B$88,BD15+BC16-BL15)))</f>
        <v>18.223253236402261</v>
      </c>
      <c r="BE16" s="13">
        <f>BD16*VLOOKUP('Données projet'!$B$11,Paramètres!$A$1:$I$89,3,0)*VLOOKUP('Données projet'!$B$11,Paramètres!$A$1:$I$89,5,0)</f>
        <v>10.423700851222092</v>
      </c>
      <c r="BF16" s="13">
        <f t="shared" si="37"/>
        <v>3.656589857220923</v>
      </c>
      <c r="BG16" s="20">
        <f t="shared" si="7"/>
        <v>24.523172983871586</v>
      </c>
      <c r="BH16" s="59">
        <f t="shared" si="8"/>
        <v>317.85650631720489</v>
      </c>
      <c r="BI16" s="59">
        <f ca="1">AVERAGE(OFFSET($BH$3,0,0,'Données projet'!$E$11+1,1))-AVERAGE(OFFSET($H$3,0,0,'Données projet'!$E$11+1,1))</f>
        <v>182.46132340647313</v>
      </c>
      <c r="BJ16" s="59">
        <f t="shared" si="38"/>
        <v>130.51706975490481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3.0666666666666669</v>
      </c>
      <c r="BY16" s="12">
        <f>IF('Données projet'!$A$114&gt;35,BY15+BX16-CG15,IF(A16&lt;'Données projet'!$A$114,$BV$205^A16,IF(A16='Données projet'!$A$114,'Données projet'!$B$114,BY15+BX16-CG15)))</f>
        <v>27.609388473300726</v>
      </c>
      <c r="BZ16" s="13">
        <f>BY16*VLOOKUP('Données projet'!$B$12,Paramètres!$A$1:$I$89,3,0)*VLOOKUP('Données projet'!$B$12,Paramètres!$A$1:$I$89,5,0)</f>
        <v>11.126583554740193</v>
      </c>
      <c r="CA16" s="13">
        <f t="shared" si="39"/>
        <v>3.8736232699673634</v>
      </c>
      <c r="CB16" s="20">
        <f t="shared" si="10"/>
        <v>26.125360219698994</v>
      </c>
      <c r="CC16" s="59">
        <f t="shared" si="11"/>
        <v>319.45869355303233</v>
      </c>
      <c r="CD16" s="59">
        <f ca="1">AVERAGE(OFFSET($CC$3,0,0,'Données projet'!$E$12+1,1))-AVERAGE(OFFSET($H$3,0,0,'Données projet'!$E$12+1,1))</f>
        <v>291.0962681460345</v>
      </c>
      <c r="CE16" s="59">
        <f t="shared" si="40"/>
        <v>240.28311826371385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16.400000000000002</v>
      </c>
      <c r="CT16" s="12">
        <f>IF('Données projet'!$A$140&gt;35,CT15+CS16-DB15,IF(A16&lt;'Données projet'!$A$140,$CQ$205^A16,IF(A16='Données projet'!$A$140,'Données projet'!$B$140,CT15+CS16-DB15)))</f>
        <v>112.50000000000001</v>
      </c>
      <c r="CU16" s="17">
        <f>CT16*VLOOKUP('Données projet'!$B$13,Paramètres!$A$1:$I$89,3,0)*VLOOKUP('Données projet'!$B$13,Paramètres!$A$1:$I$89,5,0)</f>
        <v>52.650000000000013</v>
      </c>
      <c r="CV16" s="13">
        <f t="shared" si="41"/>
        <v>15.296063204735685</v>
      </c>
      <c r="CW16" s="20">
        <f t="shared" si="13"/>
        <v>118.33939341491465</v>
      </c>
      <c r="CX16" s="59">
        <f t="shared" si="14"/>
        <v>411.67272674824795</v>
      </c>
      <c r="CY16" s="59">
        <f ca="1">AVERAGE(OFFSET($CX$3,0,0,'Données projet'!$E$13+1,1))-AVERAGE(OFFSET($H$3,0,0,'Données projet'!$E$13+1,1))</f>
        <v>225.92546546283018</v>
      </c>
      <c r="CZ16" s="59">
        <f t="shared" si="42"/>
        <v>309.38786160614563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3.2</v>
      </c>
      <c r="DO16" s="12">
        <f>IF('Données projet'!$A$166&gt;35,DO15+DN16-DW15,IF(A16&lt;'Données projet'!$A$166,$DL$205^A16,IF(A16='Données projet'!$A$166,'Données projet'!$B$166,DO15+DN16-DW15)))</f>
        <v>18.599999999999998</v>
      </c>
      <c r="DP16" s="17">
        <f>DO16*VLOOKUP('Données projet'!$B$14,Paramètres!$A$1:$I$89,3,0)*VLOOKUP('Données projet'!$B$14,Paramètres!$A$1:$I$89,5,0)</f>
        <v>16.24896</v>
      </c>
      <c r="DQ16" s="13">
        <f t="shared" si="43"/>
        <v>5.4129939058841172</v>
      </c>
      <c r="DR16" s="20">
        <f t="shared" si="16"/>
        <v>37.727903052748168</v>
      </c>
      <c r="DS16" s="59">
        <f t="shared" si="17"/>
        <v>331.06123638608148</v>
      </c>
      <c r="DT16" s="59">
        <f ca="1">AVERAGE(OFFSET($DS$3,0,0,'Données projet'!$E$14+1,1))-AVERAGE(OFFSET($H$3,0,0,'Données projet'!$E$14+1,1))</f>
        <v>150.06600397498823</v>
      </c>
      <c r="DU16" s="59">
        <f t="shared" si="44"/>
        <v>170.53034305929714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</v>
      </c>
      <c r="N17" s="13">
        <f>IF('Données projet'!$A$36&gt;35,N16+M17-V16,IF(A17&lt;'Données projet'!$A$36,$K$205^A17,IF(A17='Données projet'!$A$36,'Données projet'!$B$36,N16+M17-V16)))</f>
        <v>47.722851206524417</v>
      </c>
      <c r="O17" s="13">
        <f>N17*VLOOKUP('Données projet'!$B$9,Paramètres!$A$1:$I$89,3,0)*VLOOKUP('Données projet'!$B$9,Paramètres!$A$1:$I$89,5,0)</f>
        <v>22.334294364653427</v>
      </c>
      <c r="P17" s="13">
        <f t="shared" si="33"/>
        <v>7.1697486759177922</v>
      </c>
      <c r="Q17" s="20">
        <f t="shared" si="2"/>
        <v>51.38620829566154</v>
      </c>
      <c r="R17" s="59">
        <f t="shared" si="0"/>
        <v>344.71954162899488</v>
      </c>
      <c r="S17" s="59">
        <f ca="1">AVERAGE(OFFSET($R$3,0,0,'Données projet'!$E$9+1,1))-AVERAGE(OFFSET($H$3,0,0,'Données projet'!$E$9+1,1))</f>
        <v>294.94285920643927</v>
      </c>
      <c r="T17" s="59">
        <f t="shared" si="34"/>
        <v>399.89535338426606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7.4312217194570129</v>
      </c>
      <c r="AI17" s="13">
        <f>IF('Données projet'!$A$62&gt;35,AI16+AH17-AQ16,IF(A17&lt;'Données projet'!$A$62,$AF$205^A17,IF(A17='Données projet'!$A$62,'Données projet'!$B$62,AI16+AH17-AQ16)))</f>
        <v>53.784184291233551</v>
      </c>
      <c r="AJ17" s="13">
        <f>AI17*VLOOKUP('Données projet'!$B$10,Paramètres!$A$1:$I$89,3,0)*VLOOKUP('Données projet'!$B$10,Paramètres!$A$1:$I$89,5,0)</f>
        <v>32.162942206157666</v>
      </c>
      <c r="AK17" s="13">
        <f t="shared" si="35"/>
        <v>9.8958162734145461</v>
      </c>
      <c r="AL17" s="20">
        <f t="shared" si="4"/>
        <v>73.252337685254929</v>
      </c>
      <c r="AM17" s="59">
        <f t="shared" si="5"/>
        <v>366.58567101858824</v>
      </c>
      <c r="AN17" s="59">
        <f ca="1">AVERAGE(OFFSET($AM$3,0,0,'Données projet'!$E$10+1,1))-AVERAGE(OFFSET($H$3,0,0,'Données projet'!$E$10+1,1))</f>
        <v>200.14675249215634</v>
      </c>
      <c r="AO17" s="59">
        <f t="shared" si="36"/>
        <v>200.55017434999968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6.1793706293706299</v>
      </c>
      <c r="BD17" s="12">
        <f>IF('Données projet'!$A$88&gt;35,BD16+BC17-BL16,IF(A17&lt;'Données projet'!$A$88,$BA$205^A17,IF(A17='Données projet'!$A$88,'Données projet'!$B$88,BD16+BC17-BL16)))</f>
        <v>22.782277326734896</v>
      </c>
      <c r="BE17" s="13">
        <f>BD17*VLOOKUP('Données projet'!$B$11,Paramètres!$A$1:$I$89,3,0)*VLOOKUP('Données projet'!$B$11,Paramètres!$A$1:$I$89,5,0)</f>
        <v>13.031462630892362</v>
      </c>
      <c r="BF17" s="13">
        <f t="shared" si="37"/>
        <v>4.4541006197359136</v>
      </c>
      <c r="BG17" s="20">
        <f t="shared" si="7"/>
        <v>30.454022661510908</v>
      </c>
      <c r="BH17" s="59">
        <f t="shared" si="8"/>
        <v>323.78735599484423</v>
      </c>
      <c r="BI17" s="59">
        <f ca="1">AVERAGE(OFFSET($BH$3,0,0,'Données projet'!$E$11+1,1))-AVERAGE(OFFSET($H$3,0,0,'Données projet'!$E$11+1,1))</f>
        <v>182.46132340647313</v>
      </c>
      <c r="BJ17" s="59">
        <f t="shared" si="38"/>
        <v>130.51706975490481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3.0666666666666669</v>
      </c>
      <c r="BY17" s="12">
        <f>IF('Données projet'!$A$114&gt;35,BY16+BX17-CG16,IF(A17&lt;'Données projet'!$A$114,$BV$205^A17,IF(A17='Données projet'!$A$114,'Données projet'!$B$114,BY16+BX17-CG16)))</f>
        <v>35.637506503287135</v>
      </c>
      <c r="BZ17" s="13">
        <f>BY17*VLOOKUP('Données projet'!$B$12,Paramètres!$A$1:$I$89,3,0)*VLOOKUP('Données projet'!$B$12,Paramètres!$A$1:$I$89,5,0)</f>
        <v>14.361915120824717</v>
      </c>
      <c r="CA17" s="13">
        <f t="shared" si="39"/>
        <v>4.8536102866826978</v>
      </c>
      <c r="CB17" s="20">
        <f t="shared" si="10"/>
        <v>33.467040084742074</v>
      </c>
      <c r="CC17" s="59">
        <f t="shared" si="11"/>
        <v>326.80037341807537</v>
      </c>
      <c r="CD17" s="59">
        <f ca="1">AVERAGE(OFFSET($CC$3,0,0,'Données projet'!$E$12+1,1))-AVERAGE(OFFSET($H$3,0,0,'Données projet'!$E$12+1,1))</f>
        <v>291.0962681460345</v>
      </c>
      <c r="CE17" s="59">
        <f t="shared" si="40"/>
        <v>240.28311826371385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16.400000000000002</v>
      </c>
      <c r="CT17" s="12">
        <f>IF('Données projet'!$A$140&gt;35,CT16+CS17-DB16,IF(A17&lt;'Données projet'!$A$140,$CQ$205^A17,IF(A17='Données projet'!$A$140,'Données projet'!$B$140,CT16+CS17-DB16)))</f>
        <v>128.9</v>
      </c>
      <c r="CU17" s="17">
        <f>CT17*VLOOKUP('Données projet'!$B$13,Paramètres!$A$1:$I$89,3,0)*VLOOKUP('Données projet'!$B$13,Paramètres!$A$1:$I$89,5,0)</f>
        <v>60.325200000000009</v>
      </c>
      <c r="CV17" s="13">
        <f t="shared" si="41"/>
        <v>17.250463891760411</v>
      </c>
      <c r="CW17" s="20">
        <f t="shared" si="13"/>
        <v>135.11094794481608</v>
      </c>
      <c r="CX17" s="59">
        <f t="shared" si="14"/>
        <v>428.44428127814939</v>
      </c>
      <c r="CY17" s="59">
        <f ca="1">AVERAGE(OFFSET($CX$3,0,0,'Données projet'!$E$13+1,1))-AVERAGE(OFFSET($H$3,0,0,'Données projet'!$E$13+1,1))</f>
        <v>225.92546546283018</v>
      </c>
      <c r="CZ17" s="59">
        <f t="shared" si="42"/>
        <v>309.38786160614563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3.2</v>
      </c>
      <c r="DO17" s="12">
        <f>IF('Données projet'!$A$166&gt;35,DO16+DN17-DW16,IF(A17&lt;'Données projet'!$A$166,$DL$205^A17,IF(A17='Données projet'!$A$166,'Données projet'!$B$166,DO16+DN17-DW16)))</f>
        <v>21.799999999999997</v>
      </c>
      <c r="DP17" s="17">
        <f>DO17*VLOOKUP('Données projet'!$B$14,Paramètres!$A$1:$I$89,3,0)*VLOOKUP('Données projet'!$B$14,Paramètres!$A$1:$I$89,5,0)</f>
        <v>19.04448</v>
      </c>
      <c r="DQ17" s="13">
        <f t="shared" si="43"/>
        <v>6.2281069020478963</v>
      </c>
      <c r="DR17" s="20">
        <f t="shared" si="16"/>
        <v>44.016422187733419</v>
      </c>
      <c r="DS17" s="59">
        <f t="shared" si="17"/>
        <v>337.34975552106675</v>
      </c>
      <c r="DT17" s="59">
        <f ca="1">AVERAGE(OFFSET($DS$3,0,0,'Données projet'!$E$14+1,1))-AVERAGE(OFFSET($H$3,0,0,'Données projet'!$E$14+1,1))</f>
        <v>150.06600397498823</v>
      </c>
      <c r="DU17" s="59">
        <f t="shared" si="44"/>
        <v>170.53034305929714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</v>
      </c>
      <c r="N18" s="13">
        <f>IF('Données projet'!$A$36&gt;35,N17+M18-V17,IF(A18&lt;'Données projet'!$A$36,$K$205^A18,IF(A18='Données projet'!$A$36,'Données projet'!$B$36,N17+M18-V17)))</f>
        <v>62.897793461013542</v>
      </c>
      <c r="O18" s="13">
        <f>N18*VLOOKUP('Données projet'!$B$9,Paramètres!$A$1:$I$89,3,0)*VLOOKUP('Données projet'!$B$9,Paramètres!$A$1:$I$89,5,0)</f>
        <v>29.436167339754334</v>
      </c>
      <c r="P18" s="13">
        <f t="shared" si="33"/>
        <v>9.1507259476872189</v>
      </c>
      <c r="Q18" s="20">
        <f t="shared" si="2"/>
        <v>67.205505808960694</v>
      </c>
      <c r="R18" s="59">
        <f t="shared" si="0"/>
        <v>360.53883914229402</v>
      </c>
      <c r="S18" s="59">
        <f ca="1">AVERAGE(OFFSET($R$3,0,0,'Données projet'!$E$9+1,1))-AVERAGE(OFFSET($H$3,0,0,'Données projet'!$E$9+1,1))</f>
        <v>294.94285920643927</v>
      </c>
      <c r="T18" s="59">
        <f t="shared" si="34"/>
        <v>399.89535338426606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7.4312217194570129</v>
      </c>
      <c r="AI18" s="13">
        <f>IF('Données projet'!$A$62&gt;35,AI17+AH18-AQ17,IF(A18&lt;'Données projet'!$A$62,$AF$205^A18,IF(A18='Données projet'!$A$62,'Données projet'!$B$62,AI17+AH18-AQ17)))</f>
        <v>71.494522692931866</v>
      </c>
      <c r="AJ18" s="13">
        <f>AI18*VLOOKUP('Données projet'!$B$10,Paramètres!$A$1:$I$89,3,0)*VLOOKUP('Données projet'!$B$10,Paramètres!$A$1:$I$89,5,0)</f>
        <v>42.753724570373258</v>
      </c>
      <c r="AK18" s="13">
        <f t="shared" si="35"/>
        <v>12.725669841487028</v>
      </c>
      <c r="AL18" s="20">
        <f t="shared" si="4"/>
        <v>96.626611933989992</v>
      </c>
      <c r="AM18" s="59">
        <f t="shared" si="5"/>
        <v>389.95994526732329</v>
      </c>
      <c r="AN18" s="59">
        <f ca="1">AVERAGE(OFFSET($AM$3,0,0,'Données projet'!$E$10+1,1))-AVERAGE(OFFSET($H$3,0,0,'Données projet'!$E$10+1,1))</f>
        <v>200.14675249215634</v>
      </c>
      <c r="AO18" s="59">
        <f t="shared" si="36"/>
        <v>200.55017434999968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6.1793706293706299</v>
      </c>
      <c r="BD18" s="12">
        <f>IF('Données projet'!$A$88&gt;35,BD17+BC18-BL17,IF(A18&lt;'Données projet'!$A$88,$BA$205^A18,IF(A18='Données projet'!$A$88,'Données projet'!$B$88,BD17+BC18-BL17)))</f>
        <v>28.481860700670879</v>
      </c>
      <c r="BE18" s="13">
        <f>BD18*VLOOKUP('Données projet'!$B$11,Paramètres!$A$1:$I$89,3,0)*VLOOKUP('Données projet'!$B$11,Paramètres!$A$1:$I$89,5,0)</f>
        <v>16.291624320783743</v>
      </c>
      <c r="BF18" s="13">
        <f t="shared" si="37"/>
        <v>5.4255503366215247</v>
      </c>
      <c r="BG18" s="20">
        <f t="shared" si="7"/>
        <v>37.82407919498084</v>
      </c>
      <c r="BH18" s="59">
        <f t="shared" si="8"/>
        <v>331.15741252831413</v>
      </c>
      <c r="BI18" s="59">
        <f ca="1">AVERAGE(OFFSET($BH$3,0,0,'Données projet'!$E$11+1,1))-AVERAGE(OFFSET($H$3,0,0,'Données projet'!$E$11+1,1))</f>
        <v>182.46132340647313</v>
      </c>
      <c r="BJ18" s="59">
        <f t="shared" si="38"/>
        <v>130.51706975490481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46</v>
      </c>
      <c r="BW18" s="12">
        <f>VLOOKUP(A18,'Données projet'!$A$113:$I$133,9,0)</f>
        <v>3.0666666666666669</v>
      </c>
      <c r="BX18" s="12">
        <f t="array" ref="BX18">INDEX(BW:BW,MIN(IF(ISNUMBER(BW18:BW214),ROW(BW18:BW214),"")))</f>
        <v>3.0666666666666669</v>
      </c>
      <c r="BY18" s="12">
        <f>IF('Données projet'!$A$114&gt;35,BY17+BX18-CG17,IF(A18&lt;'Données projet'!$A$114,$BV$205^A18,IF(A18='Données projet'!$A$114,'Données projet'!$B$114,BY17+BX18-CG17)))</f>
        <v>46</v>
      </c>
      <c r="BZ18" s="13">
        <f>BY18*VLOOKUP('Données projet'!$B$12,Paramètres!$A$1:$I$89,3,0)*VLOOKUP('Données projet'!$B$12,Paramètres!$A$1:$I$89,5,0)</f>
        <v>18.538</v>
      </c>
      <c r="CA18" s="13">
        <f t="shared" si="39"/>
        <v>6.0815239823749314</v>
      </c>
      <c r="CB18" s="20">
        <f t="shared" si="10"/>
        <v>42.87900426930301</v>
      </c>
      <c r="CC18" s="59">
        <f t="shared" si="11"/>
        <v>336.21233760263635</v>
      </c>
      <c r="CD18" s="59">
        <f ca="1">AVERAGE(OFFSET($CC$3,0,0,'Données projet'!$E$12+1,1))-AVERAGE(OFFSET($H$3,0,0,'Données projet'!$E$12+1,1))</f>
        <v>291.0962681460345</v>
      </c>
      <c r="CE18" s="59">
        <f t="shared" si="40"/>
        <v>240.28311826371385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145.30000000000001</v>
      </c>
      <c r="CR18" s="12">
        <f>VLOOKUP(A18,'Données projet'!$A$139:$I$159,9,0)</f>
        <v>16.400000000000002</v>
      </c>
      <c r="CS18" s="12">
        <f t="array" ref="CS18">INDEX(CR:CR,MIN(IF(ISNUMBER(CR18:CR214),ROW(CR18:CR214),"")))</f>
        <v>16.400000000000002</v>
      </c>
      <c r="CT18" s="12">
        <f>IF('Données projet'!$A$140&gt;35,CT17+CS18-DB17,IF(A18&lt;'Données projet'!$A$140,$CQ$205^A18,IF(A18='Données projet'!$A$140,'Données projet'!$B$140,CT17+CS18-DB17)))</f>
        <v>145.30000000000001</v>
      </c>
      <c r="CU18" s="17">
        <f>CT18*VLOOKUP('Données projet'!$B$13,Paramètres!$A$1:$I$89,3,0)*VLOOKUP('Données projet'!$B$13,Paramètres!$A$1:$I$89,5,0)</f>
        <v>68.000399999999999</v>
      </c>
      <c r="CV18" s="13">
        <f t="shared" si="41"/>
        <v>19.176051943890599</v>
      </c>
      <c r="CW18" s="20">
        <f t="shared" si="13"/>
        <v>151.83232046894278</v>
      </c>
      <c r="CX18" s="59">
        <f t="shared" si="14"/>
        <v>445.1656538022761</v>
      </c>
      <c r="CY18" s="59">
        <f ca="1">AVERAGE(OFFSET($CX$3,0,0,'Données projet'!$E$13+1,1))-AVERAGE(OFFSET($H$3,0,0,'Données projet'!$E$13+1,1))</f>
        <v>225.92546546283018</v>
      </c>
      <c r="CZ18" s="59">
        <f t="shared" si="42"/>
        <v>309.38786160614563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27.8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0.44000000000000006</v>
      </c>
      <c r="DE18" s="16">
        <f>IF(ISNA(VLOOKUP(A18,'Données projet'!$A$139:$I$159,7,0)),0%,VLOOKUP(A18,'Données projet'!$A$139:$I$159,7,0))</f>
        <v>0.2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7.5641184975376818</v>
      </c>
      <c r="DH18" s="21">
        <f>EXP(-LN(2)/2)*DH17+(1-EXP(-LN(2)/2))/(LN(2)/2)*DB18*DE18*VLOOKUP('Données projet'!$B$13,Paramètres!$A$1:$I$89,3,0)*0.475*44/12</f>
        <v>2.9461590167476661</v>
      </c>
      <c r="DI18" s="22">
        <f t="shared" si="15"/>
        <v>10.510277514285349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25</v>
      </c>
      <c r="DM18" s="12">
        <f>VLOOKUP(A18,'Données projet'!$A$165:$I$185,9,0)</f>
        <v>3.2</v>
      </c>
      <c r="DN18" s="12">
        <f t="array" ref="DN18">INDEX(DM:DM,MIN(IF(ISNUMBER(DM18:DM214),ROW(DM18:DM214),"")))</f>
        <v>3.2</v>
      </c>
      <c r="DO18" s="12">
        <f>IF('Données projet'!$A$166&gt;35,DO17+DN18-DW17,IF(A18&lt;'Données projet'!$A$166,$DL$205^A18,IF(A18='Données projet'!$A$166,'Données projet'!$B$166,DO17+DN18-DW17)))</f>
        <v>24.999999999999996</v>
      </c>
      <c r="DP18" s="17">
        <f>DO18*VLOOKUP('Données projet'!$B$14,Paramètres!$A$1:$I$89,3,0)*VLOOKUP('Données projet'!$B$14,Paramètres!$A$1:$I$89,5,0)</f>
        <v>21.84</v>
      </c>
      <c r="DQ18" s="13">
        <f t="shared" si="43"/>
        <v>7.0293584875852613</v>
      </c>
      <c r="DR18" s="20">
        <f t="shared" si="16"/>
        <v>50.280799365877662</v>
      </c>
      <c r="DS18" s="59">
        <f t="shared" si="17"/>
        <v>343.61413269921098</v>
      </c>
      <c r="DT18" s="59">
        <f ca="1">AVERAGE(OFFSET($DS$3,0,0,'Données projet'!$E$14+1,1))-AVERAGE(OFFSET($H$3,0,0,'Données projet'!$E$14+1,1))</f>
        <v>150.06600397498823</v>
      </c>
      <c r="DU18" s="59">
        <f t="shared" si="44"/>
        <v>170.53034305929714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</v>
      </c>
      <c r="N19" s="13">
        <f>IF('Données projet'!$A$36&gt;35,N18+M19-V18,IF(A19&lt;'Données projet'!$A$36,$K$205^A19,IF(A19='Données projet'!$A$36,'Données projet'!$B$36,N18+M19-V18)))</f>
        <v>82.898073401856081</v>
      </c>
      <c r="O19" s="13">
        <f>N19*VLOOKUP('Données projet'!$B$9,Paramètres!$A$1:$I$89,3,0)*VLOOKUP('Données projet'!$B$9,Paramètres!$A$1:$I$89,5,0)</f>
        <v>38.796298352068646</v>
      </c>
      <c r="P19" s="13">
        <f t="shared" si="33"/>
        <v>11.679040529123872</v>
      </c>
      <c r="Q19" s="20">
        <f t="shared" si="2"/>
        <v>87.911215218076961</v>
      </c>
      <c r="R19" s="59">
        <f t="shared" si="0"/>
        <v>381.24454855141028</v>
      </c>
      <c r="S19" s="59">
        <f ca="1">AVERAGE(OFFSET($R$3,0,0,'Données projet'!$E$9+1,1))-AVERAGE(OFFSET($H$3,0,0,'Données projet'!$E$9+1,1))</f>
        <v>294.94285920643927</v>
      </c>
      <c r="T19" s="59">
        <f t="shared" si="34"/>
        <v>399.89535338426606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7.4312217194570129</v>
      </c>
      <c r="AI19" s="13">
        <f>IF('Données projet'!$A$62&gt;35,AI18+AH19-AQ18,IF(A19&lt;'Données projet'!$A$62,$AF$205^A19,IF(A19='Données projet'!$A$62,'Données projet'!$B$62,AI18+AH19-AQ18)))</f>
        <v>95.036614247271999</v>
      </c>
      <c r="AJ19" s="13">
        <f>AI19*VLOOKUP('Données projet'!$B$10,Paramètres!$A$1:$I$89,3,0)*VLOOKUP('Données projet'!$B$10,Paramètres!$A$1:$I$89,5,0)</f>
        <v>56.831895319868664</v>
      </c>
      <c r="AK19" s="13">
        <f t="shared" si="35"/>
        <v>16.364761474967661</v>
      </c>
      <c r="AL19" s="20">
        <f t="shared" si="4"/>
        <v>127.4841772510066</v>
      </c>
      <c r="AM19" s="59">
        <f t="shared" si="5"/>
        <v>420.81751058433991</v>
      </c>
      <c r="AN19" s="59">
        <f ca="1">AVERAGE(OFFSET($AM$3,0,0,'Données projet'!$E$10+1,1))-AVERAGE(OFFSET($H$3,0,0,'Données projet'!$E$10+1,1))</f>
        <v>200.14675249215634</v>
      </c>
      <c r="AO19" s="59">
        <f t="shared" si="36"/>
        <v>200.55017434999968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6.1793706293706299</v>
      </c>
      <c r="BD19" s="12">
        <f>IF('Données projet'!$A$88&gt;35,BD18+BC19-BL18,IF(A19&lt;'Données projet'!$A$88,$BA$205^A19,IF(A19='Données projet'!$A$88,'Données projet'!$B$88,BD18+BC19-BL18)))</f>
        <v>35.607344135893811</v>
      </c>
      <c r="BE19" s="13">
        <f>BD19*VLOOKUP('Données projet'!$B$11,Paramètres!$A$1:$I$89,3,0)*VLOOKUP('Données projet'!$B$11,Paramètres!$A$1:$I$89,5,0)</f>
        <v>20.367400845731261</v>
      </c>
      <c r="BF19" s="13">
        <f t="shared" si="37"/>
        <v>6.6088754988564409</v>
      </c>
      <c r="BG19" s="20">
        <f t="shared" si="7"/>
        <v>46.98368130015691</v>
      </c>
      <c r="BH19" s="59">
        <f t="shared" si="8"/>
        <v>340.3170146334902</v>
      </c>
      <c r="BI19" s="59">
        <f ca="1">AVERAGE(OFFSET($BH$3,0,0,'Données projet'!$E$11+1,1))-AVERAGE(OFFSET($H$3,0,0,'Données projet'!$E$11+1,1))</f>
        <v>182.46132340647313</v>
      </c>
      <c r="BJ19" s="59">
        <f t="shared" si="38"/>
        <v>130.51706975490481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17.600000000000001</v>
      </c>
      <c r="BY19" s="12">
        <f>IF('Données projet'!$A$114&gt;35,BY18+BX19-CG18,IF(A19&lt;'Données projet'!$A$114,$BV$205^A19,IF(A19='Données projet'!$A$114,'Données projet'!$B$114,BY18+BX19-CG18)))</f>
        <v>63.6</v>
      </c>
      <c r="BZ19" s="13">
        <f>BY19*VLOOKUP('Données projet'!$B$12,Paramètres!$A$1:$I$89,3,0)*VLOOKUP('Données projet'!$B$12,Paramètres!$A$1:$I$89,5,0)</f>
        <v>25.630800000000001</v>
      </c>
      <c r="CA19" s="13">
        <f t="shared" si="39"/>
        <v>8.0971896446593323</v>
      </c>
      <c r="CB19" s="20">
        <f t="shared" si="10"/>
        <v>58.742915297781657</v>
      </c>
      <c r="CC19" s="59">
        <f t="shared" si="11"/>
        <v>352.07624863111499</v>
      </c>
      <c r="CD19" s="59">
        <f ca="1">AVERAGE(OFFSET($CC$3,0,0,'Données projet'!$E$12+1,1))-AVERAGE(OFFSET($H$3,0,0,'Données projet'!$E$12+1,1))</f>
        <v>291.0962681460345</v>
      </c>
      <c r="CE19" s="59">
        <f t="shared" si="40"/>
        <v>240.28311826371385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18.599999999999998</v>
      </c>
      <c r="CT19" s="12">
        <f>IF('Données projet'!$A$140&gt;35,CT18+CS19-DB18,IF(A19&lt;'Données projet'!$A$140,$CQ$205^A19,IF(A19='Données projet'!$A$140,'Données projet'!$B$140,CT18+CS19-DB18)))</f>
        <v>136.1</v>
      </c>
      <c r="CU19" s="17">
        <f>CT19*VLOOKUP('Données projet'!$B$13,Paramètres!$A$1:$I$89,3,0)*VLOOKUP('Données projet'!$B$13,Paramètres!$A$1:$I$89,5,0)</f>
        <v>63.694799999999994</v>
      </c>
      <c r="CV19" s="13">
        <f t="shared" si="41"/>
        <v>18.099156698395621</v>
      </c>
      <c r="CW19" s="20">
        <f t="shared" si="13"/>
        <v>142.45780791637236</v>
      </c>
      <c r="CX19" s="59">
        <f t="shared" si="14"/>
        <v>435.79114124970567</v>
      </c>
      <c r="CY19" s="59">
        <f ca="1">AVERAGE(OFFSET($CX$3,0,0,'Données projet'!$E$13+1,1))-AVERAGE(OFFSET($H$3,0,0,'Données projet'!$E$13+1,1))</f>
        <v>225.92546546283018</v>
      </c>
      <c r="CZ19" s="59">
        <f t="shared" si="42"/>
        <v>309.38786160614563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7.3572772794428101</v>
      </c>
      <c r="DH19" s="21">
        <f>EXP(-LN(2)/2)*DH18+(1-EXP(-LN(2)/2))/(LN(2)/2)*DB19*DE19*VLOOKUP('Données projet'!$B$13,Paramètres!$A$1:$I$89,3,0)*0.475*44/12</f>
        <v>2.0832490191961659</v>
      </c>
      <c r="DI19" s="22">
        <f t="shared" si="15"/>
        <v>9.4405262986389751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4.5999999999999996</v>
      </c>
      <c r="DO19" s="12">
        <f>IF('Données projet'!$A$166&gt;35,DO18+DN19-DW18,IF(A19&lt;'Données projet'!$A$166,$DL$205^A19,IF(A19='Données projet'!$A$166,'Données projet'!$B$166,DO18+DN19-DW18)))</f>
        <v>29.599999999999994</v>
      </c>
      <c r="DP19" s="17">
        <f>DO19*VLOOKUP('Données projet'!$B$14,Paramètres!$A$1:$I$89,3,0)*VLOOKUP('Données projet'!$B$14,Paramètres!$A$1:$I$89,5,0)</f>
        <v>25.858559999999997</v>
      </c>
      <c r="DQ19" s="13">
        <f t="shared" si="43"/>
        <v>8.1607346448714573</v>
      </c>
      <c r="DR19" s="20">
        <f t="shared" si="16"/>
        <v>59.250271506484438</v>
      </c>
      <c r="DS19" s="59">
        <f t="shared" si="17"/>
        <v>352.58360483981778</v>
      </c>
      <c r="DT19" s="59">
        <f ca="1">AVERAGE(OFFSET($DS$3,0,0,'Données projet'!$E$14+1,1))-AVERAGE(OFFSET($H$3,0,0,'Données projet'!$E$14+1,1))</f>
        <v>150.06600397498823</v>
      </c>
      <c r="DU19" s="59">
        <f t="shared" si="44"/>
        <v>170.53034305929714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</v>
      </c>
      <c r="N20" s="13">
        <f>IF('Données projet'!$A$36&gt;35,N19+M20-V19,IF(A20&lt;'Données projet'!$A$36,$K$205^A20,IF(A20='Données projet'!$A$36,'Données projet'!$B$36,N19+M20-V19)))</f>
        <v>109.25805494272393</v>
      </c>
      <c r="O20" s="13">
        <f>N20*VLOOKUP('Données projet'!$B$9,Paramètres!$A$1:$I$89,3,0)*VLOOKUP('Données projet'!$B$9,Paramètres!$A$1:$I$89,5,0)</f>
        <v>51.132769713194797</v>
      </c>
      <c r="P20" s="13">
        <f t="shared" si="33"/>
        <v>14.905919864794134</v>
      </c>
      <c r="Q20" s="20">
        <f t="shared" si="2"/>
        <v>115.01738434833072</v>
      </c>
      <c r="R20" s="59">
        <f t="shared" si="0"/>
        <v>408.35071768166404</v>
      </c>
      <c r="S20" s="59">
        <f ca="1">AVERAGE(OFFSET($R$3,0,0,'Données projet'!$E$9+1,1))-AVERAGE(OFFSET($H$3,0,0,'Données projet'!$E$9+1,1))</f>
        <v>294.94285920643927</v>
      </c>
      <c r="T20" s="59">
        <f t="shared" si="34"/>
        <v>399.89535338426606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126.33076923076922</v>
      </c>
      <c r="AG20" s="12">
        <f>VLOOKUP(A20,'Données projet'!$A$61:$I$81,9,0)</f>
        <v>7.4312217194570129</v>
      </c>
      <c r="AH20" s="12">
        <f t="array" ref="AH20">INDEX(AG:AG,MIN(IF(ISNUMBER(AG20:AG216),ROW(AG20:AG216),"")))</f>
        <v>7.4312217194570129</v>
      </c>
      <c r="AI20" s="13">
        <f>IF('Données projet'!$A$62&gt;35,AI19+AH20-AQ19,IF(A20&lt;'Données projet'!$A$62,$AF$205^A20,IF(A20='Données projet'!$A$62,'Données projet'!$B$62,AI19+AH20-AQ19)))</f>
        <v>126.33076923076922</v>
      </c>
      <c r="AJ20" s="13">
        <f>AI20*VLOOKUP('Données projet'!$B$10,Paramètres!$A$1:$I$89,3,0)*VLOOKUP('Données projet'!$B$10,Paramètres!$A$1:$I$89,5,0)</f>
        <v>75.5458</v>
      </c>
      <c r="AK20" s="13">
        <f t="shared" si="35"/>
        <v>21.044504648353485</v>
      </c>
      <c r="AL20" s="20">
        <f t="shared" si="4"/>
        <v>168.22811392921565</v>
      </c>
      <c r="AM20" s="59">
        <f t="shared" si="5"/>
        <v>461.561447262549</v>
      </c>
      <c r="AN20" s="59">
        <f ca="1">AVERAGE(OFFSET($AM$3,0,0,'Données projet'!$E$10+1,1))-AVERAGE(OFFSET($H$3,0,0,'Données projet'!$E$10+1,1))</f>
        <v>200.14675249215634</v>
      </c>
      <c r="AO20" s="59">
        <f t="shared" si="36"/>
        <v>200.55017434999968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42.084615384615383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0.25200000000000006</v>
      </c>
      <c r="AT20" s="16">
        <f>IF(ISNA(VLOOKUP(A20,'Données projet'!$A$61:$I$81,7,0)),0%,VLOOKUP(A20,'Données projet'!$A$61:$I$81,7,0))</f>
        <v>0.44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8.3799241086489591</v>
      </c>
      <c r="AW20" s="21">
        <f>EXP(-LN(2)/2)*AW19+(1-EXP(-LN(2)/2))/(LN(2)/2)*AQ20*AT20*VLOOKUP('Données projet'!$B$10,Paramètres!$A$1:$I$89,3,0)*0.475*44/12</f>
        <v>12.537552429129006</v>
      </c>
      <c r="AX20" s="21">
        <f t="shared" si="6"/>
        <v>20.917476537777965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6.1793706293706299</v>
      </c>
      <c r="BD20" s="12">
        <f>IF('Données projet'!$A$88&gt;35,BD19+BC20-BL19,IF(A20&lt;'Données projet'!$A$88,$BA$205^A20,IF(A20='Données projet'!$A$88,'Données projet'!$B$88,BD19+BC20-BL19)))</f>
        <v>44.515453879110744</v>
      </c>
      <c r="BE20" s="13">
        <f>BD20*VLOOKUP('Données projet'!$B$11,Paramètres!$A$1:$I$89,3,0)*VLOOKUP('Données projet'!$B$11,Paramètres!$A$1:$I$89,5,0)</f>
        <v>25.462839618851344</v>
      </c>
      <c r="BF20" s="13">
        <f t="shared" si="37"/>
        <v>8.0502866344398551</v>
      </c>
      <c r="BG20" s="20">
        <f t="shared" si="7"/>
        <v>58.368694891148834</v>
      </c>
      <c r="BH20" s="59">
        <f t="shared" si="8"/>
        <v>351.70202822448215</v>
      </c>
      <c r="BI20" s="59">
        <f ca="1">AVERAGE(OFFSET($BH$3,0,0,'Données projet'!$E$11+1,1))-AVERAGE(OFFSET($H$3,0,0,'Données projet'!$E$11+1,1))</f>
        <v>182.46132340647313</v>
      </c>
      <c r="BJ20" s="59">
        <f t="shared" si="38"/>
        <v>130.51706975490481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17.600000000000001</v>
      </c>
      <c r="BY20" s="12">
        <f>IF('Données projet'!$A$114&gt;35,BY19+BX20-CG19,IF(A20&lt;'Données projet'!$A$114,$BV$205^A20,IF(A20='Données projet'!$A$114,'Données projet'!$B$114,BY19+BX20-CG19)))</f>
        <v>81.2</v>
      </c>
      <c r="BZ20" s="13">
        <f>BY20*VLOOKUP('Données projet'!$B$12,Paramètres!$A$1:$I$89,3,0)*VLOOKUP('Données projet'!$B$12,Paramètres!$A$1:$I$89,5,0)</f>
        <v>32.723600000000005</v>
      </c>
      <c r="CA20" s="13">
        <f t="shared" si="39"/>
        <v>10.048085250597495</v>
      </c>
      <c r="CB20" s="20">
        <f t="shared" si="10"/>
        <v>74.494018478123976</v>
      </c>
      <c r="CC20" s="59">
        <f t="shared" si="11"/>
        <v>367.82735181145728</v>
      </c>
      <c r="CD20" s="59">
        <f ca="1">AVERAGE(OFFSET($CC$3,0,0,'Données projet'!$E$12+1,1))-AVERAGE(OFFSET($H$3,0,0,'Données projet'!$E$12+1,1))</f>
        <v>291.0962681460345</v>
      </c>
      <c r="CE20" s="59">
        <f t="shared" si="40"/>
        <v>240.28311826371385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18.599999999999998</v>
      </c>
      <c r="CT20" s="12">
        <f>IF('Données projet'!$A$140&gt;35,CT19+CS20-DB19,IF(A20&lt;'Données projet'!$A$140,$CQ$205^A20,IF(A20='Données projet'!$A$140,'Données projet'!$B$140,CT19+CS20-DB19)))</f>
        <v>154.69999999999999</v>
      </c>
      <c r="CU20" s="17">
        <f>CT20*VLOOKUP('Données projet'!$B$13,Paramètres!$A$1:$I$89,3,0)*VLOOKUP('Données projet'!$B$13,Paramètres!$A$1:$I$89,5,0)</f>
        <v>72.399599999999992</v>
      </c>
      <c r="CV20" s="13">
        <f t="shared" si="41"/>
        <v>20.268188832715463</v>
      </c>
      <c r="CW20" s="20">
        <f t="shared" si="13"/>
        <v>161.3963988836461</v>
      </c>
      <c r="CX20" s="59">
        <f t="shared" si="14"/>
        <v>454.72973221697941</v>
      </c>
      <c r="CY20" s="59">
        <f ca="1">AVERAGE(OFFSET($CX$3,0,0,'Données projet'!$E$13+1,1))-AVERAGE(OFFSET($H$3,0,0,'Données projet'!$E$13+1,1))</f>
        <v>225.92546546283018</v>
      </c>
      <c r="CZ20" s="59">
        <f t="shared" si="42"/>
        <v>309.38786160614563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7.1560921453340498</v>
      </c>
      <c r="DH20" s="21">
        <f>EXP(-LN(2)/2)*DH19+(1-EXP(-LN(2)/2))/(LN(2)/2)*DB20*DE20*VLOOKUP('Données projet'!$B$13,Paramètres!$A$1:$I$89,3,0)*0.475*44/12</f>
        <v>1.4730795083738331</v>
      </c>
      <c r="DI20" s="22">
        <f t="shared" si="15"/>
        <v>8.629171653707882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4.5999999999999996</v>
      </c>
      <c r="DO20" s="12">
        <f>IF('Données projet'!$A$166&gt;35,DO19+DN20-DW19,IF(A20&lt;'Données projet'!$A$166,$DL$205^A20,IF(A20='Données projet'!$A$166,'Données projet'!$B$166,DO19+DN20-DW19)))</f>
        <v>34.199999999999996</v>
      </c>
      <c r="DP20" s="17">
        <f>DO20*VLOOKUP('Données projet'!$B$14,Paramètres!$A$1:$I$89,3,0)*VLOOKUP('Données projet'!$B$14,Paramètres!$A$1:$I$89,5,0)</f>
        <v>29.877120000000001</v>
      </c>
      <c r="DQ20" s="13">
        <f t="shared" si="43"/>
        <v>9.2717426343874898</v>
      </c>
      <c r="DR20" s="20">
        <f t="shared" si="16"/>
        <v>68.18426908822488</v>
      </c>
      <c r="DS20" s="59">
        <f t="shared" si="17"/>
        <v>361.51760242155819</v>
      </c>
      <c r="DT20" s="59">
        <f ca="1">AVERAGE(OFFSET($DS$3,0,0,'Données projet'!$E$14+1,1))-AVERAGE(OFFSET($H$3,0,0,'Données projet'!$E$14+1,1))</f>
        <v>150.06600397498823</v>
      </c>
      <c r="DU20" s="59">
        <f t="shared" si="44"/>
        <v>170.53034305929714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144</v>
      </c>
      <c r="L21" s="12">
        <f>VLOOKUP(A21,'Données projet'!$A$35:$I$55,9,0)</f>
        <v>8</v>
      </c>
      <c r="M21" s="12">
        <f t="array" ref="M21">INDEX(L:L,MIN(IF(ISNUMBER(L21:L217),ROW(L21:L217),"")))</f>
        <v>8</v>
      </c>
      <c r="N21" s="13">
        <f>IF('Données projet'!$A$36&gt;35,N20+M21-V20,IF(A21&lt;'Données projet'!$A$36,$K$205^A21,IF(A21='Données projet'!$A$36,'Données projet'!$B$36,N20+M21-V20)))</f>
        <v>144</v>
      </c>
      <c r="O21" s="13">
        <f>N21*VLOOKUP('Données projet'!$B$9,Paramètres!$A$1:$I$89,3,0)*VLOOKUP('Données projet'!$B$9,Paramètres!$A$1:$I$89,5,0)</f>
        <v>67.391999999999996</v>
      </c>
      <c r="P21" s="13">
        <f t="shared" si="33"/>
        <v>19.02437502991798</v>
      </c>
      <c r="Q21" s="20">
        <f t="shared" si="2"/>
        <v>150.5085198437738</v>
      </c>
      <c r="R21" s="59">
        <f t="shared" si="0"/>
        <v>443.84185317710711</v>
      </c>
      <c r="S21" s="59">
        <f ca="1">AVERAGE(OFFSET($R$3,0,0,'Données projet'!$E$9+1,1))-AVERAGE(OFFSET($H$3,0,0,'Données projet'!$E$9+1,1))</f>
        <v>294.94285920643927</v>
      </c>
      <c r="T21" s="59">
        <f t="shared" si="34"/>
        <v>399.89535338426606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48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0.44000000000000006</v>
      </c>
      <c r="Y21" s="16">
        <f>IF(ISNA(VLOOKUP(A21,'Données projet'!$A$35:$I$55,7,0)),0%,VLOOKUP(A21,'Données projet'!$A$35:$I$55,7,0))</f>
        <v>0.2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13.060348484957151</v>
      </c>
      <c r="AB21" s="21">
        <f>EXP(-LN(2)/2)*AB20+(1-EXP(-LN(2)/2))/(LN(2)/2)*V21*Y21*VLOOKUP('Données projet'!$B$9,Paramètres!$A$1:$I$89,3,0)*0.475*44/12</f>
        <v>5.0868932663269062</v>
      </c>
      <c r="AC21" s="22">
        <f t="shared" si="3"/>
        <v>18.147241751284056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14.926923076923075</v>
      </c>
      <c r="AI21" s="13">
        <f>IF('Données projet'!$A$62&gt;35,AI20+AH21-AQ20,IF(A21&lt;'Données projet'!$A$62,$AF$205^A21,IF(A21='Données projet'!$A$62,'Données projet'!$B$62,AI20+AH21-AQ20)))</f>
        <v>99.173076923076934</v>
      </c>
      <c r="AJ21" s="13">
        <f>AI21*VLOOKUP('Données projet'!$B$10,Paramètres!$A$1:$I$89,3,0)*VLOOKUP('Données projet'!$B$10,Paramètres!$A$1:$I$89,5,0)</f>
        <v>59.305500000000016</v>
      </c>
      <c r="AK21" s="13">
        <f t="shared" si="35"/>
        <v>16.992558820122873</v>
      </c>
      <c r="AL21" s="20">
        <f t="shared" si="4"/>
        <v>132.88578577838067</v>
      </c>
      <c r="AM21" s="59">
        <f t="shared" si="5"/>
        <v>426.21911911171401</v>
      </c>
      <c r="AN21" s="59">
        <f ca="1">AVERAGE(OFFSET($AM$3,0,0,'Données projet'!$E$10+1,1))-AVERAGE(OFFSET($H$3,0,0,'Données projet'!$E$10+1,1))</f>
        <v>200.14675249215634</v>
      </c>
      <c r="AO21" s="59">
        <f t="shared" si="36"/>
        <v>200.55017434999968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8.1507746432168968</v>
      </c>
      <c r="AW21" s="21">
        <f>EXP(-LN(2)/2)*AW20+(1-EXP(-LN(2)/2))/(LN(2)/2)*AQ21*AT21*VLOOKUP('Données projet'!$B$10,Paramètres!$A$1:$I$89,3,0)*0.475*44/12</f>
        <v>8.8653883421189921</v>
      </c>
      <c r="AX21" s="21">
        <f t="shared" si="6"/>
        <v>17.016162985335889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6.1793706293706299</v>
      </c>
      <c r="BD21" s="12">
        <f>IF('Données projet'!$A$88&gt;35,BD20+BC21-BL20,IF(A21&lt;'Données projet'!$A$88,$BA$205^A21,IF(A21='Données projet'!$A$88,'Données projet'!$B$88,BD20+BC21-BL20)))</f>
        <v>55.652160590816642</v>
      </c>
      <c r="BE21" s="13">
        <f>BD21*VLOOKUP('Données projet'!$B$11,Paramètres!$A$1:$I$89,3,0)*VLOOKUP('Données projet'!$B$11,Paramètres!$A$1:$I$89,5,0)</f>
        <v>31.83303585794712</v>
      </c>
      <c r="BF21" s="13">
        <f t="shared" si="37"/>
        <v>9.8060728951324378</v>
      </c>
      <c r="BG21" s="20">
        <f t="shared" si="7"/>
        <v>72.521447744946883</v>
      </c>
      <c r="BH21" s="59">
        <f t="shared" si="8"/>
        <v>365.85478107828021</v>
      </c>
      <c r="BI21" s="59">
        <f ca="1">AVERAGE(OFFSET($BH$3,0,0,'Données projet'!$E$11+1,1))-AVERAGE(OFFSET($H$3,0,0,'Données projet'!$E$11+1,1))</f>
        <v>182.46132340647313</v>
      </c>
      <c r="BJ21" s="59">
        <f t="shared" si="38"/>
        <v>130.51706975490481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17.600000000000001</v>
      </c>
      <c r="BY21" s="12">
        <f>IF('Données projet'!$A$114&gt;35,BY20+BX21-CG20,IF(A21&lt;'Données projet'!$A$114,$BV$205^A21,IF(A21='Données projet'!$A$114,'Données projet'!$B$114,BY20+BX21-CG20)))</f>
        <v>98.800000000000011</v>
      </c>
      <c r="BZ21" s="13">
        <f>BY21*VLOOKUP('Données projet'!$B$12,Paramètres!$A$1:$I$89,3,0)*VLOOKUP('Données projet'!$B$12,Paramètres!$A$1:$I$89,5,0)</f>
        <v>39.816400000000009</v>
      </c>
      <c r="CA21" s="13">
        <f t="shared" si="39"/>
        <v>11.949970684420601</v>
      </c>
      <c r="CB21" s="20">
        <f t="shared" si="10"/>
        <v>90.159762275365892</v>
      </c>
      <c r="CC21" s="59">
        <f t="shared" si="11"/>
        <v>383.49309560869921</v>
      </c>
      <c r="CD21" s="59">
        <f ca="1">AVERAGE(OFFSET($CC$3,0,0,'Données projet'!$E$12+1,1))-AVERAGE(OFFSET($H$3,0,0,'Données projet'!$E$12+1,1))</f>
        <v>291.0962681460345</v>
      </c>
      <c r="CE21" s="59">
        <f t="shared" si="40"/>
        <v>240.28311826371385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18.599999999999998</v>
      </c>
      <c r="CT21" s="12">
        <f>IF('Données projet'!$A$140&gt;35,CT20+CS21-DB20,IF(A21&lt;'Données projet'!$A$140,$CQ$205^A21,IF(A21='Données projet'!$A$140,'Données projet'!$B$140,CT20+CS21-DB20)))</f>
        <v>173.29999999999998</v>
      </c>
      <c r="CU21" s="17">
        <f>CT21*VLOOKUP('Données projet'!$B$13,Paramètres!$A$1:$I$89,3,0)*VLOOKUP('Données projet'!$B$13,Paramètres!$A$1:$I$89,5,0)</f>
        <v>81.104399999999984</v>
      </c>
      <c r="CV21" s="13">
        <f t="shared" si="41"/>
        <v>22.406999819497013</v>
      </c>
      <c r="CW21" s="20">
        <f t="shared" si="13"/>
        <v>180.28235468562397</v>
      </c>
      <c r="CX21" s="59">
        <f t="shared" si="14"/>
        <v>473.61568801895726</v>
      </c>
      <c r="CY21" s="59">
        <f ca="1">AVERAGE(OFFSET($CX$3,0,0,'Données projet'!$E$13+1,1))-AVERAGE(OFFSET($H$3,0,0,'Données projet'!$E$13+1,1))</f>
        <v>225.92546546283018</v>
      </c>
      <c r="CZ21" s="59">
        <f t="shared" si="42"/>
        <v>309.38786160614563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6.9604084292973596</v>
      </c>
      <c r="DH21" s="21">
        <f>EXP(-LN(2)/2)*DH20+(1-EXP(-LN(2)/2))/(LN(2)/2)*DB21*DE21*VLOOKUP('Données projet'!$B$13,Paramètres!$A$1:$I$89,3,0)*0.475*44/12</f>
        <v>1.0416245095980829</v>
      </c>
      <c r="DI21" s="22">
        <f t="shared" si="15"/>
        <v>8.002032938895443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4.5999999999999996</v>
      </c>
      <c r="DO21" s="12">
        <f>IF('Données projet'!$A$166&gt;35,DO20+DN21-DW20,IF(A21&lt;'Données projet'!$A$166,$DL$205^A21,IF(A21='Données projet'!$A$166,'Données projet'!$B$166,DO20+DN21-DW20)))</f>
        <v>38.799999999999997</v>
      </c>
      <c r="DP21" s="17">
        <f>DO21*VLOOKUP('Données projet'!$B$14,Paramètres!$A$1:$I$89,3,0)*VLOOKUP('Données projet'!$B$14,Paramètres!$A$1:$I$89,5,0)</f>
        <v>33.895680000000006</v>
      </c>
      <c r="DQ21" s="13">
        <f t="shared" si="43"/>
        <v>10.365436928111139</v>
      </c>
      <c r="DR21" s="20">
        <f t="shared" si="16"/>
        <v>77.088111983126907</v>
      </c>
      <c r="DS21" s="59">
        <f t="shared" si="17"/>
        <v>370.42144531646022</v>
      </c>
      <c r="DT21" s="59">
        <f ca="1">AVERAGE(OFFSET($DS$3,0,0,'Données projet'!$E$14+1,1))-AVERAGE(OFFSET($H$3,0,0,'Données projet'!$E$14+1,1))</f>
        <v>150.06600397498823</v>
      </c>
      <c r="DU21" s="59">
        <f t="shared" si="44"/>
        <v>170.53034305929714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35</v>
      </c>
      <c r="N22" s="13">
        <f>IF('Données projet'!$A$36&gt;35,N21+M22-V21,IF(A22&lt;'Données projet'!$A$36,$K$205^A22,IF(A22='Données projet'!$A$36,'Données projet'!$B$36,N21+M22-V21)))</f>
        <v>131</v>
      </c>
      <c r="O22" s="13">
        <f>N22*VLOOKUP('Données projet'!$B$9,Paramètres!$A$1:$I$89,3,0)*VLOOKUP('Données projet'!$B$9,Paramètres!$A$1:$I$89,5,0)</f>
        <v>61.308</v>
      </c>
      <c r="P22" s="13">
        <f t="shared" si="33"/>
        <v>17.498556232826882</v>
      </c>
      <c r="Q22" s="20">
        <f t="shared" si="2"/>
        <v>137.25475210550681</v>
      </c>
      <c r="R22" s="59">
        <f t="shared" si="0"/>
        <v>430.58808543884015</v>
      </c>
      <c r="S22" s="59">
        <f ca="1">AVERAGE(OFFSET($R$3,0,0,'Données projet'!$E$9+1,1))-AVERAGE(OFFSET($H$3,0,0,'Données projet'!$E$9+1,1))</f>
        <v>294.94285920643927</v>
      </c>
      <c r="T22" s="59">
        <f t="shared" si="34"/>
        <v>399.89535338426606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12.703212568822121</v>
      </c>
      <c r="AB22" s="21">
        <f>EXP(-LN(2)/2)*AB21+(1-EXP(-LN(2)/2))/(LN(2)/2)*V22*Y22*VLOOKUP('Données projet'!$B$9,Paramètres!$A$1:$I$89,3,0)*0.475*44/12</f>
        <v>3.5969767237919421</v>
      </c>
      <c r="AC22" s="22">
        <f t="shared" si="3"/>
        <v>16.300189292614064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14.926923076923075</v>
      </c>
      <c r="AI22" s="13">
        <f>IF('Données projet'!$A$62&gt;35,AI21+AH22-AQ21,IF(A22&lt;'Données projet'!$A$62,$AF$205^A22,IF(A22='Données projet'!$A$62,'Données projet'!$B$62,AI21+AH22-AQ21)))</f>
        <v>114.10000000000001</v>
      </c>
      <c r="AJ22" s="13">
        <f>AI22*VLOOKUP('Données projet'!$B$10,Paramètres!$A$1:$I$89,3,0)*VLOOKUP('Données projet'!$B$10,Paramètres!$A$1:$I$89,5,0)</f>
        <v>68.231800000000007</v>
      </c>
      <c r="AK22" s="13">
        <f t="shared" si="35"/>
        <v>19.233699497264624</v>
      </c>
      <c r="AL22" s="20">
        <f t="shared" si="4"/>
        <v>152.3357449577359</v>
      </c>
      <c r="AM22" s="59">
        <f t="shared" si="5"/>
        <v>445.66907829106924</v>
      </c>
      <c r="AN22" s="59">
        <f ca="1">AVERAGE(OFFSET($AM$3,0,0,'Données projet'!$E$10+1,1))-AVERAGE(OFFSET($H$3,0,0,'Données projet'!$E$10+1,1))</f>
        <v>200.14675249215634</v>
      </c>
      <c r="AO22" s="59">
        <f t="shared" si="36"/>
        <v>200.55017434999968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7.9278912819675211</v>
      </c>
      <c r="AW22" s="21">
        <f>EXP(-LN(2)/2)*AW21+(1-EXP(-LN(2)/2))/(LN(2)/2)*AQ22*AT22*VLOOKUP('Données projet'!$B$10,Paramètres!$A$1:$I$89,3,0)*0.475*44/12</f>
        <v>6.2687762145645038</v>
      </c>
      <c r="AX22" s="21">
        <f t="shared" si="6"/>
        <v>14.196667496532026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6.1793706293706299</v>
      </c>
      <c r="BD22" s="12">
        <f>IF('Données projet'!$A$88&gt;35,BD21+BC22-BL21,IF(A22&lt;'Données projet'!$A$88,$BA$205^A22,IF(A22='Données projet'!$A$88,'Données projet'!$B$88,BD21+BC22-BL21)))</f>
        <v>69.57500617284316</v>
      </c>
      <c r="BE22" s="13">
        <f>BD22*VLOOKUP('Données projet'!$B$11,Paramètres!$A$1:$I$89,3,0)*VLOOKUP('Données projet'!$B$11,Paramètres!$A$1:$I$89,5,0)</f>
        <v>39.796903530866288</v>
      </c>
      <c r="BF22" s="13">
        <f t="shared" si="37"/>
        <v>11.944800227767528</v>
      </c>
      <c r="BG22" s="20">
        <f t="shared" si="7"/>
        <v>90.116800712953889</v>
      </c>
      <c r="BH22" s="59">
        <f t="shared" si="8"/>
        <v>383.45013404628719</v>
      </c>
      <c r="BI22" s="59">
        <f ca="1">AVERAGE(OFFSET($BH$3,0,0,'Données projet'!$E$11+1,1))-AVERAGE(OFFSET($H$3,0,0,'Données projet'!$E$11+1,1))</f>
        <v>182.46132340647313</v>
      </c>
      <c r="BJ22" s="59">
        <f t="shared" si="38"/>
        <v>130.51706975490481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17.600000000000001</v>
      </c>
      <c r="BY22" s="12">
        <f>IF('Données projet'!$A$114&gt;35,BY21+BX22-CG21,IF(A22&lt;'Données projet'!$A$114,$BV$205^A22,IF(A22='Données projet'!$A$114,'Données projet'!$B$114,BY21+BX22-CG21)))</f>
        <v>116.4</v>
      </c>
      <c r="BZ22" s="13">
        <f>BY22*VLOOKUP('Données projet'!$B$12,Paramètres!$A$1:$I$89,3,0)*VLOOKUP('Données projet'!$B$12,Paramètres!$A$1:$I$89,5,0)</f>
        <v>46.909200000000006</v>
      </c>
      <c r="CA22" s="13">
        <f t="shared" si="39"/>
        <v>13.81260705472415</v>
      </c>
      <c r="CB22" s="20">
        <f t="shared" si="10"/>
        <v>105.7571472869779</v>
      </c>
      <c r="CC22" s="59">
        <f t="shared" si="11"/>
        <v>399.09048062031121</v>
      </c>
      <c r="CD22" s="59">
        <f ca="1">AVERAGE(OFFSET($CC$3,0,0,'Données projet'!$E$12+1,1))-AVERAGE(OFFSET($H$3,0,0,'Données projet'!$E$12+1,1))</f>
        <v>291.0962681460345</v>
      </c>
      <c r="CE22" s="59">
        <f t="shared" si="40"/>
        <v>240.28311826371385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18.599999999999998</v>
      </c>
      <c r="CT22" s="12">
        <f>IF('Données projet'!$A$140&gt;35,CT21+CS22-DB21,IF(A22&lt;'Données projet'!$A$140,$CQ$205^A22,IF(A22='Données projet'!$A$140,'Données projet'!$B$140,CT21+CS22-DB21)))</f>
        <v>191.89999999999998</v>
      </c>
      <c r="CU22" s="17">
        <f>CT22*VLOOKUP('Données projet'!$B$13,Paramètres!$A$1:$I$89,3,0)*VLOOKUP('Données projet'!$B$13,Paramètres!$A$1:$I$89,5,0)</f>
        <v>89.80919999999999</v>
      </c>
      <c r="CV22" s="13">
        <f t="shared" si="41"/>
        <v>24.519202946196106</v>
      </c>
      <c r="CW22" s="20">
        <f t="shared" si="13"/>
        <v>199.12196846462484</v>
      </c>
      <c r="CX22" s="59">
        <f t="shared" si="14"/>
        <v>492.45530179795816</v>
      </c>
      <c r="CY22" s="59">
        <f ca="1">AVERAGE(OFFSET($CX$3,0,0,'Données projet'!$E$13+1,1))-AVERAGE(OFFSET($H$3,0,0,'Données projet'!$E$13+1,1))</f>
        <v>225.92546546283018</v>
      </c>
      <c r="CZ22" s="59">
        <f t="shared" si="42"/>
        <v>309.38786160614563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6.7700756947662519</v>
      </c>
      <c r="DH22" s="21">
        <f>EXP(-LN(2)/2)*DH21+(1-EXP(-LN(2)/2))/(LN(2)/2)*DB22*DE22*VLOOKUP('Données projet'!$B$13,Paramètres!$A$1:$I$89,3,0)*0.475*44/12</f>
        <v>0.73653975418691653</v>
      </c>
      <c r="DI22" s="22">
        <f t="shared" si="15"/>
        <v>7.506615448953168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4.5999999999999996</v>
      </c>
      <c r="DO22" s="12">
        <f>IF('Données projet'!$A$166&gt;35,DO21+DN22-DW21,IF(A22&lt;'Données projet'!$A$166,$DL$205^A22,IF(A22='Données projet'!$A$166,'Données projet'!$B$166,DO21+DN22-DW21)))</f>
        <v>43.4</v>
      </c>
      <c r="DP22" s="17">
        <f>DO22*VLOOKUP('Données projet'!$B$14,Paramètres!$A$1:$I$89,3,0)*VLOOKUP('Données projet'!$B$14,Paramètres!$A$1:$I$89,5,0)</f>
        <v>37.914240000000007</v>
      </c>
      <c r="DQ22" s="13">
        <f t="shared" si="43"/>
        <v>11.444104784431099</v>
      </c>
      <c r="DR22" s="20">
        <f t="shared" si="16"/>
        <v>85.965783832884156</v>
      </c>
      <c r="DS22" s="59">
        <f t="shared" si="17"/>
        <v>379.29911716621746</v>
      </c>
      <c r="DT22" s="59">
        <f ca="1">AVERAGE(OFFSET($DS$3,0,0,'Données projet'!$E$14+1,1))-AVERAGE(OFFSET($H$3,0,0,'Données projet'!$E$14+1,1))</f>
        <v>150.06600397498823</v>
      </c>
      <c r="DU22" s="59">
        <f t="shared" si="44"/>
        <v>170.53034305929714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35</v>
      </c>
      <c r="N23" s="13">
        <f>IF('Données projet'!$A$36&gt;35,N22+M23-V22,IF(A23&lt;'Données projet'!$A$36,$K$205^A23,IF(A23='Données projet'!$A$36,'Données projet'!$B$36,N22+M23-V22)))</f>
        <v>166</v>
      </c>
      <c r="O23" s="13">
        <f>N23*VLOOKUP('Données projet'!$B$9,Paramètres!$A$1:$I$89,3,0)*VLOOKUP('Données projet'!$B$9,Paramètres!$A$1:$I$89,5,0)</f>
        <v>77.688000000000002</v>
      </c>
      <c r="P23" s="13">
        <f t="shared" si="33"/>
        <v>21.570926907728207</v>
      </c>
      <c r="Q23" s="20">
        <f t="shared" si="2"/>
        <v>172.87596436429328</v>
      </c>
      <c r="R23" s="59">
        <f t="shared" si="0"/>
        <v>466.2092976976266</v>
      </c>
      <c r="S23" s="59">
        <f ca="1">AVERAGE(OFFSET($R$3,0,0,'Données projet'!$E$9+1,1))-AVERAGE(OFFSET($H$3,0,0,'Données projet'!$E$9+1,1))</f>
        <v>294.94285920643927</v>
      </c>
      <c r="T23" s="59">
        <f t="shared" si="34"/>
        <v>399.89535338426606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12.355842553094764</v>
      </c>
      <c r="AB23" s="21">
        <f>EXP(-LN(2)/2)*AB22+(1-EXP(-LN(2)/2))/(LN(2)/2)*V23*Y23*VLOOKUP('Données projet'!$B$9,Paramètres!$A$1:$I$89,3,0)*0.475*44/12</f>
        <v>2.5434466331634535</v>
      </c>
      <c r="AC23" s="22">
        <f t="shared" si="3"/>
        <v>14.899289186258217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14.926923076923075</v>
      </c>
      <c r="AI23" s="13">
        <f>IF('Données projet'!$A$62&gt;35,AI22+AH23-AQ22,IF(A23&lt;'Données projet'!$A$62,$AF$205^A23,IF(A23='Données projet'!$A$62,'Données projet'!$B$62,AI22+AH23-AQ22)))</f>
        <v>129.02692307692308</v>
      </c>
      <c r="AJ23" s="13">
        <f>AI23*VLOOKUP('Données projet'!$B$10,Paramètres!$A$1:$I$89,3,0)*VLOOKUP('Données projet'!$B$10,Paramètres!$A$1:$I$89,5,0)</f>
        <v>77.158100000000005</v>
      </c>
      <c r="AK23" s="13">
        <f t="shared" si="35"/>
        <v>21.440868838738705</v>
      </c>
      <c r="AL23" s="20">
        <f t="shared" si="4"/>
        <v>171.72653739413659</v>
      </c>
      <c r="AM23" s="59">
        <f t="shared" si="5"/>
        <v>465.0598707274699</v>
      </c>
      <c r="AN23" s="59">
        <f ca="1">AVERAGE(OFFSET($AM$3,0,0,'Données projet'!$E$10+1,1))-AVERAGE(OFFSET($H$3,0,0,'Données projet'!$E$10+1,1))</f>
        <v>200.14675249215634</v>
      </c>
      <c r="AO23" s="59">
        <f t="shared" si="36"/>
        <v>200.55017434999968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7.7111026779524359</v>
      </c>
      <c r="AW23" s="21">
        <f>EXP(-LN(2)/2)*AW22+(1-EXP(-LN(2)/2))/(LN(2)/2)*AQ23*AT23*VLOOKUP('Données projet'!$B$10,Paramètres!$A$1:$I$89,3,0)*0.475*44/12</f>
        <v>4.4326941710594969</v>
      </c>
      <c r="AX23" s="21">
        <f t="shared" si="6"/>
        <v>12.143796849011933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6.1793706293706299</v>
      </c>
      <c r="BD23" s="12">
        <f>IF('Données projet'!$A$88&gt;35,BD22+BC23-BL22,IF(A23&lt;'Données projet'!$A$88,$BA$205^A23,IF(A23='Données projet'!$A$88,'Données projet'!$B$88,BD22+BC23-BL22)))</f>
        <v>86.981016236590492</v>
      </c>
      <c r="BE23" s="13">
        <f>BD23*VLOOKUP('Données projet'!$B$11,Paramètres!$A$1:$I$89,3,0)*VLOOKUP('Données projet'!$B$11,Paramètres!$A$1:$I$89,5,0)</f>
        <v>49.753141287329761</v>
      </c>
      <c r="BF23" s="13">
        <f t="shared" si="37"/>
        <v>14.549988971843987</v>
      </c>
      <c r="BG23" s="20">
        <f t="shared" si="7"/>
        <v>111.99461853472759</v>
      </c>
      <c r="BH23" s="59">
        <f t="shared" si="8"/>
        <v>405.32795186806089</v>
      </c>
      <c r="BI23" s="59">
        <f ca="1">AVERAGE(OFFSET($BH$3,0,0,'Données projet'!$E$11+1,1))-AVERAGE(OFFSET($H$3,0,0,'Données projet'!$E$11+1,1))</f>
        <v>182.46132340647313</v>
      </c>
      <c r="BJ23" s="59">
        <f t="shared" si="38"/>
        <v>130.51706975490481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134</v>
      </c>
      <c r="BW23" s="12">
        <f>VLOOKUP(A23,'Données projet'!$A$113:$I$133,9,0)</f>
        <v>17.600000000000001</v>
      </c>
      <c r="BX23" s="12">
        <f t="array" ref="BX23">INDEX(BW:BW,MIN(IF(ISNUMBER(BW23:BW219),ROW(BW23:BW219),"")))</f>
        <v>17.600000000000001</v>
      </c>
      <c r="BY23" s="12">
        <f>IF('Données projet'!$A$114&gt;35,BY22+BX23-CG22,IF(A23&lt;'Données projet'!$A$114,$BV$205^A23,IF(A23='Données projet'!$A$114,'Données projet'!$B$114,BY22+BX23-CG22)))</f>
        <v>134</v>
      </c>
      <c r="BZ23" s="13">
        <f>BY23*VLOOKUP('Données projet'!$B$12,Paramètres!$A$1:$I$89,3,0)*VLOOKUP('Données projet'!$B$12,Paramètres!$A$1:$I$89,5,0)</f>
        <v>54.002000000000002</v>
      </c>
      <c r="CA23" s="13">
        <f t="shared" si="39"/>
        <v>15.642616693074125</v>
      </c>
      <c r="CB23" s="20">
        <f t="shared" si="10"/>
        <v>121.2977074071041</v>
      </c>
      <c r="CC23" s="59">
        <f t="shared" si="11"/>
        <v>414.63104074043741</v>
      </c>
      <c r="CD23" s="59">
        <f ca="1">AVERAGE(OFFSET($CC$3,0,0,'Données projet'!$E$12+1,1))-AVERAGE(OFFSET($H$3,0,0,'Données projet'!$E$12+1,1))</f>
        <v>291.0962681460345</v>
      </c>
      <c r="CE23" s="59">
        <f t="shared" si="40"/>
        <v>240.28311826371385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1.1407240397579144</v>
      </c>
      <c r="CN23" s="22">
        <f t="shared" si="12"/>
        <v>1.1407240397579144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210.5</v>
      </c>
      <c r="CR23" s="12">
        <f>VLOOKUP(A23,'Données projet'!$A$139:$I$159,9,0)</f>
        <v>18.599999999999998</v>
      </c>
      <c r="CS23" s="12">
        <f t="array" ref="CS23">INDEX(CR:CR,MIN(IF(ISNUMBER(CR23:CR219),ROW(CR23:CR219),"")))</f>
        <v>18.599999999999998</v>
      </c>
      <c r="CT23" s="12">
        <f>IF('Données projet'!$A$140&gt;35,CT22+CS23-DB22,IF(A23&lt;'Données projet'!$A$140,$CQ$205^A23,IF(A23='Données projet'!$A$140,'Données projet'!$B$140,CT22+CS23-DB22)))</f>
        <v>210.49999999999997</v>
      </c>
      <c r="CU23" s="17">
        <f>CT23*VLOOKUP('Données projet'!$B$13,Paramètres!$A$1:$I$89,3,0)*VLOOKUP('Données projet'!$B$13,Paramètres!$A$1:$I$89,5,0)</f>
        <v>98.513999999999982</v>
      </c>
      <c r="CV23" s="13">
        <f t="shared" si="41"/>
        <v>26.607670659193456</v>
      </c>
      <c r="CW23" s="20">
        <f t="shared" si="13"/>
        <v>217.92024306476188</v>
      </c>
      <c r="CX23" s="59">
        <f t="shared" si="14"/>
        <v>511.25357639809522</v>
      </c>
      <c r="CY23" s="59">
        <f ca="1">AVERAGE(OFFSET($CX$3,0,0,'Données projet'!$E$13+1,1))-AVERAGE(OFFSET($H$3,0,0,'Données projet'!$E$13+1,1))</f>
        <v>225.92546546283018</v>
      </c>
      <c r="CZ23" s="59">
        <f t="shared" si="42"/>
        <v>309.38786160614563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35.1</v>
      </c>
      <c r="DC23" s="16">
        <f>IF(ISNA(VLOOKUP(A23,'Données projet'!$A$139:$I$159,5,0)),0%,VLOOKUP(A23,'Données projet'!$A$139:$I$159,5,0)*VLOOKUP('Données projet'!$B$13,Paramètres!$A$1:$I$89,7,0))</f>
        <v>0.16500000000000001</v>
      </c>
      <c r="DD23" s="16">
        <f>IF(ISNA(VLOOKUP(A23,'Données projet'!$A$139:$I$159,6,0)),0%,VLOOKUP(A23,'Données projet'!$A$139:$I$159,6,0)*VLOOKUP('Données projet'!$B$13,Paramètres!$A$1:$I$89,7,0))</f>
        <v>0.33</v>
      </c>
      <c r="DE23" s="16">
        <f>IF(ISNA(VLOOKUP(A23,'Données projet'!$A$139:$I$159,7,0)),0%,VLOOKUP(A23,'Données projet'!$A$139:$I$159,7,0))</f>
        <v>0.1</v>
      </c>
      <c r="DF23" s="21">
        <f>EXP(-LN(2)/35)*DF22+(1-EXP(-LN(2)/35))/(LN(2)/35)*DB23*DC23*VLOOKUP('Données projet'!$B$13,Paramètres!$A$1:$I$89,3,0)*0.475*44/12</f>
        <v>3.5955494844413494</v>
      </c>
      <c r="DG23" s="21">
        <f>EXP(-LN(2)/25)*DG22+(1-EXP(-LN(2)/25))/(LN(2)/25)*Calculateur!DB23*Calculateur!DD23*VLOOKUP('Données projet'!$B$13,Paramètres!$A$1:$I$89,3,0)*0.475*44/12</f>
        <v>13.747732491088748</v>
      </c>
      <c r="DH23" s="21">
        <f>EXP(-LN(2)/2)*DH22+(1-EXP(-LN(2)/2))/(LN(2)/2)*DB23*DE23*VLOOKUP('Données projet'!$B$13,Paramètres!$A$1:$I$89,3,0)*0.475*44/12</f>
        <v>2.3807076052998166</v>
      </c>
      <c r="DI23" s="22">
        <f t="shared" si="15"/>
        <v>19.723989580829915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48</v>
      </c>
      <c r="DM23" s="12">
        <f>VLOOKUP(A23,'Données projet'!$A$165:$I$185,9,0)</f>
        <v>4.5999999999999996</v>
      </c>
      <c r="DN23" s="12">
        <f t="array" ref="DN23">INDEX(DM:DM,MIN(IF(ISNUMBER(DM23:DM219),ROW(DM23:DM219),"")))</f>
        <v>4.5999999999999996</v>
      </c>
      <c r="DO23" s="12">
        <f>IF('Données projet'!$A$166&gt;35,DO22+DN23-DW22,IF(A23&lt;'Données projet'!$A$166,$DL$205^A23,IF(A23='Données projet'!$A$166,'Données projet'!$B$166,DO22+DN23-DW22)))</f>
        <v>48</v>
      </c>
      <c r="DP23" s="17">
        <f>DO23*VLOOKUP('Données projet'!$B$14,Paramètres!$A$1:$I$89,3,0)*VLOOKUP('Données projet'!$B$14,Paramètres!$A$1:$I$89,5,0)</f>
        <v>41.932800000000007</v>
      </c>
      <c r="DQ23" s="13">
        <f t="shared" si="43"/>
        <v>12.509520351031943</v>
      </c>
      <c r="DR23" s="20">
        <f t="shared" si="16"/>
        <v>94.820374611380657</v>
      </c>
      <c r="DS23" s="59">
        <f t="shared" si="17"/>
        <v>388.15370794471397</v>
      </c>
      <c r="DT23" s="59">
        <f ca="1">AVERAGE(OFFSET($DS$3,0,0,'Données projet'!$E$14+1,1))-AVERAGE(OFFSET($H$3,0,0,'Données projet'!$E$14+1,1))</f>
        <v>150.06600397498823</v>
      </c>
      <c r="DU23" s="59">
        <f t="shared" si="44"/>
        <v>170.53034305929714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201</v>
      </c>
      <c r="L24" s="12">
        <f>VLOOKUP(A24,'Données projet'!$A$35:$I$55,9,0)</f>
        <v>35</v>
      </c>
      <c r="M24" s="12">
        <f t="array" ref="M24">INDEX(L:L,MIN(IF(ISNUMBER(L24:L220),ROW(L24:L220),"")))</f>
        <v>35</v>
      </c>
      <c r="N24" s="13">
        <f>IF('Données projet'!$A$36&gt;35,N23+M24-V23,IF(A24&lt;'Données projet'!$A$36,$K$205^A24,IF(A24='Données projet'!$A$36,'Données projet'!$B$36,N23+M24-V23)))</f>
        <v>201</v>
      </c>
      <c r="O24" s="13">
        <f>N24*VLOOKUP('Données projet'!$B$9,Paramètres!$A$1:$I$89,3,0)*VLOOKUP('Données projet'!$B$9,Paramètres!$A$1:$I$89,5,0)</f>
        <v>94.067999999999998</v>
      </c>
      <c r="P24" s="13">
        <f t="shared" si="33"/>
        <v>25.543790108694029</v>
      </c>
      <c r="Q24" s="20">
        <f t="shared" si="2"/>
        <v>208.32386777264207</v>
      </c>
      <c r="R24" s="59">
        <f t="shared" si="0"/>
        <v>501.65720110597539</v>
      </c>
      <c r="S24" s="59">
        <f ca="1">AVERAGE(OFFSET($R$3,0,0,'Données projet'!$E$9+1,1))-AVERAGE(OFFSET($H$3,0,0,'Données projet'!$E$9+1,1))</f>
        <v>294.94285920643927</v>
      </c>
      <c r="T24" s="59">
        <f t="shared" si="34"/>
        <v>399.89535338426606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45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0.44000000000000006</v>
      </c>
      <c r="Y24" s="16">
        <f>IF(ISNA(VLOOKUP(A24,'Données projet'!$A$35:$I$55,7,0)),0%,VLOOKUP(A24,'Données projet'!$A$35:$I$55,7,0))</f>
        <v>0.2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24.262048093362196</v>
      </c>
      <c r="AB24" s="21">
        <f>EXP(-LN(2)/2)*AB23+(1-EXP(-LN(2)/2))/(LN(2)/2)*V24*Y24*VLOOKUP('Données projet'!$B$9,Paramètres!$A$1:$I$89,3,0)*0.475*44/12</f>
        <v>6.5674507990774451</v>
      </c>
      <c r="AC24" s="22">
        <f t="shared" si="3"/>
        <v>30.829498892439641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14.926923076923075</v>
      </c>
      <c r="AI24" s="13">
        <f>IF('Données projet'!$A$62&gt;35,AI23+AH24-AQ23,IF(A24&lt;'Données projet'!$A$62,$AF$205^A24,IF(A24='Données projet'!$A$62,'Données projet'!$B$62,AI23+AH24-AQ23)))</f>
        <v>143.95384615384614</v>
      </c>
      <c r="AJ24" s="13">
        <f>AI24*VLOOKUP('Données projet'!$B$10,Paramètres!$A$1:$I$89,3,0)*VLOOKUP('Données projet'!$B$10,Paramètres!$A$1:$I$89,5,0)</f>
        <v>86.084400000000002</v>
      </c>
      <c r="AK24" s="13">
        <f t="shared" si="35"/>
        <v>23.618445758177199</v>
      </c>
      <c r="AL24" s="20">
        <f t="shared" si="4"/>
        <v>191.06578969549196</v>
      </c>
      <c r="AM24" s="59">
        <f t="shared" si="5"/>
        <v>484.39912302882527</v>
      </c>
      <c r="AN24" s="59">
        <f ca="1">AVERAGE(OFFSET($AM$3,0,0,'Données projet'!$E$10+1,1))-AVERAGE(OFFSET($H$3,0,0,'Données projet'!$E$10+1,1))</f>
        <v>200.14675249215634</v>
      </c>
      <c r="AO24" s="59">
        <f t="shared" si="36"/>
        <v>200.55017434999968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7.5002421697145607</v>
      </c>
      <c r="AW24" s="21">
        <f>EXP(-LN(2)/2)*AW23+(1-EXP(-LN(2)/2))/(LN(2)/2)*AQ24*AT24*VLOOKUP('Données projet'!$B$10,Paramètres!$A$1:$I$89,3,0)*0.475*44/12</f>
        <v>3.1343881072822524</v>
      </c>
      <c r="AX24" s="21">
        <f t="shared" si="6"/>
        <v>10.634630276996813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6.1793706293706299</v>
      </c>
      <c r="BD24" s="12">
        <f>IF('Données projet'!$A$88&gt;35,BD23+BC24-BL23,IF(A24&lt;'Données projet'!$A$88,$BA$205^A24,IF(A24='Données projet'!$A$88,'Données projet'!$B$88,BD23+BC24-BL23)))</f>
        <v>108.74159560625519</v>
      </c>
      <c r="BE24" s="13">
        <f>BD24*VLOOKUP('Données projet'!$B$11,Paramètres!$A$1:$I$89,3,0)*VLOOKUP('Données projet'!$B$11,Paramètres!$A$1:$I$89,5,0)</f>
        <v>62.200192686777967</v>
      </c>
      <c r="BF24" s="13">
        <f t="shared" si="37"/>
        <v>17.723375447389007</v>
      </c>
      <c r="BG24" s="20">
        <f t="shared" si="7"/>
        <v>139.20021450034079</v>
      </c>
      <c r="BH24" s="59">
        <f t="shared" si="8"/>
        <v>432.53354783367411</v>
      </c>
      <c r="BI24" s="59">
        <f ca="1">AVERAGE(OFFSET($BH$3,0,0,'Données projet'!$E$11+1,1))-AVERAGE(OFFSET($H$3,0,0,'Données projet'!$E$11+1,1))</f>
        <v>182.46132340647313</v>
      </c>
      <c r="BJ24" s="59">
        <f t="shared" si="38"/>
        <v>130.51706975490481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22.8</v>
      </c>
      <c r="BY24" s="12">
        <f>IF('Données projet'!$A$114&gt;35,BY23+BX24-CG23,IF(A24&lt;'Données projet'!$A$114,$BV$205^A24,IF(A24='Données projet'!$A$114,'Données projet'!$B$114,BY23+BX24-CG23)))</f>
        <v>151.80000000000001</v>
      </c>
      <c r="BZ24" s="13">
        <f>BY24*VLOOKUP('Données projet'!$B$12,Paramètres!$A$1:$I$89,3,0)*VLOOKUP('Données projet'!$B$12,Paramètres!$A$1:$I$89,5,0)</f>
        <v>61.175400000000003</v>
      </c>
      <c r="CA24" s="13">
        <f t="shared" si="39"/>
        <v>17.465110631496685</v>
      </c>
      <c r="CB24" s="20">
        <f t="shared" si="10"/>
        <v>136.96555601652338</v>
      </c>
      <c r="CC24" s="59">
        <f t="shared" si="11"/>
        <v>430.29888934985672</v>
      </c>
      <c r="CD24" s="59">
        <f ca="1">AVERAGE(OFFSET($CC$3,0,0,'Données projet'!$E$12+1,1))-AVERAGE(OFFSET($H$3,0,0,'Données projet'!$E$12+1,1))</f>
        <v>291.0962681460345</v>
      </c>
      <c r="CE24" s="59">
        <f t="shared" si="40"/>
        <v>240.28311826371385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0.80661370397533416</v>
      </c>
      <c r="CN24" s="22">
        <f t="shared" si="12"/>
        <v>0.80661370397533416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20.18</v>
      </c>
      <c r="CT24" s="12">
        <f>IF('Données projet'!$A$140&gt;35,CT23+CS24-DB23,IF(A24&lt;'Données projet'!$A$140,$CQ$205^A24,IF(A24='Données projet'!$A$140,'Données projet'!$B$140,CT23+CS24-DB23)))</f>
        <v>195.57999999999998</v>
      </c>
      <c r="CU24" s="17">
        <f>CT24*VLOOKUP('Données projet'!$B$13,Paramètres!$A$1:$I$89,3,0)*VLOOKUP('Données projet'!$B$13,Paramètres!$A$1:$I$89,5,0)</f>
        <v>91.531439999999989</v>
      </c>
      <c r="CV24" s="13">
        <f t="shared" si="41"/>
        <v>24.934207965134576</v>
      </c>
      <c r="CW24" s="20">
        <f t="shared" si="13"/>
        <v>202.84433687260935</v>
      </c>
      <c r="CX24" s="59">
        <f t="shared" si="14"/>
        <v>496.17767020594266</v>
      </c>
      <c r="CY24" s="59">
        <f ca="1">AVERAGE(OFFSET($CX$3,0,0,'Données projet'!$E$13+1,1))-AVERAGE(OFFSET($H$3,0,0,'Données projet'!$E$13+1,1))</f>
        <v>225.92546546283018</v>
      </c>
      <c r="CZ24" s="59">
        <f t="shared" si="42"/>
        <v>309.38786160614563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3.5250429521200926</v>
      </c>
      <c r="DG24" s="21">
        <f>EXP(-LN(2)/25)*DG23+(1-EXP(-LN(2)/25))/(LN(2)/25)*Calculateur!DB24*Calculateur!DD24*VLOOKUP('Données projet'!$B$13,Paramètres!$A$1:$I$89,3,0)*0.475*44/12</f>
        <v>13.371800023158094</v>
      </c>
      <c r="DH24" s="21">
        <f>EXP(-LN(2)/2)*DH23+(1-EXP(-LN(2)/2))/(LN(2)/2)*DB24*DE24*VLOOKUP('Données projet'!$B$13,Paramètres!$A$1:$I$89,3,0)*0.475*44/12</f>
        <v>1.683414491729887</v>
      </c>
      <c r="DI24" s="22">
        <f t="shared" si="15"/>
        <v>18.580257467008074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5.6</v>
      </c>
      <c r="DO24" s="12">
        <f>IF('Données projet'!$A$166&gt;35,DO23+DN24-DW23,IF(A24&lt;'Données projet'!$A$166,$DL$205^A24,IF(A24='Données projet'!$A$166,'Données projet'!$B$166,DO23+DN24-DW23)))</f>
        <v>53.6</v>
      </c>
      <c r="DP24" s="17">
        <f>DO24*VLOOKUP('Données projet'!$B$14,Paramètres!$A$1:$I$89,3,0)*VLOOKUP('Données projet'!$B$14,Paramètres!$A$1:$I$89,5,0)</f>
        <v>46.824960000000011</v>
      </c>
      <c r="DQ24" s="13">
        <f t="shared" si="43"/>
        <v>13.790687228101087</v>
      </c>
      <c r="DR24" s="20">
        <f t="shared" si="16"/>
        <v>105.5722522556094</v>
      </c>
      <c r="DS24" s="59">
        <f t="shared" si="17"/>
        <v>398.9055855889427</v>
      </c>
      <c r="DT24" s="59">
        <f ca="1">AVERAGE(OFFSET($DS$3,0,0,'Données projet'!$E$14+1,1))-AVERAGE(OFFSET($H$3,0,0,'Données projet'!$E$14+1,1))</f>
        <v>150.06600397498823</v>
      </c>
      <c r="DU24" s="59">
        <f t="shared" si="44"/>
        <v>170.53034305929714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41.666666666666664</v>
      </c>
      <c r="N25" s="13">
        <f>IF('Données projet'!$A$36&gt;35,N24+M25-V24,IF(A25&lt;'Données projet'!$A$36,$K$205^A25,IF(A25='Données projet'!$A$36,'Données projet'!$B$36,N24+M25-V24)))</f>
        <v>197.66666666666666</v>
      </c>
      <c r="O25" s="13">
        <f>N25*VLOOKUP('Données projet'!$B$9,Paramètres!$A$1:$I$89,3,0)*VLOOKUP('Données projet'!$B$9,Paramètres!$A$1:$I$89,5,0)</f>
        <v>92.507999999999996</v>
      </c>
      <c r="P25" s="13">
        <f t="shared" si="33"/>
        <v>25.1691232259789</v>
      </c>
      <c r="Q25" s="20">
        <f t="shared" si="2"/>
        <v>204.95432295191324</v>
      </c>
      <c r="R25" s="59">
        <f t="shared" si="0"/>
        <v>498.28765628524656</v>
      </c>
      <c r="S25" s="59">
        <f ca="1">AVERAGE(OFFSET($R$3,0,0,'Données projet'!$E$9+1,1))-AVERAGE(OFFSET($H$3,0,0,'Données projet'!$E$9+1,1))</f>
        <v>294.94285920643927</v>
      </c>
      <c r="T25" s="59">
        <f t="shared" si="34"/>
        <v>399.89535338426606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23.59860111236355</v>
      </c>
      <c r="AB25" s="21">
        <f>EXP(-LN(2)/2)*AB24+(1-EXP(-LN(2)/2))/(LN(2)/2)*V25*Y25*VLOOKUP('Données projet'!$B$9,Paramètres!$A$1:$I$89,3,0)*0.475*44/12</f>
        <v>4.6438889951366722</v>
      </c>
      <c r="AC25" s="22">
        <f t="shared" si="3"/>
        <v>28.242490107500224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14.926923076923075</v>
      </c>
      <c r="AI25" s="13">
        <f>IF('Données projet'!$A$62&gt;35,AI24+AH25-AQ24,IF(A25&lt;'Données projet'!$A$62,$AF$205^A25,IF(A25='Données projet'!$A$62,'Données projet'!$B$62,AI24+AH25-AQ24)))</f>
        <v>158.8807692307692</v>
      </c>
      <c r="AJ25" s="13">
        <f>AI25*VLOOKUP('Données projet'!$B$10,Paramètres!$A$1:$I$89,3,0)*VLOOKUP('Données projet'!$B$10,Paramètres!$A$1:$I$89,5,0)</f>
        <v>95.0107</v>
      </c>
      <c r="AK25" s="13">
        <f t="shared" si="35"/>
        <v>25.769848277327686</v>
      </c>
      <c r="AL25" s="20">
        <f t="shared" si="4"/>
        <v>210.3594549163457</v>
      </c>
      <c r="AM25" s="59">
        <f t="shared" si="5"/>
        <v>503.69278824967898</v>
      </c>
      <c r="AN25" s="59">
        <f ca="1">AVERAGE(OFFSET($AM$3,0,0,'Données projet'!$E$10+1,1))-AVERAGE(OFFSET($H$3,0,0,'Données projet'!$E$10+1,1))</f>
        <v>200.14675249215634</v>
      </c>
      <c r="AO25" s="59">
        <f t="shared" si="36"/>
        <v>200.55017434999968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7.2951476531631227</v>
      </c>
      <c r="AW25" s="21">
        <f>EXP(-LN(2)/2)*AW24+(1-EXP(-LN(2)/2))/(LN(2)/2)*AQ25*AT25*VLOOKUP('Données projet'!$B$10,Paramètres!$A$1:$I$89,3,0)*0.475*44/12</f>
        <v>2.2163470855297485</v>
      </c>
      <c r="AX25" s="21">
        <f t="shared" si="6"/>
        <v>9.5114947386928712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>
        <f>VLOOKUP(A25,'Données projet'!$A$87:$I$107,2,0)</f>
        <v>135.94615384615386</v>
      </c>
      <c r="BB25" s="12">
        <f>VLOOKUP(A25,'Données projet'!$A$87:$I$107,9,0)</f>
        <v>6.1793706293706299</v>
      </c>
      <c r="BC25" s="12">
        <f t="array" ref="BC25">INDEX(BB:BB,MIN(IF(ISNUMBER(BB25:BB221),ROW(BB25:BB221),"")))</f>
        <v>6.1793706293706299</v>
      </c>
      <c r="BD25" s="12">
        <f>IF('Données projet'!$A$88&gt;35,BD24+BC25-BL24,IF(A25&lt;'Données projet'!$A$88,$BA$205^A25,IF(A25='Données projet'!$A$88,'Données projet'!$B$88,BD24+BC25-BL24)))</f>
        <v>135.94615384615386</v>
      </c>
      <c r="BE25" s="13">
        <f>BD25*VLOOKUP('Données projet'!$B$11,Paramètres!$A$1:$I$89,3,0)*VLOOKUP('Données projet'!$B$11,Paramètres!$A$1:$I$89,5,0)</f>
        <v>77.761200000000017</v>
      </c>
      <c r="BF25" s="13">
        <f t="shared" si="37"/>
        <v>21.588884902728694</v>
      </c>
      <c r="BG25" s="20">
        <f t="shared" si="7"/>
        <v>173.03473120558581</v>
      </c>
      <c r="BH25" s="59">
        <f t="shared" si="8"/>
        <v>466.36806453891916</v>
      </c>
      <c r="BI25" s="59">
        <f ca="1">AVERAGE(OFFSET($BH$3,0,0,'Données projet'!$E$11+1,1))-AVERAGE(OFFSET($H$3,0,0,'Données projet'!$E$11+1,1))</f>
        <v>182.46132340647313</v>
      </c>
      <c r="BJ25" s="59">
        <f t="shared" si="38"/>
        <v>130.51706975490481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57.423076923076927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0.25200000000000006</v>
      </c>
      <c r="BO25" s="16">
        <f>IF(ISNA(VLOOKUP(A25,'Données projet'!$A$87:$I$107,7,0)),0%,VLOOKUP(A25,'Données projet'!$A$87:$I$107,7,0))</f>
        <v>0.44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10.936995353869166</v>
      </c>
      <c r="BR25" s="21">
        <f>EXP(-LN(2)/2)*BR24+(1-EXP(-LN(2)/2))/(LN(2)/2)*BL25*BO25*VLOOKUP('Données projet'!$B$11,Paramètres!$A$1:$I$89,3,0)*0.475*44/12</f>
        <v>16.363292899603895</v>
      </c>
      <c r="BS25" s="22">
        <f t="shared" si="9"/>
        <v>27.300288253473063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22.8</v>
      </c>
      <c r="BY25" s="12">
        <f>IF('Données projet'!$A$114&gt;35,BY24+BX25-CG24,IF(A25&lt;'Données projet'!$A$114,$BV$205^A25,IF(A25='Données projet'!$A$114,'Données projet'!$B$114,BY24+BX25-CG24)))</f>
        <v>174.60000000000002</v>
      </c>
      <c r="BZ25" s="13">
        <f>BY25*VLOOKUP('Données projet'!$B$12,Paramètres!$A$1:$I$89,3,0)*VLOOKUP('Données projet'!$B$12,Paramètres!$A$1:$I$89,5,0)</f>
        <v>70.363800000000012</v>
      </c>
      <c r="CA25" s="13">
        <f t="shared" si="39"/>
        <v>19.763774659213784</v>
      </c>
      <c r="CB25" s="20">
        <f t="shared" si="10"/>
        <v>156.972192531464</v>
      </c>
      <c r="CC25" s="59">
        <f t="shared" si="11"/>
        <v>450.30552586479735</v>
      </c>
      <c r="CD25" s="59">
        <f ca="1">AVERAGE(OFFSET($CC$3,0,0,'Données projet'!$E$12+1,1))-AVERAGE(OFFSET($H$3,0,0,'Données projet'!$E$12+1,1))</f>
        <v>291.0962681460345</v>
      </c>
      <c r="CE25" s="59">
        <f t="shared" si="40"/>
        <v>240.28311826371385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0.57036201987895729</v>
      </c>
      <c r="CN25" s="22">
        <f t="shared" si="12"/>
        <v>0.57036201987895729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20.18</v>
      </c>
      <c r="CT25" s="12">
        <f>IF('Données projet'!$A$140&gt;35,CT24+CS25-DB24,IF(A25&lt;'Données projet'!$A$140,$CQ$205^A25,IF(A25='Données projet'!$A$140,'Données projet'!$B$140,CT24+CS25-DB24)))</f>
        <v>215.76</v>
      </c>
      <c r="CU25" s="17">
        <f>CT25*VLOOKUP('Données projet'!$B$13,Paramètres!$A$1:$I$89,3,0)*VLOOKUP('Données projet'!$B$13,Paramètres!$A$1:$I$89,5,0)</f>
        <v>100.97568</v>
      </c>
      <c r="CV25" s="13">
        <f t="shared" si="41"/>
        <v>27.194308339454352</v>
      </c>
      <c r="CW25" s="20">
        <f t="shared" si="13"/>
        <v>223.22939635788296</v>
      </c>
      <c r="CX25" s="59">
        <f t="shared" si="14"/>
        <v>516.5627296912163</v>
      </c>
      <c r="CY25" s="59">
        <f ca="1">AVERAGE(OFFSET($CX$3,0,0,'Données projet'!$E$13+1,1))-AVERAGE(OFFSET($H$3,0,0,'Données projet'!$E$13+1,1))</f>
        <v>225.92546546283018</v>
      </c>
      <c r="CZ25" s="59">
        <f t="shared" si="42"/>
        <v>309.38786160614563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3.4559190098929173</v>
      </c>
      <c r="DG25" s="21">
        <f>EXP(-LN(2)/25)*DG24+(1-EXP(-LN(2)/25))/(LN(2)/25)*Calculateur!DB25*Calculateur!DD25*VLOOKUP('Données projet'!$B$13,Paramètres!$A$1:$I$89,3,0)*0.475*44/12</f>
        <v>13.006147448332435</v>
      </c>
      <c r="DH25" s="21">
        <f>EXP(-LN(2)/2)*DH24+(1-EXP(-LN(2)/2))/(LN(2)/2)*DB25*DE25*VLOOKUP('Données projet'!$B$13,Paramètres!$A$1:$I$89,3,0)*0.475*44/12</f>
        <v>1.1903538026499083</v>
      </c>
      <c r="DI25" s="22">
        <f t="shared" si="15"/>
        <v>17.65242026087526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5.6</v>
      </c>
      <c r="DO25" s="12">
        <f>IF('Données projet'!$A$166&gt;35,DO24+DN25-DW24,IF(A25&lt;'Données projet'!$A$166,$DL$205^A25,IF(A25='Données projet'!$A$166,'Données projet'!$B$166,DO24+DN25-DW24)))</f>
        <v>59.2</v>
      </c>
      <c r="DP25" s="17">
        <f>DO25*VLOOKUP('Données projet'!$B$14,Paramètres!$A$1:$I$89,3,0)*VLOOKUP('Données projet'!$B$14,Paramètres!$A$1:$I$89,5,0)</f>
        <v>51.717120000000016</v>
      </c>
      <c r="DQ25" s="13">
        <f t="shared" si="43"/>
        <v>15.056338174085301</v>
      </c>
      <c r="DR25" s="20">
        <f t="shared" si="16"/>
        <v>116.29710631986525</v>
      </c>
      <c r="DS25" s="59">
        <f t="shared" si="17"/>
        <v>409.63043965319855</v>
      </c>
      <c r="DT25" s="59">
        <f ca="1">AVERAGE(OFFSET($DS$3,0,0,'Données projet'!$E$14+1,1))-AVERAGE(OFFSET($H$3,0,0,'Données projet'!$E$14+1,1))</f>
        <v>150.06600397498823</v>
      </c>
      <c r="DU25" s="59">
        <f t="shared" si="44"/>
        <v>170.53034305929714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41.666666666666664</v>
      </c>
      <c r="N26" s="13">
        <f>IF('Données projet'!$A$36&gt;35,N25+M26-V25,IF(A26&lt;'Données projet'!$A$36,$K$205^A26,IF(A26='Données projet'!$A$36,'Données projet'!$B$36,N25+M26-V25)))</f>
        <v>239.33333333333331</v>
      </c>
      <c r="O26" s="13">
        <f>N26*VLOOKUP('Données projet'!$B$9,Paramètres!$A$1:$I$89,3,0)*VLOOKUP('Données projet'!$B$9,Paramètres!$A$1:$I$89,5,0)</f>
        <v>112.008</v>
      </c>
      <c r="P26" s="13">
        <f t="shared" si="33"/>
        <v>29.803585787381248</v>
      </c>
      <c r="Q26" s="20">
        <f t="shared" si="2"/>
        <v>246.98851191302231</v>
      </c>
      <c r="R26" s="59">
        <f t="shared" si="0"/>
        <v>540.32184524635568</v>
      </c>
      <c r="S26" s="59">
        <f ca="1">AVERAGE(OFFSET($R$3,0,0,'Données projet'!$E$9+1,1))-AVERAGE(OFFSET($H$3,0,0,'Données projet'!$E$9+1,1))</f>
        <v>294.94285920643927</v>
      </c>
      <c r="T26" s="59">
        <f t="shared" si="34"/>
        <v>399.89535338426606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22.953296123949471</v>
      </c>
      <c r="AB26" s="21">
        <f>EXP(-LN(2)/2)*AB25+(1-EXP(-LN(2)/2))/(LN(2)/2)*V26*Y26*VLOOKUP('Données projet'!$B$9,Paramètres!$A$1:$I$89,3,0)*0.475*44/12</f>
        <v>3.283725399538723</v>
      </c>
      <c r="AC26" s="22">
        <f t="shared" si="3"/>
        <v>26.237021523488195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173.80769230769229</v>
      </c>
      <c r="AG26" s="12">
        <f>VLOOKUP(A26,'Données projet'!$A$61:$I$81,9,0)</f>
        <v>14.926923076923075</v>
      </c>
      <c r="AH26" s="12">
        <f t="array" ref="AH26">INDEX(AG:AG,MIN(IF(ISNUMBER(AG26:AG222),ROW(AG26:AG222),"")))</f>
        <v>14.926923076923075</v>
      </c>
      <c r="AI26" s="13">
        <f>IF('Données projet'!$A$62&gt;35,AI25+AH26-AQ25,IF(A26&lt;'Données projet'!$A$62,$AF$205^A26,IF(A26='Données projet'!$A$62,'Données projet'!$B$62,AI25+AH26-AQ25)))</f>
        <v>173.80769230769226</v>
      </c>
      <c r="AJ26" s="13">
        <f>AI26*VLOOKUP('Données projet'!$B$10,Paramètres!$A$1:$I$89,3,0)*VLOOKUP('Données projet'!$B$10,Paramètres!$A$1:$I$89,5,0)</f>
        <v>103.93699999999998</v>
      </c>
      <c r="AK26" s="13">
        <f t="shared" si="35"/>
        <v>27.897815230264825</v>
      </c>
      <c r="AL26" s="20">
        <f t="shared" si="4"/>
        <v>229.61230319271121</v>
      </c>
      <c r="AM26" s="59">
        <f t="shared" si="5"/>
        <v>522.9456365260445</v>
      </c>
      <c r="AN26" s="59">
        <f ca="1">AVERAGE(OFFSET($AM$3,0,0,'Données projet'!$E$10+1,1))-AVERAGE(OFFSET($H$3,0,0,'Données projet'!$E$10+1,1))</f>
        <v>200.14675249215634</v>
      </c>
      <c r="AO26" s="59">
        <f t="shared" si="36"/>
        <v>200.55017434999968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54.099999999999994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0.25200000000000006</v>
      </c>
      <c r="AT26" s="16">
        <f>IF(ISNA(VLOOKUP(A26,'Données projet'!$A$61:$I$81,7,0)),0%,VLOOKUP(A26,'Données projet'!$A$61:$I$81,7,0))</f>
        <v>0.44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17.868099083734933</v>
      </c>
      <c r="AW26" s="21">
        <f>EXP(-LN(2)/2)*AW25+(1-EXP(-LN(2)/2))/(LN(2)/2)*AQ26*AT26*VLOOKUP('Données projet'!$B$10,Paramètres!$A$1:$I$89,3,0)*0.475*44/12</f>
        <v>17.684285304612487</v>
      </c>
      <c r="AX26" s="21">
        <f t="shared" si="6"/>
        <v>35.55238438834742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10.190109890109889</v>
      </c>
      <c r="BD26" s="12">
        <f>IF('Données projet'!$A$88&gt;35,BD25+BC26-BL25,IF(A26&lt;'Données projet'!$A$88,$BA$205^A26,IF(A26='Données projet'!$A$88,'Données projet'!$B$88,BD25+BC26-BL25)))</f>
        <v>88.713186813186809</v>
      </c>
      <c r="BE26" s="13">
        <f>BD26*VLOOKUP('Données projet'!$B$11,Paramètres!$A$1:$I$89,3,0)*VLOOKUP('Données projet'!$B$11,Paramètres!$A$1:$I$89,5,0)</f>
        <v>50.743942857142855</v>
      </c>
      <c r="BF26" s="13">
        <f t="shared" si="37"/>
        <v>14.805720692645828</v>
      </c>
      <c r="BG26" s="20">
        <f t="shared" si="7"/>
        <v>114.16566401588193</v>
      </c>
      <c r="BH26" s="59">
        <f t="shared" si="8"/>
        <v>407.49899734921524</v>
      </c>
      <c r="BI26" s="59">
        <f ca="1">AVERAGE(OFFSET($BH$3,0,0,'Données projet'!$E$11+1,1))-AVERAGE(OFFSET($H$3,0,0,'Données projet'!$E$11+1,1))</f>
        <v>182.46132340647313</v>
      </c>
      <c r="BJ26" s="59">
        <f t="shared" si="38"/>
        <v>130.51706975490481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10.637922640766025</v>
      </c>
      <c r="BR26" s="21">
        <f>EXP(-LN(2)/2)*BR25+(1-EXP(-LN(2)/2))/(LN(2)/2)*BL26*BO26*VLOOKUP('Données projet'!$B$11,Paramètres!$A$1:$I$89,3,0)*0.475*44/12</f>
        <v>11.570595371851599</v>
      </c>
      <c r="BS26" s="22">
        <f t="shared" si="9"/>
        <v>22.208518012617624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22.8</v>
      </c>
      <c r="BY26" s="12">
        <f>IF('Données projet'!$A$114&gt;35,BY25+BX26-CG25,IF(A26&lt;'Données projet'!$A$114,$BV$205^A26,IF(A26='Données projet'!$A$114,'Données projet'!$B$114,BY25+BX26-CG25)))</f>
        <v>197.40000000000003</v>
      </c>
      <c r="BZ26" s="13">
        <f>BY26*VLOOKUP('Données projet'!$B$12,Paramètres!$A$1:$I$89,3,0)*VLOOKUP('Données projet'!$B$12,Paramètres!$A$1:$I$89,5,0)</f>
        <v>79.552200000000013</v>
      </c>
      <c r="CA26" s="13">
        <f t="shared" si="39"/>
        <v>22.027658957299707</v>
      </c>
      <c r="CB26" s="20">
        <f t="shared" si="10"/>
        <v>176.91825435063035</v>
      </c>
      <c r="CC26" s="59">
        <f t="shared" si="11"/>
        <v>470.25158768396363</v>
      </c>
      <c r="CD26" s="59">
        <f ca="1">AVERAGE(OFFSET($CC$3,0,0,'Données projet'!$E$12+1,1))-AVERAGE(OFFSET($H$3,0,0,'Données projet'!$E$12+1,1))</f>
        <v>291.0962681460345</v>
      </c>
      <c r="CE26" s="59">
        <f t="shared" si="40"/>
        <v>240.28311826371385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0.40330685198766714</v>
      </c>
      <c r="CN26" s="22">
        <f t="shared" si="12"/>
        <v>0.40330685198766714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20.18</v>
      </c>
      <c r="CT26" s="12">
        <f>IF('Données projet'!$A$140&gt;35,CT25+CS26-DB25,IF(A26&lt;'Données projet'!$A$140,$CQ$205^A26,IF(A26='Données projet'!$A$140,'Données projet'!$B$140,CT25+CS26-DB25)))</f>
        <v>235.94</v>
      </c>
      <c r="CU26" s="17">
        <f>CT26*VLOOKUP('Données projet'!$B$13,Paramètres!$A$1:$I$89,3,0)*VLOOKUP('Données projet'!$B$13,Paramètres!$A$1:$I$89,5,0)</f>
        <v>110.41992</v>
      </c>
      <c r="CV26" s="13">
        <f t="shared" si="41"/>
        <v>29.429899049692541</v>
      </c>
      <c r="CW26" s="20">
        <f t="shared" si="13"/>
        <v>243.57176817821448</v>
      </c>
      <c r="CX26" s="59">
        <f t="shared" si="14"/>
        <v>536.90510151154785</v>
      </c>
      <c r="CY26" s="59">
        <f ca="1">AVERAGE(OFFSET($CX$3,0,0,'Données projet'!$E$13+1,1))-AVERAGE(OFFSET($H$3,0,0,'Données projet'!$E$13+1,1))</f>
        <v>225.92546546283018</v>
      </c>
      <c r="CZ26" s="59">
        <f t="shared" si="42"/>
        <v>309.38786160614563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3.3881505460113752</v>
      </c>
      <c r="DG26" s="21">
        <f>EXP(-LN(2)/25)*DG25+(1-EXP(-LN(2)/25))/(LN(2)/25)*Calculateur!DB26*Calculateur!DD26*VLOOKUP('Données projet'!$B$13,Paramètres!$A$1:$I$89,3,0)*0.475*44/12</f>
        <v>12.650493662394215</v>
      </c>
      <c r="DH26" s="21">
        <f>EXP(-LN(2)/2)*DH25+(1-EXP(-LN(2)/2))/(LN(2)/2)*DB26*DE26*VLOOKUP('Données projet'!$B$13,Paramètres!$A$1:$I$89,3,0)*0.475*44/12</f>
        <v>0.8417072458649435</v>
      </c>
      <c r="DI26" s="22">
        <f t="shared" si="15"/>
        <v>16.880351454270532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5.6</v>
      </c>
      <c r="DO26" s="12">
        <f>IF('Données projet'!$A$166&gt;35,DO25+DN26-DW25,IF(A26&lt;'Données projet'!$A$166,$DL$205^A26,IF(A26='Données projet'!$A$166,'Données projet'!$B$166,DO25+DN26-DW25)))</f>
        <v>64.8</v>
      </c>
      <c r="DP26" s="17">
        <f>DO26*VLOOKUP('Données projet'!$B$14,Paramètres!$A$1:$I$89,3,0)*VLOOKUP('Données projet'!$B$14,Paramètres!$A$1:$I$89,5,0)</f>
        <v>56.609280000000005</v>
      </c>
      <c r="DQ26" s="13">
        <f t="shared" si="43"/>
        <v>16.308107884812738</v>
      </c>
      <c r="DR26" s="20">
        <f t="shared" si="16"/>
        <v>126.99778389938218</v>
      </c>
      <c r="DS26" s="59">
        <f t="shared" si="17"/>
        <v>420.33111723271548</v>
      </c>
      <c r="DT26" s="59">
        <f ca="1">AVERAGE(OFFSET($DS$3,0,0,'Données projet'!$E$14+1,1))-AVERAGE(OFFSET($H$3,0,0,'Données projet'!$E$14+1,1))</f>
        <v>150.06600397498823</v>
      </c>
      <c r="DU26" s="59">
        <f t="shared" si="44"/>
        <v>170.53034305929714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281</v>
      </c>
      <c r="L27" s="12">
        <f>VLOOKUP(A27,'Données projet'!$A$35:$I$55,9,0)</f>
        <v>41.666666666666664</v>
      </c>
      <c r="M27" s="12">
        <f t="array" ref="M27">INDEX(L:L,MIN(IF(ISNUMBER(L27:L223),ROW(L27:L223),"")))</f>
        <v>41.666666666666664</v>
      </c>
      <c r="N27" s="13">
        <f>IF('Données projet'!$A$36&gt;35,N26+M27-V26,IF(A27&lt;'Données projet'!$A$36,$K$205^A27,IF(A27='Données projet'!$A$36,'Données projet'!$B$36,N26+M27-V26)))</f>
        <v>281</v>
      </c>
      <c r="O27" s="13">
        <f>N27*VLOOKUP('Données projet'!$B$9,Paramètres!$A$1:$I$89,3,0)*VLOOKUP('Données projet'!$B$9,Paramètres!$A$1:$I$89,5,0)</f>
        <v>131.50800000000001</v>
      </c>
      <c r="P27" s="13">
        <f t="shared" si="33"/>
        <v>34.344579617082509</v>
      </c>
      <c r="Q27" s="20">
        <f t="shared" si="2"/>
        <v>288.85990949975201</v>
      </c>
      <c r="R27" s="59">
        <f t="shared" si="0"/>
        <v>582.19324283308538</v>
      </c>
      <c r="S27" s="59">
        <f ca="1">AVERAGE(OFFSET($R$3,0,0,'Données projet'!$E$9+1,1))-AVERAGE(OFFSET($H$3,0,0,'Données projet'!$E$9+1,1))</f>
        <v>294.94285920643927</v>
      </c>
      <c r="T27" s="59">
        <f t="shared" si="34"/>
        <v>399.89535338426606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50</v>
      </c>
      <c r="W27" s="16">
        <f>IF(ISNA(VLOOKUP(A27,'Données projet'!$A$35:$I$55,5,0)),0%,VLOOKUP(A27,'Données projet'!$A$35:$I$55,5,0)*VLOOKUP('Données projet'!$B$9,Paramètres!$A$1:$I$89,7,0))</f>
        <v>0.16500000000000001</v>
      </c>
      <c r="X27" s="16">
        <f>IF(ISNA(VLOOKUP(A27,'Données projet'!$A$35:$I$55,6,0)),0%,VLOOKUP(A27,'Données projet'!$A$35:$I$55,6,0)*VLOOKUP('Données projet'!$B$9,Paramètres!$A$1:$I$89,7,0))</f>
        <v>0.33</v>
      </c>
      <c r="Y27" s="16">
        <f>IF(ISNA(VLOOKUP(A27,'Données projet'!$A$35:$I$55,7,0)),0%,VLOOKUP(A27,'Données projet'!$A$35:$I$55,7,0))</f>
        <v>0.1</v>
      </c>
      <c r="Z27" s="21">
        <f>EXP(-LN(2)/35)*Z26+(1-EXP(-LN(2)/35))/(LN(2)/35)*V27*W27*VLOOKUP('Données projet'!$B$9,Paramètres!$A$1:$I$89,3,0)*0.475*44/12</f>
        <v>5.1218653624520654</v>
      </c>
      <c r="AA27" s="21">
        <f>EXP(-LN(2)/25)*AA26+(1-EXP(-LN(2)/25))/(LN(2)/25)*Calculateur!V27*Calculateur!X27*VLOOKUP('Données projet'!$B$9,Paramètres!$A$1:$I$89,3,0)*0.475*44/12</f>
        <v>32.529034288251459</v>
      </c>
      <c r="AB27" s="21">
        <f>EXP(-LN(2)/2)*AB26+(1-EXP(-LN(2)/2))/(LN(2)/2)*V27*Y27*VLOOKUP('Données projet'!$B$9,Paramètres!$A$1:$I$89,3,0)*0.475*44/12</f>
        <v>4.9713680737802655</v>
      </c>
      <c r="AC27" s="22">
        <f t="shared" si="3"/>
        <v>42.622267724483791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15.073076923076925</v>
      </c>
      <c r="AI27" s="13">
        <f>IF('Données projet'!$A$62&gt;35,AI26+AH27-AQ26,IF(A27&lt;'Données projet'!$A$62,$AF$205^A27,IF(A27='Données projet'!$A$62,'Données projet'!$B$62,AI26+AH27-AQ26)))</f>
        <v>134.78076923076921</v>
      </c>
      <c r="AJ27" s="13">
        <f>AI27*VLOOKUP('Données projet'!$B$10,Paramètres!$A$1:$I$89,3,0)*VLOOKUP('Données projet'!$B$10,Paramètres!$A$1:$I$89,5,0)</f>
        <v>80.598899999999986</v>
      </c>
      <c r="AK27" s="13">
        <f t="shared" si="35"/>
        <v>22.283554667877272</v>
      </c>
      <c r="AL27" s="20">
        <f t="shared" si="4"/>
        <v>179.18694187988618</v>
      </c>
      <c r="AM27" s="59">
        <f t="shared" si="5"/>
        <v>472.52027521321952</v>
      </c>
      <c r="AN27" s="59">
        <f ca="1">AVERAGE(OFFSET($AM$3,0,0,'Données projet'!$E$10+1,1))-AVERAGE(OFFSET($H$3,0,0,'Données projet'!$E$10+1,1))</f>
        <v>200.14675249215634</v>
      </c>
      <c r="AO27" s="59">
        <f t="shared" si="36"/>
        <v>200.55017434999968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17.379494974647709</v>
      </c>
      <c r="AW27" s="21">
        <f>EXP(-LN(2)/2)*AW26+(1-EXP(-LN(2)/2))/(LN(2)/2)*AQ27*AT27*VLOOKUP('Données projet'!$B$10,Paramètres!$A$1:$I$89,3,0)*0.475*44/12</f>
        <v>12.5046780593291</v>
      </c>
      <c r="AX27" s="21">
        <f t="shared" si="6"/>
        <v>29.884173033976808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10.190109890109889</v>
      </c>
      <c r="BD27" s="12">
        <f>IF('Données projet'!$A$88&gt;35,BD26+BC27-BL26,IF(A27&lt;'Données projet'!$A$88,$BA$205^A27,IF(A27='Données projet'!$A$88,'Données projet'!$B$88,BD26+BC27-BL26)))</f>
        <v>98.903296703296704</v>
      </c>
      <c r="BE27" s="13">
        <f>BD27*VLOOKUP('Données projet'!$B$11,Paramètres!$A$1:$I$89,3,0)*VLOOKUP('Données projet'!$B$11,Paramètres!$A$1:$I$89,5,0)</f>
        <v>56.572685714285718</v>
      </c>
      <c r="BF27" s="13">
        <f t="shared" si="37"/>
        <v>16.298792489935416</v>
      </c>
      <c r="BG27" s="20">
        <f t="shared" si="7"/>
        <v>126.91782453901847</v>
      </c>
      <c r="BH27" s="59">
        <f t="shared" si="8"/>
        <v>420.25115787235177</v>
      </c>
      <c r="BI27" s="59">
        <f ca="1">AVERAGE(OFFSET($BH$3,0,0,'Données projet'!$E$11+1,1))-AVERAGE(OFFSET($H$3,0,0,'Données projet'!$E$11+1,1))</f>
        <v>182.46132340647313</v>
      </c>
      <c r="BJ27" s="59">
        <f t="shared" si="38"/>
        <v>130.51706975490481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10.347028086730239</v>
      </c>
      <c r="BR27" s="21">
        <f>EXP(-LN(2)/2)*BR26+(1-EXP(-LN(2)/2))/(LN(2)/2)*BL27*BO27*VLOOKUP('Données projet'!$B$11,Paramètres!$A$1:$I$89,3,0)*0.475*44/12</f>
        <v>8.1816464498019492</v>
      </c>
      <c r="BS27" s="22">
        <f t="shared" si="9"/>
        <v>18.528674536532186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22.8</v>
      </c>
      <c r="BY27" s="12">
        <f>IF('Données projet'!$A$114&gt;35,BY26+BX27-CG26,IF(A27&lt;'Données projet'!$A$114,$BV$205^A27,IF(A27='Données projet'!$A$114,'Données projet'!$B$114,BY26+BX27-CG26)))</f>
        <v>220.20000000000005</v>
      </c>
      <c r="BZ27" s="13">
        <f>BY27*VLOOKUP('Données projet'!$B$12,Paramètres!$A$1:$I$89,3,0)*VLOOKUP('Données projet'!$B$12,Paramètres!$A$1:$I$89,5,0)</f>
        <v>88.740600000000029</v>
      </c>
      <c r="CA27" s="13">
        <f t="shared" si="39"/>
        <v>24.261239375420189</v>
      </c>
      <c r="CB27" s="20">
        <f t="shared" si="10"/>
        <v>196.81153691219018</v>
      </c>
      <c r="CC27" s="59">
        <f t="shared" si="11"/>
        <v>490.14487024552352</v>
      </c>
      <c r="CD27" s="59">
        <f ca="1">AVERAGE(OFFSET($CC$3,0,0,'Données projet'!$E$12+1,1))-AVERAGE(OFFSET($H$3,0,0,'Données projet'!$E$12+1,1))</f>
        <v>291.0962681460345</v>
      </c>
      <c r="CE27" s="59">
        <f t="shared" si="40"/>
        <v>240.28311826371385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0.2851810099394787</v>
      </c>
      <c r="CN27" s="22">
        <f t="shared" si="12"/>
        <v>0.2851810099394787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20.18</v>
      </c>
      <c r="CT27" s="12">
        <f>IF('Données projet'!$A$140&gt;35,CT26+CS27-DB26,IF(A27&lt;'Données projet'!$A$140,$CQ$205^A27,IF(A27='Données projet'!$A$140,'Données projet'!$B$140,CT26+CS27-DB26)))</f>
        <v>256.12</v>
      </c>
      <c r="CU27" s="17">
        <f>CT27*VLOOKUP('Données projet'!$B$13,Paramètres!$A$1:$I$89,3,0)*VLOOKUP('Données projet'!$B$13,Paramètres!$A$1:$I$89,5,0)</f>
        <v>119.86416</v>
      </c>
      <c r="CV27" s="13">
        <f t="shared" si="41"/>
        <v>31.64331475667349</v>
      </c>
      <c r="CW27" s="20">
        <f t="shared" si="13"/>
        <v>263.87551853453971</v>
      </c>
      <c r="CX27" s="59">
        <f t="shared" si="14"/>
        <v>557.20885186787302</v>
      </c>
      <c r="CY27" s="59">
        <f ca="1">AVERAGE(OFFSET($CX$3,0,0,'Données projet'!$E$13+1,1))-AVERAGE(OFFSET($H$3,0,0,'Données projet'!$E$13+1,1))</f>
        <v>225.92546546283018</v>
      </c>
      <c r="CZ27" s="59">
        <f t="shared" si="42"/>
        <v>309.38786160614563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3.3217109803718685</v>
      </c>
      <c r="DG27" s="21">
        <f>EXP(-LN(2)/25)*DG26+(1-EXP(-LN(2)/25))/(LN(2)/25)*Calculateur!DB27*Calculateur!DD27*VLOOKUP('Données projet'!$B$13,Paramètres!$A$1:$I$89,3,0)*0.475*44/12</f>
        <v>12.304565247935496</v>
      </c>
      <c r="DH27" s="21">
        <f>EXP(-LN(2)/2)*DH26+(1-EXP(-LN(2)/2))/(LN(2)/2)*DB27*DE27*VLOOKUP('Données projet'!$B$13,Paramètres!$A$1:$I$89,3,0)*0.475*44/12</f>
        <v>0.59517690132495416</v>
      </c>
      <c r="DI27" s="22">
        <f t="shared" si="15"/>
        <v>16.221453129632319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5.6</v>
      </c>
      <c r="DO27" s="12">
        <f>IF('Données projet'!$A$166&gt;35,DO26+DN27-DW26,IF(A27&lt;'Données projet'!$A$166,$DL$205^A27,IF(A27='Données projet'!$A$166,'Données projet'!$B$166,DO26+DN27-DW26)))</f>
        <v>70.399999999999991</v>
      </c>
      <c r="DP27" s="17">
        <f>DO27*VLOOKUP('Données projet'!$B$14,Paramètres!$A$1:$I$89,3,0)*VLOOKUP('Données projet'!$B$14,Paramètres!$A$1:$I$89,5,0)</f>
        <v>61.501440000000002</v>
      </c>
      <c r="DQ27" s="13">
        <f t="shared" si="43"/>
        <v>17.547332369013468</v>
      </c>
      <c r="DR27" s="20">
        <f t="shared" si="16"/>
        <v>137.67661187603181</v>
      </c>
      <c r="DS27" s="59">
        <f t="shared" si="17"/>
        <v>431.00994520936513</v>
      </c>
      <c r="DT27" s="59">
        <f ca="1">AVERAGE(OFFSET($DS$3,0,0,'Données projet'!$E$14+1,1))-AVERAGE(OFFSET($H$3,0,0,'Données projet'!$E$14+1,1))</f>
        <v>150.06600397498823</v>
      </c>
      <c r="DU27" s="59">
        <f t="shared" si="44"/>
        <v>170.53034305929714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45.75</v>
      </c>
      <c r="N28" s="13">
        <f>IF('Données projet'!$A$36&gt;35,N27+M28-V27,IF(A28&lt;'Données projet'!$A$36,$K$205^A28,IF(A28='Données projet'!$A$36,'Données projet'!$B$36,N27+M28-V27)))</f>
        <v>276.75</v>
      </c>
      <c r="O28" s="13">
        <f>N28*VLOOKUP('Données projet'!$B$9,Paramètres!$A$1:$I$89,3,0)*VLOOKUP('Données projet'!$B$9,Paramètres!$A$1:$I$89,5,0)</f>
        <v>129.51900000000001</v>
      </c>
      <c r="P28" s="13">
        <f t="shared" si="33"/>
        <v>33.885190387878694</v>
      </c>
      <c r="Q28" s="20">
        <f t="shared" si="2"/>
        <v>284.59563159222211</v>
      </c>
      <c r="R28" s="59">
        <f t="shared" si="0"/>
        <v>577.92896492555542</v>
      </c>
      <c r="S28" s="59">
        <f ca="1">AVERAGE(OFFSET($R$3,0,0,'Données projet'!$E$9+1,1))-AVERAGE(OFFSET($H$3,0,0,'Données projet'!$E$9+1,1))</f>
        <v>294.94285920643927</v>
      </c>
      <c r="T28" s="59">
        <f t="shared" si="34"/>
        <v>399.89535338426606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5.0214287067237793</v>
      </c>
      <c r="AA28" s="21">
        <f>EXP(-LN(2)/25)*AA27+(1-EXP(-LN(2)/25))/(LN(2)/25)*Calculateur!V28*Calculateur!X28*VLOOKUP('Données projet'!$B$9,Paramètres!$A$1:$I$89,3,0)*0.475*44/12</f>
        <v>31.639526135011657</v>
      </c>
      <c r="AB28" s="21">
        <f>EXP(-LN(2)/2)*AB27+(1-EXP(-LN(2)/2))/(LN(2)/2)*V28*Y28*VLOOKUP('Données projet'!$B$9,Paramètres!$A$1:$I$89,3,0)*0.475*44/12</f>
        <v>3.5152880767443309</v>
      </c>
      <c r="AC28" s="22">
        <f t="shared" si="3"/>
        <v>40.176242918479772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15.073076923076925</v>
      </c>
      <c r="AI28" s="13">
        <f>IF('Données projet'!$A$62&gt;35,AI27+AH28-AQ27,IF(A28&lt;'Données projet'!$A$62,$AF$205^A28,IF(A28='Données projet'!$A$62,'Données projet'!$B$62,AI27+AH28-AQ27)))</f>
        <v>149.85384615384612</v>
      </c>
      <c r="AJ28" s="13">
        <f>AI28*VLOOKUP('Données projet'!$B$10,Paramètres!$A$1:$I$89,3,0)*VLOOKUP('Données projet'!$B$10,Paramètres!$A$1:$I$89,5,0)</f>
        <v>89.6126</v>
      </c>
      <c r="AK28" s="13">
        <f t="shared" si="35"/>
        <v>24.471769998555317</v>
      </c>
      <c r="AL28" s="20">
        <f t="shared" si="4"/>
        <v>198.69694441415049</v>
      </c>
      <c r="AM28" s="59">
        <f t="shared" si="5"/>
        <v>492.03027774748381</v>
      </c>
      <c r="AN28" s="59">
        <f ca="1">AVERAGE(OFFSET($AM$3,0,0,'Données projet'!$E$10+1,1))-AVERAGE(OFFSET($H$3,0,0,'Données projet'!$E$10+1,1))</f>
        <v>200.14675249215634</v>
      </c>
      <c r="AO28" s="59">
        <f t="shared" si="36"/>
        <v>200.55017434999968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16.90425177061805</v>
      </c>
      <c r="AW28" s="21">
        <f>EXP(-LN(2)/2)*AW27+(1-EXP(-LN(2)/2))/(LN(2)/2)*AQ28*AT28*VLOOKUP('Données projet'!$B$10,Paramètres!$A$1:$I$89,3,0)*0.475*44/12</f>
        <v>8.8421426523062436</v>
      </c>
      <c r="AX28" s="21">
        <f t="shared" si="6"/>
        <v>25.746394422924293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10.190109890109889</v>
      </c>
      <c r="BD28" s="12">
        <f>IF('Données projet'!$A$88&gt;35,BD27+BC28-BL27,IF(A28&lt;'Données projet'!$A$88,$BA$205^A28,IF(A28='Données projet'!$A$88,'Données projet'!$B$88,BD27+BC28-BL27)))</f>
        <v>109.0934065934066</v>
      </c>
      <c r="BE28" s="13">
        <f>BD28*VLOOKUP('Données projet'!$B$11,Paramètres!$A$1:$I$89,3,0)*VLOOKUP('Données projet'!$B$11,Paramètres!$A$1:$I$89,5,0)</f>
        <v>62.401428571428582</v>
      </c>
      <c r="BF28" s="13">
        <f t="shared" si="37"/>
        <v>17.774031828136089</v>
      </c>
      <c r="BG28" s="20">
        <f t="shared" si="7"/>
        <v>139.63892686257512</v>
      </c>
      <c r="BH28" s="59">
        <f t="shared" si="8"/>
        <v>432.97226019590846</v>
      </c>
      <c r="BI28" s="59">
        <f ca="1">AVERAGE(OFFSET($BH$3,0,0,'Données projet'!$E$11+1,1))-AVERAGE(OFFSET($H$3,0,0,'Données projet'!$E$11+1,1))</f>
        <v>182.46132340647313</v>
      </c>
      <c r="BJ28" s="59">
        <f t="shared" si="38"/>
        <v>130.51706975490481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10.064088059572041</v>
      </c>
      <c r="BR28" s="21">
        <f>EXP(-LN(2)/2)*BR27+(1-EXP(-LN(2)/2))/(LN(2)/2)*BL28*BO28*VLOOKUP('Données projet'!$B$11,Paramètres!$A$1:$I$89,3,0)*0.475*44/12</f>
        <v>5.7852976859258005</v>
      </c>
      <c r="BS28" s="22">
        <f t="shared" si="9"/>
        <v>15.849385745497841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243</v>
      </c>
      <c r="BW28" s="12">
        <f>VLOOKUP(A28,'Données projet'!$A$113:$I$133,9,0)</f>
        <v>22.8</v>
      </c>
      <c r="BX28" s="12">
        <f t="array" ref="BX28">INDEX(BW:BW,MIN(IF(ISNUMBER(BW28:BW224),ROW(BW28:BW224),"")))</f>
        <v>22.8</v>
      </c>
      <c r="BY28" s="12">
        <f>IF('Données projet'!$A$114&gt;35,BY27+BX28-CG27,IF(A28&lt;'Données projet'!$A$114,$BV$205^A28,IF(A28='Données projet'!$A$114,'Données projet'!$B$114,BY27+BX28-CG27)))</f>
        <v>243.00000000000006</v>
      </c>
      <c r="BZ28" s="13">
        <f>BY28*VLOOKUP('Données projet'!$B$12,Paramètres!$A$1:$I$89,3,0)*VLOOKUP('Données projet'!$B$12,Paramètres!$A$1:$I$89,5,0)</f>
        <v>97.929000000000016</v>
      </c>
      <c r="CA28" s="13">
        <f t="shared" si="39"/>
        <v>26.468011032218534</v>
      </c>
      <c r="CB28" s="20">
        <f t="shared" si="10"/>
        <v>216.65812754778065</v>
      </c>
      <c r="CC28" s="59">
        <f t="shared" si="11"/>
        <v>509.99146088111399</v>
      </c>
      <c r="CD28" s="59">
        <f ca="1">AVERAGE(OFFSET($CC$3,0,0,'Données projet'!$E$12+1,1))-AVERAGE(OFFSET($H$3,0,0,'Données projet'!$E$12+1,1))</f>
        <v>291.0962681460345</v>
      </c>
      <c r="CE28" s="59">
        <f t="shared" si="40"/>
        <v>240.28311826371385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63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2.6190476190476191E-2</v>
      </c>
      <c r="CJ28" s="16">
        <f>IF(ISNA(VLOOKUP(A28,'Données projet'!$A$113:$I$133,7,0)),0%,VLOOKUP(A28,'Données projet'!$A$113:$I$133,7,0))</f>
        <v>0.47619047619047616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0.8786258746390444</v>
      </c>
      <c r="CM28" s="21">
        <f>EXP(-LN(2)/2)*CM27+(1-EXP(-LN(2)/2))/(LN(2)/2)*CG28*CJ28*VLOOKUP('Données projet'!$B$12,Paramètres!$A$1:$I$89,3,0)*0.475*44/12</f>
        <v>13.890341903088805</v>
      </c>
      <c r="CN28" s="22">
        <f t="shared" si="12"/>
        <v>14.76896777772785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276.3</v>
      </c>
      <c r="CR28" s="12">
        <f>VLOOKUP(A28,'Données projet'!$A$139:$I$159,9,0)</f>
        <v>20.18</v>
      </c>
      <c r="CS28" s="12">
        <f t="array" ref="CS28">INDEX(CR:CR,MIN(IF(ISNUMBER(CR28:CR224),ROW(CR28:CR224),"")))</f>
        <v>20.18</v>
      </c>
      <c r="CT28" s="12">
        <f>IF('Données projet'!$A$140&gt;35,CT27+CS28-DB27,IF(A28&lt;'Données projet'!$A$140,$CQ$205^A28,IF(A28='Données projet'!$A$140,'Données projet'!$B$140,CT27+CS28-DB27)))</f>
        <v>276.3</v>
      </c>
      <c r="CU28" s="17">
        <f>CT28*VLOOKUP('Données projet'!$B$13,Paramètres!$A$1:$I$89,3,0)*VLOOKUP('Données projet'!$B$13,Paramètres!$A$1:$I$89,5,0)</f>
        <v>129.30840000000001</v>
      </c>
      <c r="CV28" s="13">
        <f t="shared" si="41"/>
        <v>33.836501299456998</v>
      </c>
      <c r="CW28" s="20">
        <f t="shared" si="13"/>
        <v>284.14403642988754</v>
      </c>
      <c r="CX28" s="59">
        <f t="shared" si="14"/>
        <v>577.47736976322085</v>
      </c>
      <c r="CY28" s="59">
        <f ca="1">AVERAGE(OFFSET($CX$3,0,0,'Données projet'!$E$13+1,1))-AVERAGE(OFFSET($H$3,0,0,'Données projet'!$E$13+1,1))</f>
        <v>225.92546546283018</v>
      </c>
      <c r="CZ28" s="59">
        <f t="shared" si="42"/>
        <v>309.38786160614563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36.5</v>
      </c>
      <c r="DC28" s="16">
        <f>IF(ISNA(VLOOKUP(A28,'Données projet'!$A$139:$I$159,5,0)),0%,VLOOKUP(A28,'Données projet'!$A$139:$I$159,5,0)*VLOOKUP('Données projet'!$B$13,Paramètres!$A$1:$I$89,7,0))</f>
        <v>0.16500000000000001</v>
      </c>
      <c r="DD28" s="16">
        <f>IF(ISNA(VLOOKUP(A28,'Données projet'!$A$139:$I$159,6,0)),0%,VLOOKUP(A28,'Données projet'!$A$139:$I$159,6,0)*VLOOKUP('Données projet'!$B$13,Paramètres!$A$1:$I$89,7,0))</f>
        <v>0.33</v>
      </c>
      <c r="DE28" s="16">
        <f>IF(ISNA(VLOOKUP(A28,'Données projet'!$A$139:$I$159,7,0)),0%,VLOOKUP(A28,'Données projet'!$A$139:$I$159,7,0))</f>
        <v>0.1</v>
      </c>
      <c r="DF28" s="21">
        <f>EXP(-LN(2)/35)*DF27+(1-EXP(-LN(2)/35))/(LN(2)/35)*DB28*DC28*VLOOKUP('Données projet'!$B$13,Paramètres!$A$1:$I$89,3,0)*0.475*44/12</f>
        <v>6.9955359686804268</v>
      </c>
      <c r="DG28" s="21">
        <f>EXP(-LN(2)/25)*DG27+(1-EXP(-LN(2)/25))/(LN(2)/25)*Calculateur!DB28*Calculateur!DD28*VLOOKUP('Données projet'!$B$13,Paramètres!$A$1:$I$89,3,0)*0.475*44/12</f>
        <v>19.41657625948886</v>
      </c>
      <c r="DH28" s="21">
        <f>EXP(-LN(2)/2)*DH27+(1-EXP(-LN(2)/2))/(LN(2)/2)*DB28*DE28*VLOOKUP('Données projet'!$B$13,Paramètres!$A$1:$I$89,3,0)*0.475*44/12</f>
        <v>2.3549328335671809</v>
      </c>
      <c r="DI28" s="22">
        <f t="shared" si="15"/>
        <v>28.767045061736464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76</v>
      </c>
      <c r="DM28" s="12">
        <f>VLOOKUP(A28,'Données projet'!$A$165:$I$185,9,0)</f>
        <v>5.6</v>
      </c>
      <c r="DN28" s="12">
        <f t="array" ref="DN28">INDEX(DM:DM,MIN(IF(ISNUMBER(DM28:DM224),ROW(DM28:DM224),"")))</f>
        <v>5.6</v>
      </c>
      <c r="DO28" s="12">
        <f>IF('Données projet'!$A$166&gt;35,DO27+DN28-DW27,IF(A28&lt;'Données projet'!$A$166,$DL$205^A28,IF(A28='Données projet'!$A$166,'Données projet'!$B$166,DO27+DN28-DW27)))</f>
        <v>75.999999999999986</v>
      </c>
      <c r="DP28" s="17">
        <f>DO28*VLOOKUP('Données projet'!$B$14,Paramètres!$A$1:$I$89,3,0)*VLOOKUP('Données projet'!$B$14,Paramètres!$A$1:$I$89,5,0)</f>
        <v>66.393599999999992</v>
      </c>
      <c r="DQ28" s="13">
        <f t="shared" si="43"/>
        <v>18.775122997078526</v>
      </c>
      <c r="DR28" s="20">
        <f t="shared" si="16"/>
        <v>148.33552588657841</v>
      </c>
      <c r="DS28" s="59">
        <f t="shared" si="17"/>
        <v>441.66885921991172</v>
      </c>
      <c r="DT28" s="59">
        <f ca="1">AVERAGE(OFFSET($DS$3,0,0,'Données projet'!$E$14+1,1))-AVERAGE(OFFSET($H$3,0,0,'Données projet'!$E$14+1,1))</f>
        <v>150.06600397498823</v>
      </c>
      <c r="DU28" s="59">
        <f t="shared" si="44"/>
        <v>170.53034305929714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45.75</v>
      </c>
      <c r="N29" s="13">
        <f>IF('Données projet'!$A$36&gt;35,N28+M29-V28,IF(A29&lt;'Données projet'!$A$36,$K$205^A29,IF(A29='Données projet'!$A$36,'Données projet'!$B$36,N28+M29-V28)))</f>
        <v>322.5</v>
      </c>
      <c r="O29" s="13">
        <f>N29*VLOOKUP('Données projet'!$B$9,Paramètres!$A$1:$I$89,3,0)*VLOOKUP('Données projet'!$B$9,Paramètres!$A$1:$I$89,5,0)</f>
        <v>150.93</v>
      </c>
      <c r="P29" s="13">
        <f t="shared" si="33"/>
        <v>38.789855371379076</v>
      </c>
      <c r="Q29" s="20">
        <f t="shared" si="2"/>
        <v>330.4287481051519</v>
      </c>
      <c r="R29" s="59">
        <f t="shared" si="0"/>
        <v>623.76208143848521</v>
      </c>
      <c r="S29" s="59">
        <f ca="1">AVERAGE(OFFSET($R$3,0,0,'Données projet'!$E$9+1,1))-AVERAGE(OFFSET($H$3,0,0,'Données projet'!$E$9+1,1))</f>
        <v>294.94285920643927</v>
      </c>
      <c r="T29" s="59">
        <f t="shared" si="34"/>
        <v>399.89535338426606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4.922961552554014</v>
      </c>
      <c r="AA29" s="21">
        <f>EXP(-LN(2)/25)*AA28+(1-EXP(-LN(2)/25))/(LN(2)/25)*Calculateur!V29*Calculateur!X29*VLOOKUP('Données projet'!$B$9,Paramètres!$A$1:$I$89,3,0)*0.475*44/12</f>
        <v>30.774341628999398</v>
      </c>
      <c r="AB29" s="21">
        <f>EXP(-LN(2)/2)*AB28+(1-EXP(-LN(2)/2))/(LN(2)/2)*V29*Y29*VLOOKUP('Données projet'!$B$9,Paramètres!$A$1:$I$89,3,0)*0.475*44/12</f>
        <v>2.4856840368901332</v>
      </c>
      <c r="AC29" s="22">
        <f t="shared" si="3"/>
        <v>38.182987218443543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15.073076923076925</v>
      </c>
      <c r="AI29" s="13">
        <f>IF('Données projet'!$A$62&gt;35,AI28+AH29-AQ28,IF(A29&lt;'Données projet'!$A$62,$AF$205^A29,IF(A29='Données projet'!$A$62,'Données projet'!$B$62,AI28+AH29-AQ28)))</f>
        <v>164.92692307692306</v>
      </c>
      <c r="AJ29" s="13">
        <f>AI29*VLOOKUP('Données projet'!$B$10,Paramètres!$A$1:$I$89,3,0)*VLOOKUP('Données projet'!$B$10,Paramètres!$A$1:$I$89,5,0)</f>
        <v>98.626300000000001</v>
      </c>
      <c r="AK29" s="13">
        <f t="shared" si="35"/>
        <v>26.634469472597342</v>
      </c>
      <c r="AL29" s="20">
        <f t="shared" si="4"/>
        <v>218.16250683144037</v>
      </c>
      <c r="AM29" s="59">
        <f t="shared" si="5"/>
        <v>511.49584016477365</v>
      </c>
      <c r="AN29" s="59">
        <f ca="1">AVERAGE(OFFSET($AM$3,0,0,'Données projet'!$E$10+1,1))-AVERAGE(OFFSET($H$3,0,0,'Données projet'!$E$10+1,1))</f>
        <v>200.14675249215634</v>
      </c>
      <c r="AO29" s="59">
        <f t="shared" si="36"/>
        <v>200.55017434999968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16.442004116994532</v>
      </c>
      <c r="AW29" s="21">
        <f>EXP(-LN(2)/2)*AW28+(1-EXP(-LN(2)/2))/(LN(2)/2)*AQ29*AT29*VLOOKUP('Données projet'!$B$10,Paramètres!$A$1:$I$89,3,0)*0.475*44/12</f>
        <v>6.25233902966455</v>
      </c>
      <c r="AX29" s="21">
        <f t="shared" si="6"/>
        <v>22.694343146659083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10.190109890109889</v>
      </c>
      <c r="BD29" s="12">
        <f>IF('Données projet'!$A$88&gt;35,BD28+BC29-BL28,IF(A29&lt;'Données projet'!$A$88,$BA$205^A29,IF(A29='Données projet'!$A$88,'Données projet'!$B$88,BD28+BC29-BL28)))</f>
        <v>119.28351648351649</v>
      </c>
      <c r="BE29" s="13">
        <f>BD29*VLOOKUP('Données projet'!$B$11,Paramètres!$A$1:$I$89,3,0)*VLOOKUP('Données projet'!$B$11,Paramètres!$A$1:$I$89,5,0)</f>
        <v>68.230171428571438</v>
      </c>
      <c r="BF29" s="13">
        <f t="shared" si="37"/>
        <v>19.233293858809674</v>
      </c>
      <c r="BG29" s="20">
        <f t="shared" si="7"/>
        <v>152.33220204218875</v>
      </c>
      <c r="BH29" s="59">
        <f t="shared" si="8"/>
        <v>445.66553537552204</v>
      </c>
      <c r="BI29" s="59">
        <f ca="1">AVERAGE(OFFSET($BH$3,0,0,'Données projet'!$E$11+1,1))-AVERAGE(OFFSET($H$3,0,0,'Données projet'!$E$11+1,1))</f>
        <v>182.46132340647313</v>
      </c>
      <c r="BJ29" s="59">
        <f t="shared" si="38"/>
        <v>130.51706975490481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9.7888850423356555</v>
      </c>
      <c r="BR29" s="21">
        <f>EXP(-LN(2)/2)*BR28+(1-EXP(-LN(2)/2))/(LN(2)/2)*BL29*BO29*VLOOKUP('Données projet'!$B$11,Paramètres!$A$1:$I$89,3,0)*0.475*44/12</f>
        <v>4.0908232249009746</v>
      </c>
      <c r="BS29" s="22">
        <f t="shared" si="9"/>
        <v>13.87970826723663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25.6</v>
      </c>
      <c r="BY29" s="12">
        <f>IF('Données projet'!$A$114&gt;35,BY28+BX29-CG28,IF(A29&lt;'Données projet'!$A$114,$BV$205^A29,IF(A29='Données projet'!$A$114,'Données projet'!$B$114,BY28+BX29-CG28)))</f>
        <v>205.60000000000008</v>
      </c>
      <c r="BZ29" s="13">
        <f>BY29*VLOOKUP('Données projet'!$B$12,Paramètres!$A$1:$I$89,3,0)*VLOOKUP('Données projet'!$B$12,Paramètres!$A$1:$I$89,5,0)</f>
        <v>82.856800000000035</v>
      </c>
      <c r="CA29" s="13">
        <f t="shared" si="39"/>
        <v>22.834253802359868</v>
      </c>
      <c r="CB29" s="20">
        <f t="shared" si="10"/>
        <v>184.07858537244348</v>
      </c>
      <c r="CC29" s="59">
        <f t="shared" si="11"/>
        <v>477.41191870577677</v>
      </c>
      <c r="CD29" s="59">
        <f ca="1">AVERAGE(OFFSET($CC$3,0,0,'Données projet'!$E$12+1,1))-AVERAGE(OFFSET($H$3,0,0,'Données projet'!$E$12+1,1))</f>
        <v>291.0962681460345</v>
      </c>
      <c r="CE29" s="59">
        <f t="shared" si="40"/>
        <v>240.28311826371385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0.8545998038921131</v>
      </c>
      <c r="CM29" s="21">
        <f>EXP(-LN(2)/2)*CM28+(1-EXP(-LN(2)/2))/(LN(2)/2)*CG29*CJ29*VLOOKUP('Données projet'!$B$12,Paramètres!$A$1:$I$89,3,0)*0.475*44/12</f>
        <v>9.8219549526737477</v>
      </c>
      <c r="CN29" s="22">
        <f t="shared" si="12"/>
        <v>10.67655475656586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18.879999999999995</v>
      </c>
      <c r="CT29" s="12">
        <f>IF('Données projet'!$A$140&gt;35,CT28+CS29-DB28,IF(A29&lt;'Données projet'!$A$140,$CQ$205^A29,IF(A29='Données projet'!$A$140,'Données projet'!$B$140,CT28+CS29-DB28)))</f>
        <v>258.68</v>
      </c>
      <c r="CU29" s="17">
        <f>CT29*VLOOKUP('Données projet'!$B$13,Paramètres!$A$1:$I$89,3,0)*VLOOKUP('Données projet'!$B$13,Paramètres!$A$1:$I$89,5,0)</f>
        <v>121.06223999999999</v>
      </c>
      <c r="CV29" s="13">
        <f t="shared" si="41"/>
        <v>31.922622111207954</v>
      </c>
      <c r="CW29" s="20">
        <f t="shared" si="13"/>
        <v>266.44863484368716</v>
      </c>
      <c r="CX29" s="59">
        <f t="shared" si="14"/>
        <v>559.78196817702042</v>
      </c>
      <c r="CY29" s="59">
        <f ca="1">AVERAGE(OFFSET($CX$3,0,0,'Données projet'!$E$13+1,1))-AVERAGE(OFFSET($H$3,0,0,'Données projet'!$E$13+1,1))</f>
        <v>225.92546546283018</v>
      </c>
      <c r="CZ29" s="59">
        <f t="shared" si="42"/>
        <v>309.38786160614563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6.8583577751902274</v>
      </c>
      <c r="DG29" s="21">
        <f>EXP(-LN(2)/25)*DG28+(1-EXP(-LN(2)/25))/(LN(2)/25)*Calculateur!DB29*Calculateur!DD29*VLOOKUP('Données projet'!$B$13,Paramètres!$A$1:$I$89,3,0)*0.475*44/12</f>
        <v>18.885628960599767</v>
      </c>
      <c r="DH29" s="21">
        <f>EXP(-LN(2)/2)*DH28+(1-EXP(-LN(2)/2))/(LN(2)/2)*DB29*DE29*VLOOKUP('Données projet'!$B$13,Paramètres!$A$1:$I$89,3,0)*0.475*44/12</f>
        <v>1.6651889758542051</v>
      </c>
      <c r="DI29" s="22">
        <f t="shared" si="15"/>
        <v>27.409175711644203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5.8</v>
      </c>
      <c r="DO29" s="12">
        <f>IF('Données projet'!$A$166&gt;35,DO28+DN29-DW28,IF(A29&lt;'Données projet'!$A$166,$DL$205^A29,IF(A29='Données projet'!$A$166,'Données projet'!$B$166,DO28+DN29-DW28)))</f>
        <v>81.799999999999983</v>
      </c>
      <c r="DP29" s="17">
        <f>DO29*VLOOKUP('Données projet'!$B$14,Paramètres!$A$1:$I$89,3,0)*VLOOKUP('Données projet'!$B$14,Paramètres!$A$1:$I$89,5,0)</f>
        <v>71.46047999999999</v>
      </c>
      <c r="DQ29" s="13">
        <f t="shared" si="43"/>
        <v>20.035709203981977</v>
      </c>
      <c r="DR29" s="20">
        <f t="shared" si="16"/>
        <v>159.35586286360191</v>
      </c>
      <c r="DS29" s="59">
        <f t="shared" si="17"/>
        <v>452.6891961969352</v>
      </c>
      <c r="DT29" s="59">
        <f ca="1">AVERAGE(OFFSET($DS$3,0,0,'Données projet'!$E$14+1,1))-AVERAGE(OFFSET($H$3,0,0,'Données projet'!$E$14+1,1))</f>
        <v>150.06600397498823</v>
      </c>
      <c r="DU29" s="59">
        <f t="shared" si="44"/>
        <v>170.53034305929714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45.75</v>
      </c>
      <c r="N30" s="13">
        <f>IF('Données projet'!$A$36&gt;35,N29+M30-V29,IF(A30&lt;'Données projet'!$A$36,$K$205^A30,IF(A30='Données projet'!$A$36,'Données projet'!$B$36,N29+M30-V29)))</f>
        <v>368.25</v>
      </c>
      <c r="O30" s="13">
        <f>N30*VLOOKUP('Données projet'!$B$9,Paramètres!$A$1:$I$89,3,0)*VLOOKUP('Données projet'!$B$9,Paramètres!$A$1:$I$89,5,0)</f>
        <v>172.34100000000001</v>
      </c>
      <c r="P30" s="13">
        <f t="shared" si="33"/>
        <v>43.613911643991898</v>
      </c>
      <c r="Q30" s="20">
        <f t="shared" si="2"/>
        <v>376.12147111328591</v>
      </c>
      <c r="R30" s="59">
        <f t="shared" si="0"/>
        <v>669.45480444661916</v>
      </c>
      <c r="S30" s="59">
        <f ca="1">AVERAGE(OFFSET($R$3,0,0,'Données projet'!$E$9+1,1))-AVERAGE(OFFSET($H$3,0,0,'Données projet'!$E$9+1,1))</f>
        <v>294.94285920643927</v>
      </c>
      <c r="T30" s="59">
        <f t="shared" si="34"/>
        <v>399.89535338426606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4.8264252792184843</v>
      </c>
      <c r="AA30" s="21">
        <f>EXP(-LN(2)/25)*AA29+(1-EXP(-LN(2)/25))/(LN(2)/25)*Calculateur!V30*Calculateur!X30*VLOOKUP('Données projet'!$B$9,Paramètres!$A$1:$I$89,3,0)*0.475*44/12</f>
        <v>29.932815638802118</v>
      </c>
      <c r="AB30" s="21">
        <f>EXP(-LN(2)/2)*AB29+(1-EXP(-LN(2)/2))/(LN(2)/2)*V30*Y30*VLOOKUP('Données projet'!$B$9,Paramètres!$A$1:$I$89,3,0)*0.475*44/12</f>
        <v>1.7576440383721657</v>
      </c>
      <c r="AC30" s="22">
        <f t="shared" si="3"/>
        <v>36.516884956392765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15.073076923076925</v>
      </c>
      <c r="AI30" s="13">
        <f>IF('Données projet'!$A$62&gt;35,AI29+AH30-AQ29,IF(A30&lt;'Données projet'!$A$62,$AF$205^A30,IF(A30='Données projet'!$A$62,'Données projet'!$B$62,AI29+AH30-AQ29)))</f>
        <v>180</v>
      </c>
      <c r="AJ30" s="13">
        <f>AI30*VLOOKUP('Données projet'!$B$10,Paramètres!$A$1:$I$89,3,0)*VLOOKUP('Données projet'!$B$10,Paramètres!$A$1:$I$89,5,0)</f>
        <v>107.64</v>
      </c>
      <c r="AK30" s="13">
        <f t="shared" si="35"/>
        <v>28.774250263353583</v>
      </c>
      <c r="AL30" s="20">
        <f t="shared" si="4"/>
        <v>237.58815254200749</v>
      </c>
      <c r="AM30" s="59">
        <f t="shared" si="5"/>
        <v>530.92148587534075</v>
      </c>
      <c r="AN30" s="59">
        <f ca="1">AVERAGE(OFFSET($AM$3,0,0,'Données projet'!$E$10+1,1))-AVERAGE(OFFSET($H$3,0,0,'Données projet'!$E$10+1,1))</f>
        <v>200.14675249215634</v>
      </c>
      <c r="AO30" s="59">
        <f t="shared" si="36"/>
        <v>200.55017434999968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15.992396649767899</v>
      </c>
      <c r="AW30" s="21">
        <f>EXP(-LN(2)/2)*AW29+(1-EXP(-LN(2)/2))/(LN(2)/2)*AQ30*AT30*VLOOKUP('Données projet'!$B$10,Paramètres!$A$1:$I$89,3,0)*0.475*44/12</f>
        <v>4.4210713261531218</v>
      </c>
      <c r="AX30" s="21">
        <f t="shared" si="6"/>
        <v>20.413467975921023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10.190109890109889</v>
      </c>
      <c r="BD30" s="12">
        <f>IF('Données projet'!$A$88&gt;35,BD29+BC30-BL29,IF(A30&lt;'Données projet'!$A$88,$BA$205^A30,IF(A30='Données projet'!$A$88,'Données projet'!$B$88,BD29+BC30-BL29)))</f>
        <v>129.47362637362639</v>
      </c>
      <c r="BE30" s="13">
        <f>BD30*VLOOKUP('Données projet'!$B$11,Paramètres!$A$1:$I$89,3,0)*VLOOKUP('Données projet'!$B$11,Paramètres!$A$1:$I$89,5,0)</f>
        <v>74.058914285714295</v>
      </c>
      <c r="BF30" s="13">
        <f t="shared" si="37"/>
        <v>20.678098670004484</v>
      </c>
      <c r="BG30" s="20">
        <f t="shared" si="7"/>
        <v>165.00029756454353</v>
      </c>
      <c r="BH30" s="59">
        <f t="shared" si="8"/>
        <v>458.33363089787684</v>
      </c>
      <c r="BI30" s="59">
        <f ca="1">AVERAGE(OFFSET($BH$3,0,0,'Données projet'!$E$11+1,1))-AVERAGE(OFFSET($H$3,0,0,'Données projet'!$E$11+1,1))</f>
        <v>182.46132340647313</v>
      </c>
      <c r="BJ30" s="59">
        <f t="shared" si="38"/>
        <v>130.51706975490481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9.5212074660778949</v>
      </c>
      <c r="BR30" s="21">
        <f>EXP(-LN(2)/2)*BR29+(1-EXP(-LN(2)/2))/(LN(2)/2)*BL30*BO30*VLOOKUP('Données projet'!$B$11,Paramètres!$A$1:$I$89,3,0)*0.475*44/12</f>
        <v>2.8926488429629003</v>
      </c>
      <c r="BS30" s="22">
        <f t="shared" si="9"/>
        <v>12.413856309040796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25.6</v>
      </c>
      <c r="BY30" s="12">
        <f>IF('Données projet'!$A$114&gt;35,BY29+BX30-CG29,IF(A30&lt;'Données projet'!$A$114,$BV$205^A30,IF(A30='Données projet'!$A$114,'Données projet'!$B$114,BY29+BX30-CG29)))</f>
        <v>231.20000000000007</v>
      </c>
      <c r="BZ30" s="13">
        <f>BY30*VLOOKUP('Données projet'!$B$12,Paramètres!$A$1:$I$89,3,0)*VLOOKUP('Données projet'!$B$12,Paramètres!$A$1:$I$89,5,0)</f>
        <v>93.173600000000036</v>
      </c>
      <c r="CA30" s="13">
        <f t="shared" si="39"/>
        <v>25.329070337385946</v>
      </c>
      <c r="CB30" s="20">
        <f t="shared" si="10"/>
        <v>206.39215083761391</v>
      </c>
      <c r="CC30" s="59">
        <f t="shared" si="11"/>
        <v>499.7254841709472</v>
      </c>
      <c r="CD30" s="59">
        <f ca="1">AVERAGE(OFFSET($CC$3,0,0,'Données projet'!$E$12+1,1))-AVERAGE(OFFSET($H$3,0,0,'Données projet'!$E$12+1,1))</f>
        <v>291.0962681460345</v>
      </c>
      <c r="CE30" s="59">
        <f t="shared" si="40"/>
        <v>240.28311826371385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0.83123072731323278</v>
      </c>
      <c r="CM30" s="21">
        <f>EXP(-LN(2)/2)*CM29+(1-EXP(-LN(2)/2))/(LN(2)/2)*CG30*CJ30*VLOOKUP('Données projet'!$B$12,Paramètres!$A$1:$I$89,3,0)*0.475*44/12</f>
        <v>6.9451709515444033</v>
      </c>
      <c r="CN30" s="22">
        <f t="shared" si="12"/>
        <v>7.7764016788576358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18.879999999999995</v>
      </c>
      <c r="CT30" s="12">
        <f>IF('Données projet'!$A$140&gt;35,CT29+CS30-DB29,IF(A30&lt;'Données projet'!$A$140,$CQ$205^A30,IF(A30='Données projet'!$A$140,'Données projet'!$B$140,CT29+CS30-DB29)))</f>
        <v>277.56</v>
      </c>
      <c r="CU30" s="17">
        <f>CT30*VLOOKUP('Données projet'!$B$13,Paramètres!$A$1:$I$89,3,0)*VLOOKUP('Données projet'!$B$13,Paramètres!$A$1:$I$89,5,0)</f>
        <v>129.89807999999999</v>
      </c>
      <c r="CV30" s="13">
        <f t="shared" si="41"/>
        <v>33.972807537889899</v>
      </c>
      <c r="CW30" s="20">
        <f t="shared" si="13"/>
        <v>285.40846246182491</v>
      </c>
      <c r="CX30" s="59">
        <f t="shared" si="14"/>
        <v>578.74179579515817</v>
      </c>
      <c r="CY30" s="59">
        <f ca="1">AVERAGE(OFFSET($CX$3,0,0,'Données projet'!$E$13+1,1))-AVERAGE(OFFSET($H$3,0,0,'Données projet'!$E$13+1,1))</f>
        <v>225.92546546283018</v>
      </c>
      <c r="CZ30" s="59">
        <f t="shared" si="42"/>
        <v>309.38786160614563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6.7238695624039346</v>
      </c>
      <c r="DG30" s="21">
        <f>EXP(-LN(2)/25)*DG29+(1-EXP(-LN(2)/25))/(LN(2)/25)*Calculateur!DB30*Calculateur!DD30*VLOOKUP('Données projet'!$B$13,Paramètres!$A$1:$I$89,3,0)*0.475*44/12</f>
        <v>18.369200443520104</v>
      </c>
      <c r="DH30" s="21">
        <f>EXP(-LN(2)/2)*DH29+(1-EXP(-LN(2)/2))/(LN(2)/2)*DB30*DE30*VLOOKUP('Données projet'!$B$13,Paramètres!$A$1:$I$89,3,0)*0.475*44/12</f>
        <v>1.1774664167835907</v>
      </c>
      <c r="DI30" s="22">
        <f t="shared" si="15"/>
        <v>26.270536422707629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5.8</v>
      </c>
      <c r="DO30" s="12">
        <f>IF('Données projet'!$A$166&gt;35,DO29+DN30-DW29,IF(A30&lt;'Données projet'!$A$166,$DL$205^A30,IF(A30='Données projet'!$A$166,'Données projet'!$B$166,DO29+DN30-DW29)))</f>
        <v>87.59999999999998</v>
      </c>
      <c r="DP30" s="17">
        <f>DO30*VLOOKUP('Données projet'!$B$14,Paramètres!$A$1:$I$89,3,0)*VLOOKUP('Données projet'!$B$14,Paramètres!$A$1:$I$89,5,0)</f>
        <v>76.527359999999987</v>
      </c>
      <c r="DQ30" s="13">
        <f t="shared" si="43"/>
        <v>21.28592506115368</v>
      </c>
      <c r="DR30" s="20">
        <f t="shared" si="16"/>
        <v>170.35813814817595</v>
      </c>
      <c r="DS30" s="59">
        <f t="shared" si="17"/>
        <v>463.69147148150927</v>
      </c>
      <c r="DT30" s="59">
        <f ca="1">AVERAGE(OFFSET($DS$3,0,0,'Données projet'!$E$14+1,1))-AVERAGE(OFFSET($H$3,0,0,'Données projet'!$E$14+1,1))</f>
        <v>150.06600397498823</v>
      </c>
      <c r="DU30" s="59">
        <f t="shared" si="44"/>
        <v>170.53034305929714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414</v>
      </c>
      <c r="L31" s="12">
        <f>VLOOKUP(A31,'Données projet'!$A$35:$I$55,9,0)</f>
        <v>45.75</v>
      </c>
      <c r="M31" s="12">
        <f t="array" ref="M31">INDEX(L:L,MIN(IF(ISNUMBER(L31:L227),ROW(L31:L227),"")))</f>
        <v>45.75</v>
      </c>
      <c r="N31" s="13">
        <f>IF('Données projet'!$A$36&gt;35,N30+M31-V30,IF(A31&lt;'Données projet'!$A$36,$K$205^A31,IF(A31='Données projet'!$A$36,'Données projet'!$B$36,N30+M31-V30)))</f>
        <v>414</v>
      </c>
      <c r="O31" s="13">
        <f>N31*VLOOKUP('Données projet'!$B$9,Paramètres!$A$1:$I$89,3,0)*VLOOKUP('Données projet'!$B$9,Paramètres!$A$1:$I$89,5,0)</f>
        <v>193.75200000000001</v>
      </c>
      <c r="P31" s="13">
        <f t="shared" si="33"/>
        <v>48.368520355376113</v>
      </c>
      <c r="Q31" s="20">
        <f t="shared" si="2"/>
        <v>421.69323961894673</v>
      </c>
      <c r="R31" s="59">
        <f t="shared" si="0"/>
        <v>715.02657295228005</v>
      </c>
      <c r="S31" s="59">
        <f ca="1">AVERAGE(OFFSET($R$3,0,0,'Données projet'!$E$9+1,1))-AVERAGE(OFFSET($H$3,0,0,'Données projet'!$E$9+1,1))</f>
        <v>294.94285920643927</v>
      </c>
      <c r="T31" s="59">
        <f t="shared" si="34"/>
        <v>399.89535338426606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80</v>
      </c>
      <c r="W31" s="16">
        <f>IF(ISNA(VLOOKUP(A31,'Données projet'!$A$35:$I$55,5,0)),0%,VLOOKUP(A31,'Données projet'!$A$35:$I$55,5,0)*VLOOKUP('Données projet'!$B$9,Paramètres!$A$1:$I$89,7,0))</f>
        <v>0.16500000000000001</v>
      </c>
      <c r="X31" s="16">
        <f>IF(ISNA(VLOOKUP(A31,'Données projet'!$A$35:$I$55,6,0)),0%,VLOOKUP(A31,'Données projet'!$A$35:$I$55,6,0)*VLOOKUP('Données projet'!$B$9,Paramètres!$A$1:$I$89,7,0))</f>
        <v>0.33</v>
      </c>
      <c r="Y31" s="16">
        <f>IF(ISNA(VLOOKUP(A31,'Données projet'!$A$35:$I$55,7,0)),0%,VLOOKUP(A31,'Données projet'!$A$35:$I$55,7,0))</f>
        <v>0.1</v>
      </c>
      <c r="Z31" s="21">
        <f>EXP(-LN(2)/35)*Z30+(1-EXP(-LN(2)/35))/(LN(2)/35)*V31*W31*VLOOKUP('Données projet'!$B$9,Paramètres!$A$1:$I$89,3,0)*0.475*44/12</f>
        <v>12.926766603245053</v>
      </c>
      <c r="AA31" s="21">
        <f>EXP(-LN(2)/25)*AA30+(1-EXP(-LN(2)/25))/(LN(2)/25)*Calculateur!V31*Calculateur!X31*VLOOKUP('Données projet'!$B$9,Paramètres!$A$1:$I$89,3,0)*0.475*44/12</f>
        <v>45.43973682725715</v>
      </c>
      <c r="AB31" s="21">
        <f>EXP(-LN(2)/2)*AB30+(1-EXP(-LN(2)/2))/(LN(2)/2)*V31*Y31*VLOOKUP('Données projet'!$B$9,Paramètres!$A$1:$I$89,3,0)*0.475*44/12</f>
        <v>5.4819197403841553</v>
      </c>
      <c r="AC31" s="22">
        <f t="shared" si="3"/>
        <v>63.848423170886363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15.073076923076925</v>
      </c>
      <c r="AI31" s="13">
        <f>IF('Données projet'!$A$62&gt;35,AI30+AH31-AQ30,IF(A31&lt;'Données projet'!$A$62,$AF$205^A31,IF(A31='Données projet'!$A$62,'Données projet'!$B$62,AI30+AH31-AQ30)))</f>
        <v>195.07307692307694</v>
      </c>
      <c r="AJ31" s="13">
        <f>AI31*VLOOKUP('Données projet'!$B$10,Paramètres!$A$1:$I$89,3,0)*VLOOKUP('Données projet'!$B$10,Paramètres!$A$1:$I$89,5,0)</f>
        <v>116.65370000000001</v>
      </c>
      <c r="AK31" s="13">
        <f t="shared" si="35"/>
        <v>30.893249762406356</v>
      </c>
      <c r="AL31" s="20">
        <f t="shared" si="4"/>
        <v>256.9776041695244</v>
      </c>
      <c r="AM31" s="59">
        <f t="shared" si="5"/>
        <v>550.31093750285777</v>
      </c>
      <c r="AN31" s="59">
        <f ca="1">AVERAGE(OFFSET($AM$3,0,0,'Données projet'!$E$10+1,1))-AVERAGE(OFFSET($H$3,0,0,'Données projet'!$E$10+1,1))</f>
        <v>200.14675249215634</v>
      </c>
      <c r="AO31" s="59">
        <f t="shared" si="36"/>
        <v>200.55017434999968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15.555083722376407</v>
      </c>
      <c r="AW31" s="21">
        <f>EXP(-LN(2)/2)*AW30+(1-EXP(-LN(2)/2))/(LN(2)/2)*AQ31*AT31*VLOOKUP('Données projet'!$B$10,Paramètres!$A$1:$I$89,3,0)*0.475*44/12</f>
        <v>3.126169514832275</v>
      </c>
      <c r="AX31" s="21">
        <f t="shared" si="6"/>
        <v>18.681253237208683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10.190109890109889</v>
      </c>
      <c r="BD31" s="12">
        <f>IF('Données projet'!$A$88&gt;35,BD30+BC31-BL30,IF(A31&lt;'Données projet'!$A$88,$BA$205^A31,IF(A31='Données projet'!$A$88,'Données projet'!$B$88,BD30+BC31-BL30)))</f>
        <v>139.66373626373627</v>
      </c>
      <c r="BE31" s="13">
        <f>BD31*VLOOKUP('Données projet'!$B$11,Paramètres!$A$1:$I$89,3,0)*VLOOKUP('Données projet'!$B$11,Paramètres!$A$1:$I$89,5,0)</f>
        <v>79.887657142857151</v>
      </c>
      <c r="BF31" s="13">
        <f t="shared" si="37"/>
        <v>22.109713469901262</v>
      </c>
      <c r="BG31" s="20">
        <f t="shared" si="7"/>
        <v>177.64542048388759</v>
      </c>
      <c r="BH31" s="59">
        <f t="shared" si="8"/>
        <v>470.97875381722088</v>
      </c>
      <c r="BI31" s="59">
        <f ca="1">AVERAGE(OFFSET($BH$3,0,0,'Données projet'!$E$11+1,1))-AVERAGE(OFFSET($H$3,0,0,'Données projet'!$E$11+1,1))</f>
        <v>182.46132340647313</v>
      </c>
      <c r="BJ31" s="59">
        <f t="shared" si="38"/>
        <v>130.51706975490481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9.2608495472194559</v>
      </c>
      <c r="BR31" s="21">
        <f>EXP(-LN(2)/2)*BR30+(1-EXP(-LN(2)/2))/(LN(2)/2)*BL31*BO31*VLOOKUP('Données projet'!$B$11,Paramètres!$A$1:$I$89,3,0)*0.475*44/12</f>
        <v>2.0454116124504873</v>
      </c>
      <c r="BS31" s="22">
        <f t="shared" si="9"/>
        <v>11.306261159669944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25.6</v>
      </c>
      <c r="BY31" s="12">
        <f>IF('Données projet'!$A$114&gt;35,BY30+BX31-CG30,IF(A31&lt;'Données projet'!$A$114,$BV$205^A31,IF(A31='Données projet'!$A$114,'Données projet'!$B$114,BY30+BX31-CG30)))</f>
        <v>256.80000000000007</v>
      </c>
      <c r="BZ31" s="13">
        <f>BY31*VLOOKUP('Données projet'!$B$12,Paramètres!$A$1:$I$89,3,0)*VLOOKUP('Données projet'!$B$12,Paramètres!$A$1:$I$89,5,0)</f>
        <v>103.49040000000002</v>
      </c>
      <c r="CA31" s="13">
        <f t="shared" si="39"/>
        <v>27.791869560921153</v>
      </c>
      <c r="CB31" s="20">
        <f t="shared" si="10"/>
        <v>228.64995281860436</v>
      </c>
      <c r="CC31" s="59">
        <f t="shared" si="11"/>
        <v>521.9832861519377</v>
      </c>
      <c r="CD31" s="59">
        <f ca="1">AVERAGE(OFFSET($CC$3,0,0,'Données projet'!$E$12+1,1))-AVERAGE(OFFSET($H$3,0,0,'Données projet'!$E$12+1,1))</f>
        <v>291.0962681460345</v>
      </c>
      <c r="CE31" s="59">
        <f t="shared" si="40"/>
        <v>240.28311826371385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0.80850067936232828</v>
      </c>
      <c r="CM31" s="21">
        <f>EXP(-LN(2)/2)*CM30+(1-EXP(-LN(2)/2))/(LN(2)/2)*CG31*CJ31*VLOOKUP('Données projet'!$B$12,Paramètres!$A$1:$I$89,3,0)*0.475*44/12</f>
        <v>4.9109774763368748</v>
      </c>
      <c r="CN31" s="22">
        <f t="shared" si="12"/>
        <v>5.7194781556992034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18.879999999999995</v>
      </c>
      <c r="CT31" s="12">
        <f>IF('Données projet'!$A$140&gt;35,CT30+CS31-DB30,IF(A31&lt;'Données projet'!$A$140,$CQ$205^A31,IF(A31='Données projet'!$A$140,'Données projet'!$B$140,CT30+CS31-DB30)))</f>
        <v>296.44</v>
      </c>
      <c r="CU31" s="17">
        <f>CT31*VLOOKUP('Données projet'!$B$13,Paramètres!$A$1:$I$89,3,0)*VLOOKUP('Données projet'!$B$13,Paramètres!$A$1:$I$89,5,0)</f>
        <v>138.73391999999998</v>
      </c>
      <c r="CV31" s="13">
        <f t="shared" si="41"/>
        <v>36.00681117302539</v>
      </c>
      <c r="CW31" s="20">
        <f t="shared" si="13"/>
        <v>304.34010679301917</v>
      </c>
      <c r="CX31" s="59">
        <f t="shared" si="14"/>
        <v>597.67344012635249</v>
      </c>
      <c r="CY31" s="59">
        <f ca="1">AVERAGE(OFFSET($CX$3,0,0,'Données projet'!$E$13+1,1))-AVERAGE(OFFSET($H$3,0,0,'Données projet'!$E$13+1,1))</f>
        <v>225.92546546283018</v>
      </c>
      <c r="CZ31" s="59">
        <f t="shared" si="42"/>
        <v>309.38786160614563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6.5920185814406711</v>
      </c>
      <c r="DG31" s="21">
        <f>EXP(-LN(2)/25)*DG30+(1-EXP(-LN(2)/25))/(LN(2)/25)*Calculateur!DB31*Calculateur!DD31*VLOOKUP('Données projet'!$B$13,Paramètres!$A$1:$I$89,3,0)*0.475*44/12</f>
        <v>17.866893691397777</v>
      </c>
      <c r="DH31" s="21">
        <f>EXP(-LN(2)/2)*DH30+(1-EXP(-LN(2)/2))/(LN(2)/2)*DB31*DE31*VLOOKUP('Données projet'!$B$13,Paramètres!$A$1:$I$89,3,0)*0.475*44/12</f>
        <v>0.83259448792710267</v>
      </c>
      <c r="DI31" s="22">
        <f t="shared" si="15"/>
        <v>25.29150676076555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5.8</v>
      </c>
      <c r="DO31" s="12">
        <f>IF('Données projet'!$A$166&gt;35,DO30+DN31-DW30,IF(A31&lt;'Données projet'!$A$166,$DL$205^A31,IF(A31='Données projet'!$A$166,'Données projet'!$B$166,DO30+DN31-DW30)))</f>
        <v>93.399999999999977</v>
      </c>
      <c r="DP31" s="17">
        <f>DO31*VLOOKUP('Données projet'!$B$14,Paramètres!$A$1:$I$89,3,0)*VLOOKUP('Données projet'!$B$14,Paramètres!$A$1:$I$89,5,0)</f>
        <v>81.594239999999999</v>
      </c>
      <c r="DQ31" s="13">
        <f t="shared" si="43"/>
        <v>22.526535320646335</v>
      </c>
      <c r="DR31" s="20">
        <f t="shared" si="16"/>
        <v>181.34368368345903</v>
      </c>
      <c r="DS31" s="59">
        <f t="shared" si="17"/>
        <v>474.67701701679232</v>
      </c>
      <c r="DT31" s="59">
        <f ca="1">AVERAGE(OFFSET($DS$3,0,0,'Données projet'!$E$14+1,1))-AVERAGE(OFFSET($H$3,0,0,'Données projet'!$E$14+1,1))</f>
        <v>150.06600397498823</v>
      </c>
      <c r="DU31" s="59">
        <f t="shared" si="44"/>
        <v>170.53034305929714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45.5</v>
      </c>
      <c r="N32" s="13">
        <f>IF('Données projet'!$A$36&gt;35,N31+M32-V31,IF(A32&lt;'Données projet'!$A$36,$K$205^A32,IF(A32='Données projet'!$A$36,'Données projet'!$B$36,N31+M32-V31)))</f>
        <v>379.5</v>
      </c>
      <c r="O32" s="13">
        <f>N32*VLOOKUP('Données projet'!$B$9,Paramètres!$A$1:$I$89,3,0)*VLOOKUP('Données projet'!$B$9,Paramètres!$A$1:$I$89,5,0)</f>
        <v>177.60600000000002</v>
      </c>
      <c r="P32" s="13">
        <f t="shared" si="33"/>
        <v>44.789150937858665</v>
      </c>
      <c r="Q32" s="20">
        <f t="shared" si="2"/>
        <v>387.33822121677053</v>
      </c>
      <c r="R32" s="59">
        <f t="shared" si="0"/>
        <v>680.67155455010379</v>
      </c>
      <c r="S32" s="59">
        <f ca="1">AVERAGE(OFFSET($R$3,0,0,'Données projet'!$E$9+1,1))-AVERAGE(OFFSET($H$3,0,0,'Données projet'!$E$9+1,1))</f>
        <v>294.94285920643927</v>
      </c>
      <c r="T32" s="59">
        <f t="shared" si="34"/>
        <v>399.89535338426606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12.673280594704512</v>
      </c>
      <c r="AA32" s="21">
        <f>EXP(-LN(2)/25)*AA31+(1-EXP(-LN(2)/25))/(LN(2)/25)*Calculateur!V32*Calculateur!X32*VLOOKUP('Données projet'!$B$9,Paramètres!$A$1:$I$89,3,0)*0.475*44/12</f>
        <v>44.197184834143897</v>
      </c>
      <c r="AB32" s="21">
        <f>EXP(-LN(2)/2)*AB31+(1-EXP(-LN(2)/2))/(LN(2)/2)*V32*Y32*VLOOKUP('Données projet'!$B$9,Paramètres!$A$1:$I$89,3,0)*0.475*44/12</f>
        <v>3.8763026223460346</v>
      </c>
      <c r="AC32" s="22">
        <f t="shared" si="3"/>
        <v>60.746768051194437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210.14615384615385</v>
      </c>
      <c r="AG32" s="12">
        <f>VLOOKUP(A32,'Données projet'!$A$61:$I$81,9,0)</f>
        <v>15.073076923076925</v>
      </c>
      <c r="AH32" s="12">
        <f t="array" ref="AH32">INDEX(AG:AG,MIN(IF(ISNUMBER(AG32:AG228),ROW(AG32:AG228),"")))</f>
        <v>15.073076923076925</v>
      </c>
      <c r="AI32" s="13">
        <f>IF('Données projet'!$A$62&gt;35,AI31+AH32-AQ31,IF(A32&lt;'Données projet'!$A$62,$AF$205^A32,IF(A32='Données projet'!$A$62,'Données projet'!$B$62,AI31+AH32-AQ31)))</f>
        <v>210.14615384615388</v>
      </c>
      <c r="AJ32" s="13">
        <f>AI32*VLOOKUP('Données projet'!$B$10,Paramètres!$A$1:$I$89,3,0)*VLOOKUP('Données projet'!$B$10,Paramètres!$A$1:$I$89,5,0)</f>
        <v>125.66740000000003</v>
      </c>
      <c r="AK32" s="13">
        <f t="shared" si="35"/>
        <v>32.993256286656127</v>
      </c>
      <c r="AL32" s="20">
        <f t="shared" si="4"/>
        <v>276.33397636592611</v>
      </c>
      <c r="AM32" s="59">
        <f t="shared" si="5"/>
        <v>569.66730969925948</v>
      </c>
      <c r="AN32" s="59">
        <f ca="1">AVERAGE(OFFSET($AM$3,0,0,'Données projet'!$E$10+1,1))-AVERAGE(OFFSET($H$3,0,0,'Données projet'!$E$10+1,1))</f>
        <v>200.14675249215634</v>
      </c>
      <c r="AO32" s="59">
        <f t="shared" si="36"/>
        <v>200.55017434999968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47.661538461538463</v>
      </c>
      <c r="AR32" s="16">
        <f>IF(ISNA(VLOOKUP(A32,'Données projet'!$A$61:$I$81,5,0)),0%,VLOOKUP(A32,'Données projet'!$A$61:$I$81,5,0)*VLOOKUP('Données projet'!$B$10,Paramètres!$A$1:$I$89,7,0))</f>
        <v>0.315</v>
      </c>
      <c r="AS32" s="16">
        <f>IF(ISNA(VLOOKUP(A32,'Données projet'!$A$61:$I$81,6,0)),0%,VLOOKUP(A32,'Données projet'!$A$61:$I$81,6,0)*VLOOKUP('Données projet'!$B$10,Paramètres!$A$1:$I$89,7,0))</f>
        <v>7.5600000000000001E-2</v>
      </c>
      <c r="AT32" s="16">
        <f>IF(ISNA(VLOOKUP(A32,'Données projet'!$A$61:$I$81,7,0)),0%,VLOOKUP(A32,'Données projet'!$A$61:$I$81,7,0))</f>
        <v>0.13200000000000001</v>
      </c>
      <c r="AU32" s="21">
        <f>EXP(-LN(2)/35)*AU31+(1-EXP(-LN(2)/35))/(LN(2)/35)*AQ32*AR32*VLOOKUP('Données projet'!$B$10,Paramètres!$A$1:$I$89,3,0)*0.475*44/12</f>
        <v>11.909900987194014</v>
      </c>
      <c r="AV32" s="21">
        <f>EXP(-LN(2)/25)*AV31+(1-EXP(-LN(2)/25))/(LN(2)/25)*Calculateur!AQ32*Calculateur!AS32*VLOOKUP('Données projet'!$B$10,Paramètres!$A$1:$I$89,3,0)*0.475*44/12</f>
        <v>17.976850860536775</v>
      </c>
      <c r="AW32" s="21">
        <f>EXP(-LN(2)/2)*AW31+(1-EXP(-LN(2)/2))/(LN(2)/2)*AQ32*AT32*VLOOKUP('Données projet'!$B$10,Paramètres!$A$1:$I$89,3,0)*0.475*44/12</f>
        <v>6.4702326938323633</v>
      </c>
      <c r="AX32" s="21">
        <f t="shared" si="6"/>
        <v>36.356984541563151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>
        <f>VLOOKUP(A32,'Données projet'!$A$87:$I$107,2,0)</f>
        <v>149.85384615384615</v>
      </c>
      <c r="BB32" s="12">
        <f>VLOOKUP(A32,'Données projet'!$A$87:$I$107,9,0)</f>
        <v>10.190109890109889</v>
      </c>
      <c r="BC32" s="12">
        <f t="array" ref="BC32">INDEX(BB:BB,MIN(IF(ISNUMBER(BB32:BB228),ROW(BB32:BB228),"")))</f>
        <v>10.190109890109889</v>
      </c>
      <c r="BD32" s="12">
        <f>IF('Données projet'!$A$88&gt;35,BD31+BC32-BL31,IF(A32&lt;'Données projet'!$A$88,$BA$205^A32,IF(A32='Données projet'!$A$88,'Données projet'!$B$88,BD31+BC32-BL31)))</f>
        <v>149.85384615384615</v>
      </c>
      <c r="BE32" s="13">
        <f>BD32*VLOOKUP('Données projet'!$B$11,Paramètres!$A$1:$I$89,3,0)*VLOOKUP('Données projet'!$B$11,Paramètres!$A$1:$I$89,5,0)</f>
        <v>85.716400000000007</v>
      </c>
      <c r="BF32" s="13">
        <f t="shared" si="37"/>
        <v>23.529210066507005</v>
      </c>
      <c r="BG32" s="20">
        <f t="shared" si="7"/>
        <v>190.26943753249972</v>
      </c>
      <c r="BH32" s="59">
        <f t="shared" si="8"/>
        <v>483.60277086583301</v>
      </c>
      <c r="BI32" s="59">
        <f ca="1">AVERAGE(OFFSET($BH$3,0,0,'Données projet'!$E$11+1,1))-AVERAGE(OFFSET($H$3,0,0,'Données projet'!$E$11+1,1))</f>
        <v>182.46132340647313</v>
      </c>
      <c r="BJ32" s="59">
        <f t="shared" si="38"/>
        <v>130.51706975490481</v>
      </c>
      <c r="BK32" s="15">
        <f>IF(ISNA(VLOOKUP(A32,'Données projet'!$A$87:$I$107,3,0)),0,VLOOKUP(A32,'Données projet'!$A$87:$I$107,3,0))</f>
        <v>2</v>
      </c>
      <c r="BL32" s="15">
        <f>IF(ISNA(VLOOKUP(A32,'Données projet'!$A$87:$I$107,4,0)),0,VLOOKUP(A32,'Données projet'!$A$87:$I$107,4,0))</f>
        <v>31.753846153846155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0.25200000000000006</v>
      </c>
      <c r="BO32" s="16">
        <f>IF(ISNA(VLOOKUP(A32,'Données projet'!$A$87:$I$107,7,0)),0%,VLOOKUP(A32,'Données projet'!$A$87:$I$107,7,0))</f>
        <v>0.44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15.055557120070141</v>
      </c>
      <c r="BR32" s="21">
        <f>EXP(-LN(2)/2)*BR31+(1-EXP(-LN(2)/2))/(LN(2)/2)*BL32*BO32*VLOOKUP('Données projet'!$B$11,Paramètres!$A$1:$I$89,3,0)*0.475*44/12</f>
        <v>10.494907554711839</v>
      </c>
      <c r="BS32" s="22">
        <f t="shared" si="9"/>
        <v>25.550464674781978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25.6</v>
      </c>
      <c r="BY32" s="12">
        <f>IF('Données projet'!$A$114&gt;35,BY31+BX32-CG31,IF(A32&lt;'Données projet'!$A$114,$BV$205^A32,IF(A32='Données projet'!$A$114,'Données projet'!$B$114,BY31+BX32-CG31)))</f>
        <v>282.40000000000009</v>
      </c>
      <c r="BZ32" s="13">
        <f>BY32*VLOOKUP('Données projet'!$B$12,Paramètres!$A$1:$I$89,3,0)*VLOOKUP('Données projet'!$B$12,Paramètres!$A$1:$I$89,5,0)</f>
        <v>113.80720000000004</v>
      </c>
      <c r="CA32" s="13">
        <f t="shared" si="39"/>
        <v>30.226206554446527</v>
      </c>
      <c r="CB32" s="20">
        <f t="shared" si="10"/>
        <v>250.85818308232777</v>
      </c>
      <c r="CC32" s="59">
        <f t="shared" si="11"/>
        <v>544.19151641566111</v>
      </c>
      <c r="CD32" s="59">
        <f ca="1">AVERAGE(OFFSET($CC$3,0,0,'Données projet'!$E$12+1,1))-AVERAGE(OFFSET($H$3,0,0,'Données projet'!$E$12+1,1))</f>
        <v>291.0962681460345</v>
      </c>
      <c r="CE32" s="59">
        <f t="shared" si="40"/>
        <v>240.28311826371385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0.78639218576796255</v>
      </c>
      <c r="CM32" s="21">
        <f>EXP(-LN(2)/2)*CM31+(1-EXP(-LN(2)/2))/(LN(2)/2)*CG32*CJ32*VLOOKUP('Données projet'!$B$12,Paramètres!$A$1:$I$89,3,0)*0.475*44/12</f>
        <v>3.4725854757722021</v>
      </c>
      <c r="CN32" s="22">
        <f t="shared" si="12"/>
        <v>4.2589776615401647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18.879999999999995</v>
      </c>
      <c r="CT32" s="12">
        <f>IF('Données projet'!$A$140&gt;35,CT31+CS32-DB31,IF(A32&lt;'Données projet'!$A$140,$CQ$205^A32,IF(A32='Données projet'!$A$140,'Données projet'!$B$140,CT31+CS32-DB31)))</f>
        <v>315.32</v>
      </c>
      <c r="CU32" s="17">
        <f>CT32*VLOOKUP('Données projet'!$B$13,Paramètres!$A$1:$I$89,3,0)*VLOOKUP('Données projet'!$B$13,Paramètres!$A$1:$I$89,5,0)</f>
        <v>147.56976</v>
      </c>
      <c r="CV32" s="13">
        <f t="shared" si="41"/>
        <v>38.02578092949171</v>
      </c>
      <c r="CW32" s="20">
        <f t="shared" si="13"/>
        <v>323.2455671188647</v>
      </c>
      <c r="CX32" s="59">
        <f t="shared" si="14"/>
        <v>616.57890045219801</v>
      </c>
      <c r="CY32" s="59">
        <f ca="1">AVERAGE(OFFSET($CX$3,0,0,'Données projet'!$E$13+1,1))-AVERAGE(OFFSET($H$3,0,0,'Données projet'!$E$13+1,1))</f>
        <v>225.92546546283018</v>
      </c>
      <c r="CZ32" s="59">
        <f t="shared" si="42"/>
        <v>309.38786160614563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6.46275311779294</v>
      </c>
      <c r="DG32" s="21">
        <f>EXP(-LN(2)/25)*DG31+(1-EXP(-LN(2)/25))/(LN(2)/25)*Calculateur!DB32*Calculateur!DD32*VLOOKUP('Données projet'!$B$13,Paramètres!$A$1:$I$89,3,0)*0.475*44/12</f>
        <v>17.378322543827402</v>
      </c>
      <c r="DH32" s="21">
        <f>EXP(-LN(2)/2)*DH31+(1-EXP(-LN(2)/2))/(LN(2)/2)*DB32*DE32*VLOOKUP('Données projet'!$B$13,Paramètres!$A$1:$I$89,3,0)*0.475*44/12</f>
        <v>0.58873320839179544</v>
      </c>
      <c r="DI32" s="22">
        <f t="shared" si="15"/>
        <v>24.429808870012135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5.8</v>
      </c>
      <c r="DO32" s="12">
        <f>IF('Données projet'!$A$166&gt;35,DO31+DN32-DW31,IF(A32&lt;'Données projet'!$A$166,$DL$205^A32,IF(A32='Données projet'!$A$166,'Données projet'!$B$166,DO31+DN32-DW31)))</f>
        <v>99.199999999999974</v>
      </c>
      <c r="DP32" s="17">
        <f>DO32*VLOOKUP('Données projet'!$B$14,Paramètres!$A$1:$I$89,3,0)*VLOOKUP('Données projet'!$B$14,Paramètres!$A$1:$I$89,5,0)</f>
        <v>86.661119999999997</v>
      </c>
      <c r="DQ32" s="13">
        <f t="shared" si="43"/>
        <v>23.75820438670381</v>
      </c>
      <c r="DR32" s="20">
        <f t="shared" si="16"/>
        <v>192.31365664017576</v>
      </c>
      <c r="DS32" s="59">
        <f t="shared" si="17"/>
        <v>485.64698997350911</v>
      </c>
      <c r="DT32" s="59">
        <f ca="1">AVERAGE(OFFSET($DS$3,0,0,'Données projet'!$E$14+1,1))-AVERAGE(OFFSET($H$3,0,0,'Données projet'!$E$14+1,1))</f>
        <v>150.06600397498823</v>
      </c>
      <c r="DU32" s="59">
        <f t="shared" si="44"/>
        <v>170.53034305929714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45.5</v>
      </c>
      <c r="N33" s="13">
        <f>IF('Données projet'!$A$36&gt;35,N32+M33-V32,IF(A33&lt;'Données projet'!$A$36,$K$205^A33,IF(A33='Données projet'!$A$36,'Données projet'!$B$36,N32+M33-V32)))</f>
        <v>425</v>
      </c>
      <c r="O33" s="13">
        <f>N33*VLOOKUP('Données projet'!$B$9,Paramètres!$A$1:$I$89,3,0)*VLOOKUP('Données projet'!$B$9,Paramètres!$A$1:$I$89,5,0)</f>
        <v>198.9</v>
      </c>
      <c r="P33" s="13">
        <f t="shared" si="33"/>
        <v>49.502343477105569</v>
      </c>
      <c r="Q33" s="20">
        <f t="shared" si="2"/>
        <v>432.63408155595886</v>
      </c>
      <c r="R33" s="59">
        <f t="shared" si="0"/>
        <v>725.96741488929217</v>
      </c>
      <c r="S33" s="59">
        <f ca="1">AVERAGE(OFFSET($R$3,0,0,'Données projet'!$E$9+1,1))-AVERAGE(OFFSET($H$3,0,0,'Données projet'!$E$9+1,1))</f>
        <v>294.94285920643927</v>
      </c>
      <c r="T33" s="59">
        <f t="shared" si="34"/>
        <v>399.89535338426606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12.42476529218025</v>
      </c>
      <c r="AA33" s="21">
        <f>EXP(-LN(2)/25)*AA32+(1-EXP(-LN(2)/25))/(LN(2)/25)*Calculateur!V33*Calculateur!X33*VLOOKUP('Données projet'!$B$9,Paramètres!$A$1:$I$89,3,0)*0.475*44/12</f>
        <v>42.988610490625298</v>
      </c>
      <c r="AB33" s="21">
        <f>EXP(-LN(2)/2)*AB32+(1-EXP(-LN(2)/2))/(LN(2)/2)*V33*Y33*VLOOKUP('Données projet'!$B$9,Paramètres!$A$1:$I$89,3,0)*0.475*44/12</f>
        <v>2.7409598701920781</v>
      </c>
      <c r="AC33" s="22">
        <f t="shared" si="3"/>
        <v>58.154335652997624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176.66153846153844</v>
      </c>
      <c r="AG33" s="12">
        <f>VLOOKUP(A33,'Données projet'!$A$61:$I$81,9,0)</f>
        <v>14.17692307692306</v>
      </c>
      <c r="AH33" s="12">
        <f t="array" ref="AH33">INDEX(AG:AG,MIN(IF(ISNUMBER(AG33:AG229),ROW(AG33:AG229),"")))</f>
        <v>14.17692307692306</v>
      </c>
      <c r="AI33" s="13">
        <f>IF('Données projet'!$A$62&gt;35,AI32+AH33-AQ32,IF(A33&lt;'Données projet'!$A$62,$AF$205^A33,IF(A33='Données projet'!$A$62,'Données projet'!$B$62,AI32+AH33-AQ32)))</f>
        <v>176.66153846153847</v>
      </c>
      <c r="AJ33" s="13">
        <f>AI33*VLOOKUP('Données projet'!$B$10,Paramètres!$A$1:$I$89,3,0)*VLOOKUP('Données projet'!$B$10,Paramètres!$A$1:$I$89,5,0)</f>
        <v>105.64360000000001</v>
      </c>
      <c r="AK33" s="13">
        <f t="shared" si="35"/>
        <v>28.302181352167882</v>
      </c>
      <c r="AL33" s="20">
        <f t="shared" si="4"/>
        <v>233.28890252169242</v>
      </c>
      <c r="AM33" s="59">
        <f t="shared" si="5"/>
        <v>526.62223585502579</v>
      </c>
      <c r="AN33" s="59">
        <f ca="1">AVERAGE(OFFSET($AM$3,0,0,'Données projet'!$E$10+1,1))-AVERAGE(OFFSET($H$3,0,0,'Données projet'!$E$10+1,1))</f>
        <v>200.14675249215634</v>
      </c>
      <c r="AO33" s="59">
        <f t="shared" si="36"/>
        <v>200.55017434999968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11.676355093157449</v>
      </c>
      <c r="AV33" s="21">
        <f>EXP(-LN(2)/25)*AV32+(1-EXP(-LN(2)/25))/(LN(2)/25)*Calculateur!AQ33*Calculateur!AS33*VLOOKUP('Données projet'!$B$10,Paramètres!$A$1:$I$89,3,0)*0.475*44/12</f>
        <v>17.485272928393897</v>
      </c>
      <c r="AW33" s="21">
        <f>EXP(-LN(2)/2)*AW32+(1-EXP(-LN(2)/2))/(LN(2)/2)*AQ33*AT33*VLOOKUP('Données projet'!$B$10,Paramètres!$A$1:$I$89,3,0)*0.475*44/12</f>
        <v>4.5751454136637673</v>
      </c>
      <c r="AX33" s="21">
        <f t="shared" si="6"/>
        <v>33.736773435215113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9.9692307692307711</v>
      </c>
      <c r="BD33" s="12">
        <f>IF('Données projet'!$A$88&gt;35,BD32+BC33-BL32,IF(A33&lt;'Données projet'!$A$88,$BA$205^A33,IF(A33='Données projet'!$A$88,'Données projet'!$B$88,BD32+BC33-BL32)))</f>
        <v>128.06923076923076</v>
      </c>
      <c r="BE33" s="13">
        <f>BD33*VLOOKUP('Données projet'!$B$11,Paramètres!$A$1:$I$89,3,0)*VLOOKUP('Données projet'!$B$11,Paramètres!$A$1:$I$89,5,0)</f>
        <v>73.255599999999987</v>
      </c>
      <c r="BF33" s="13">
        <f t="shared" si="37"/>
        <v>20.47978636933837</v>
      </c>
      <c r="BG33" s="20">
        <f t="shared" si="7"/>
        <v>163.25579792659764</v>
      </c>
      <c r="BH33" s="59">
        <f t="shared" si="8"/>
        <v>456.58913125993092</v>
      </c>
      <c r="BI33" s="59">
        <f ca="1">AVERAGE(OFFSET($BH$3,0,0,'Données projet'!$E$11+1,1))-AVERAGE(OFFSET($H$3,0,0,'Données projet'!$E$11+1,1))</f>
        <v>182.46132340647313</v>
      </c>
      <c r="BJ33" s="59">
        <f t="shared" si="38"/>
        <v>130.51706975490481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14.643862118884483</v>
      </c>
      <c r="BR33" s="21">
        <f>EXP(-LN(2)/2)*BR32+(1-EXP(-LN(2)/2))/(LN(2)/2)*BL33*BO33*VLOOKUP('Données projet'!$B$11,Paramètres!$A$1:$I$89,3,0)*0.475*44/12</f>
        <v>7.4210202998626693</v>
      </c>
      <c r="BS33" s="22">
        <f t="shared" si="9"/>
        <v>22.064882418747153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308</v>
      </c>
      <c r="BW33" s="12">
        <f>VLOOKUP(A33,'Données projet'!$A$113:$I$133,9,0)</f>
        <v>25.6</v>
      </c>
      <c r="BX33" s="12">
        <f t="array" ref="BX33">INDEX(BW:BW,MIN(IF(ISNUMBER(BW33:BW229),ROW(BW33:BW229),"")))</f>
        <v>25.6</v>
      </c>
      <c r="BY33" s="12">
        <f>IF('Données projet'!$A$114&gt;35,BY32+BX33-CG32,IF(A33&lt;'Données projet'!$A$114,$BV$205^A33,IF(A33='Données projet'!$A$114,'Données projet'!$B$114,BY32+BX33-CG32)))</f>
        <v>308.00000000000011</v>
      </c>
      <c r="BZ33" s="13">
        <f>BY33*VLOOKUP('Données projet'!$B$12,Paramètres!$A$1:$I$89,3,0)*VLOOKUP('Données projet'!$B$12,Paramètres!$A$1:$I$89,5,0)</f>
        <v>124.12400000000005</v>
      </c>
      <c r="CA33" s="13">
        <f t="shared" si="39"/>
        <v>32.634954891142527</v>
      </c>
      <c r="CB33" s="20">
        <f t="shared" si="10"/>
        <v>273.02184643540664</v>
      </c>
      <c r="CC33" s="59">
        <f t="shared" si="11"/>
        <v>566.35517976873996</v>
      </c>
      <c r="CD33" s="59">
        <f ca="1">AVERAGE(OFFSET($CC$3,0,0,'Données projet'!$E$12+1,1))-AVERAGE(OFFSET($H$3,0,0,'Données projet'!$E$12+1,1))</f>
        <v>291.0962681460345</v>
      </c>
      <c r="CE33" s="59">
        <f t="shared" si="40"/>
        <v>240.28311826371385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63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5.2380952380952382E-2</v>
      </c>
      <c r="CJ33" s="16">
        <f>IF(ISNA(VLOOKUP(A33,'Données projet'!$A$113:$I$133,7,0)),0%,VLOOKUP(A33,'Données projet'!$A$113:$I$133,7,0))</f>
        <v>0.45238095238095238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2.5221399993716584</v>
      </c>
      <c r="CM33" s="21">
        <f>EXP(-LN(2)/2)*CM32+(1-EXP(-LN(2)/2))/(LN(2)/2)*CG33*CJ33*VLOOKUP('Données projet'!$B$12,Paramètres!$A$1:$I$89,3,0)*0.475*44/12</f>
        <v>15.459742791408662</v>
      </c>
      <c r="CN33" s="22">
        <f t="shared" si="12"/>
        <v>17.981882790780318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334.2</v>
      </c>
      <c r="CR33" s="12">
        <f>VLOOKUP(A33,'Données projet'!$A$139:$I$159,9,0)</f>
        <v>18.879999999999995</v>
      </c>
      <c r="CS33" s="12">
        <f t="array" ref="CS33">INDEX(CR:CR,MIN(IF(ISNUMBER(CR33:CR229),ROW(CR33:CR229),"")))</f>
        <v>18.879999999999995</v>
      </c>
      <c r="CT33" s="12">
        <f>IF('Données projet'!$A$140&gt;35,CT32+CS33-DB32,IF(A33&lt;'Données projet'!$A$140,$CQ$205^A33,IF(A33='Données projet'!$A$140,'Données projet'!$B$140,CT32+CS33-DB32)))</f>
        <v>334.2</v>
      </c>
      <c r="CU33" s="17">
        <f>CT33*VLOOKUP('Données projet'!$B$13,Paramètres!$A$1:$I$89,3,0)*VLOOKUP('Données projet'!$B$13,Paramètres!$A$1:$I$89,5,0)</f>
        <v>156.40559999999999</v>
      </c>
      <c r="CV33" s="13">
        <f t="shared" si="41"/>
        <v>40.030719489668023</v>
      </c>
      <c r="CW33" s="20">
        <f t="shared" si="13"/>
        <v>342.12658977783849</v>
      </c>
      <c r="CX33" s="59">
        <f t="shared" si="14"/>
        <v>635.45992311117175</v>
      </c>
      <c r="CY33" s="59">
        <f ca="1">AVERAGE(OFFSET($CX$3,0,0,'Données projet'!$E$13+1,1))-AVERAGE(OFFSET($H$3,0,0,'Données projet'!$E$13+1,1))</f>
        <v>225.92546546283018</v>
      </c>
      <c r="CZ33" s="59">
        <f t="shared" si="42"/>
        <v>309.38786160614563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37.6</v>
      </c>
      <c r="DC33" s="16">
        <f>IF(ISNA(VLOOKUP(A33,'Données projet'!$A$139:$I$159,5,0)),0%,VLOOKUP(A33,'Données projet'!$A$139:$I$159,5,0)*VLOOKUP('Données projet'!$B$13,Paramètres!$A$1:$I$89,7,0))</f>
        <v>0.16500000000000001</v>
      </c>
      <c r="DD33" s="16">
        <f>IF(ISNA(VLOOKUP(A33,'Données projet'!$A$139:$I$159,6,0)),0%,VLOOKUP(A33,'Données projet'!$A$139:$I$159,6,0)*VLOOKUP('Données projet'!$B$13,Paramètres!$A$1:$I$89,7,0))</f>
        <v>0.33</v>
      </c>
      <c r="DE33" s="16">
        <f>IF(ISNA(VLOOKUP(A33,'Données projet'!$A$139:$I$159,7,0)),0%,VLOOKUP(A33,'Données projet'!$A$139:$I$159,7,0))</f>
        <v>0.1</v>
      </c>
      <c r="DF33" s="21">
        <f>EXP(-LN(2)/35)*DF32+(1-EXP(-LN(2)/35))/(LN(2)/35)*DB33*DC33*VLOOKUP('Données projet'!$B$13,Paramètres!$A$1:$I$89,3,0)*0.475*44/12</f>
        <v>10.187665223607144</v>
      </c>
      <c r="DG33" s="21">
        <f>EXP(-LN(2)/25)*DG32+(1-EXP(-LN(2)/25))/(LN(2)/25)*Calculateur!DB33*Calculateur!DD33*VLOOKUP('Données projet'!$B$13,Paramètres!$A$1:$I$89,3,0)*0.475*44/12</f>
        <v>24.5760661348925</v>
      </c>
      <c r="DH33" s="21">
        <f>EXP(-LN(2)/2)*DH32+(1-EXP(-LN(2)/2))/(LN(2)/2)*DB33*DE33*VLOOKUP('Données projet'!$B$13,Paramètres!$A$1:$I$89,3,0)*0.475*44/12</f>
        <v>2.408663773274923</v>
      </c>
      <c r="DI33" s="22">
        <f t="shared" si="15"/>
        <v>37.172395131774564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105</v>
      </c>
      <c r="DM33" s="12">
        <f>VLOOKUP(A33,'Données projet'!$A$165:$I$185,9,0)</f>
        <v>5.8</v>
      </c>
      <c r="DN33" s="12">
        <f t="array" ref="DN33">INDEX(DM:DM,MIN(IF(ISNUMBER(DM33:DM229),ROW(DM33:DM229),"")))</f>
        <v>5.8</v>
      </c>
      <c r="DO33" s="12">
        <f>IF('Données projet'!$A$166&gt;35,DO32+DN33-DW32,IF(A33&lt;'Données projet'!$A$166,$DL$205^A33,IF(A33='Données projet'!$A$166,'Données projet'!$B$166,DO32+DN33-DW32)))</f>
        <v>104.99999999999997</v>
      </c>
      <c r="DP33" s="17">
        <f>DO33*VLOOKUP('Données projet'!$B$14,Paramètres!$A$1:$I$89,3,0)*VLOOKUP('Données projet'!$B$14,Paramètres!$A$1:$I$89,5,0)</f>
        <v>91.727999999999994</v>
      </c>
      <c r="DQ33" s="13">
        <f t="shared" si="43"/>
        <v>24.981514582386563</v>
      </c>
      <c r="DR33" s="20">
        <f t="shared" si="16"/>
        <v>203.26907123098991</v>
      </c>
      <c r="DS33" s="59">
        <f t="shared" si="17"/>
        <v>496.60240456432325</v>
      </c>
      <c r="DT33" s="59">
        <f ca="1">AVERAGE(OFFSET($DS$3,0,0,'Données projet'!$E$14+1,1))-AVERAGE(OFFSET($H$3,0,0,'Données projet'!$E$14+1,1))</f>
        <v>150.06600397498823</v>
      </c>
      <c r="DU33" s="59">
        <f t="shared" si="44"/>
        <v>170.53034305929714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39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45.5</v>
      </c>
      <c r="N34" s="13">
        <f>IF('Données projet'!$A$36&gt;35,N33+M34-V33,IF(A34&lt;'Données projet'!$A$36,$K$205^A34,IF(A34='Données projet'!$A$36,'Données projet'!$B$36,N33+M34-V33)))</f>
        <v>470.5</v>
      </c>
      <c r="O34" s="13">
        <f>N34*VLOOKUP('Données projet'!$B$9,Paramètres!$A$1:$I$89,3,0)*VLOOKUP('Données projet'!$B$9,Paramètres!$A$1:$I$89,5,0)</f>
        <v>220.19399999999999</v>
      </c>
      <c r="P34" s="13">
        <f t="shared" si="33"/>
        <v>54.157048498807988</v>
      </c>
      <c r="Q34" s="20">
        <f t="shared" si="2"/>
        <v>477.82807613542383</v>
      </c>
      <c r="R34" s="59">
        <f t="shared" si="0"/>
        <v>771.16140946875714</v>
      </c>
      <c r="S34" s="59">
        <f ca="1">AVERAGE(OFFSET($R$3,0,0,'Données projet'!$E$9+1,1))-AVERAGE(OFFSET($H$3,0,0,'Données projet'!$E$9+1,1))</f>
        <v>294.94285920643927</v>
      </c>
      <c r="T34" s="59">
        <f t="shared" si="34"/>
        <v>399.89535338426606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12.181123223159123</v>
      </c>
      <c r="AA34" s="21">
        <f>EXP(-LN(2)/25)*AA33+(1-EXP(-LN(2)/25))/(LN(2)/25)*Calculateur!V34*Calculateur!X34*VLOOKUP('Données projet'!$B$9,Paramètres!$A$1:$I$89,3,0)*0.475*44/12</f>
        <v>41.813084676086376</v>
      </c>
      <c r="AB34" s="21">
        <f>EXP(-LN(2)/2)*AB33+(1-EXP(-LN(2)/2))/(LN(2)/2)*V34*Y34*VLOOKUP('Données projet'!$B$9,Paramètres!$A$1:$I$89,3,0)*0.475*44/12</f>
        <v>1.9381513111730175</v>
      </c>
      <c r="AC34" s="22">
        <f t="shared" si="3"/>
        <v>55.932359210418511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14.319230769230776</v>
      </c>
      <c r="AI34" s="13">
        <f>IF('Données projet'!$A$62&gt;35,AI33+AH34-AQ33,IF(A34&lt;'Données projet'!$A$62,$AF$205^A34,IF(A34='Données projet'!$A$62,'Données projet'!$B$62,AI33+AH34-AQ33)))</f>
        <v>190.98076923076925</v>
      </c>
      <c r="AJ34" s="13">
        <f>AI34*VLOOKUP('Données projet'!$B$10,Paramètres!$A$1:$I$89,3,0)*VLOOKUP('Données projet'!$B$10,Paramètres!$A$1:$I$89,5,0)</f>
        <v>114.20650000000002</v>
      </c>
      <c r="AK34" s="13">
        <f t="shared" si="35"/>
        <v>30.319893773740137</v>
      </c>
      <c r="AL34" s="20">
        <f t="shared" si="4"/>
        <v>251.71680248926407</v>
      </c>
      <c r="AM34" s="59">
        <f t="shared" si="5"/>
        <v>545.05013582259744</v>
      </c>
      <c r="AN34" s="59">
        <f ca="1">AVERAGE(OFFSET($AM$3,0,0,'Données projet'!$E$10+1,1))-AVERAGE(OFFSET($H$3,0,0,'Données projet'!$E$10+1,1))</f>
        <v>200.14675249215634</v>
      </c>
      <c r="AO34" s="59">
        <f t="shared" si="36"/>
        <v>200.55017434999968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11.447388891654011</v>
      </c>
      <c r="AV34" s="21">
        <f>EXP(-LN(2)/25)*AV33+(1-EXP(-LN(2)/25))/(LN(2)/25)*Calculateur!AQ34*Calculateur!AS34*VLOOKUP('Données projet'!$B$10,Paramètres!$A$1:$I$89,3,0)*0.475*44/12</f>
        <v>17.007137220656425</v>
      </c>
      <c r="AW34" s="21">
        <f>EXP(-LN(2)/2)*AW33+(1-EXP(-LN(2)/2))/(LN(2)/2)*AQ34*AT34*VLOOKUP('Données projet'!$B$10,Paramètres!$A$1:$I$89,3,0)*0.475*44/12</f>
        <v>3.2351163469161821</v>
      </c>
      <c r="AX34" s="21">
        <f t="shared" si="6"/>
        <v>31.689642459226619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9.9692307692307711</v>
      </c>
      <c r="BD34" s="12">
        <f>IF('Données projet'!$A$88&gt;35,BD33+BC34-BL33,IF(A34&lt;'Données projet'!$A$88,$BA$205^A34,IF(A34='Données projet'!$A$88,'Données projet'!$B$88,BD33+BC34-BL33)))</f>
        <v>138.03846153846152</v>
      </c>
      <c r="BE34" s="13">
        <f>BD34*VLOOKUP('Données projet'!$B$11,Paramètres!$A$1:$I$89,3,0)*VLOOKUP('Données projet'!$B$11,Paramètres!$A$1:$I$89,5,0)</f>
        <v>78.957999999999998</v>
      </c>
      <c r="BF34" s="13">
        <f t="shared" si="37"/>
        <v>21.882215635967121</v>
      </c>
      <c r="BG34" s="20">
        <f t="shared" si="7"/>
        <v>175.63004223264272</v>
      </c>
      <c r="BH34" s="59">
        <f t="shared" si="8"/>
        <v>468.96337556597604</v>
      </c>
      <c r="BI34" s="59">
        <f ca="1">AVERAGE(OFFSET($BH$3,0,0,'Données projet'!$E$11+1,1))-AVERAGE(OFFSET($H$3,0,0,'Données projet'!$E$11+1,1))</f>
        <v>182.46132340647313</v>
      </c>
      <c r="BJ34" s="59">
        <f t="shared" si="38"/>
        <v>130.51706975490481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14.243424939156347</v>
      </c>
      <c r="BR34" s="21">
        <f>EXP(-LN(2)/2)*BR33+(1-EXP(-LN(2)/2))/(LN(2)/2)*BL34*BO34*VLOOKUP('Données projet'!$B$11,Paramètres!$A$1:$I$89,3,0)*0.475*44/12</f>
        <v>5.2474537773559202</v>
      </c>
      <c r="BS34" s="22">
        <f t="shared" si="9"/>
        <v>19.490878716512267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26.2</v>
      </c>
      <c r="BY34" s="12">
        <f>IF('Données projet'!$A$114&gt;35,BY33+BX34-CG33,IF(A34&lt;'Données projet'!$A$114,$BV$205^A34,IF(A34='Données projet'!$A$114,'Données projet'!$B$114,BY33+BX34-CG33)))</f>
        <v>271.2000000000001</v>
      </c>
      <c r="BZ34" s="13">
        <f>BY34*VLOOKUP('Données projet'!$B$12,Paramètres!$A$1:$I$89,3,0)*VLOOKUP('Données projet'!$B$12,Paramètres!$A$1:$I$89,5,0)</f>
        <v>109.29360000000004</v>
      </c>
      <c r="CA34" s="13">
        <f t="shared" si="39"/>
        <v>29.16448886924675</v>
      </c>
      <c r="CB34" s="20">
        <f t="shared" si="10"/>
        <v>241.14783811393809</v>
      </c>
      <c r="CC34" s="59">
        <f t="shared" si="11"/>
        <v>534.48117144727144</v>
      </c>
      <c r="CD34" s="59">
        <f ca="1">AVERAGE(OFFSET($CC$3,0,0,'Données projet'!$E$12+1,1))-AVERAGE(OFFSET($H$3,0,0,'Données projet'!$E$12+1,1))</f>
        <v>291.0962681460345</v>
      </c>
      <c r="CE34" s="59">
        <f t="shared" si="40"/>
        <v>240.28311826371385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2.4531719484552621</v>
      </c>
      <c r="CM34" s="21">
        <f>EXP(-LN(2)/2)*CM33+(1-EXP(-LN(2)/2))/(LN(2)/2)*CG34*CJ34*VLOOKUP('Données projet'!$B$12,Paramètres!$A$1:$I$89,3,0)*0.475*44/12</f>
        <v>10.931688963204911</v>
      </c>
      <c r="CN34" s="22">
        <f t="shared" si="12"/>
        <v>13.384860911660173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18.000000000000011</v>
      </c>
      <c r="CT34" s="12">
        <f>IF('Données projet'!$A$140&gt;35,CT33+CS34-DB33,IF(A34&lt;'Données projet'!$A$140,$CQ$205^A34,IF(A34='Données projet'!$A$140,'Données projet'!$B$140,CT33+CS34-DB33)))</f>
        <v>314.59999999999997</v>
      </c>
      <c r="CU34" s="17">
        <f>CT34*VLOOKUP('Données projet'!$B$13,Paramètres!$A$1:$I$89,3,0)*VLOOKUP('Données projet'!$B$13,Paramètres!$A$1:$I$89,5,0)</f>
        <v>147.2328</v>
      </c>
      <c r="CV34" s="13">
        <f t="shared" si="41"/>
        <v>37.949049623906205</v>
      </c>
      <c r="CW34" s="20">
        <f t="shared" si="13"/>
        <v>322.52505476163662</v>
      </c>
      <c r="CX34" s="59">
        <f t="shared" si="14"/>
        <v>615.85838809497</v>
      </c>
      <c r="CY34" s="59">
        <f ca="1">AVERAGE(OFFSET($CX$3,0,0,'Données projet'!$E$13+1,1))-AVERAGE(OFFSET($H$3,0,0,'Données projet'!$E$13+1,1))</f>
        <v>225.92546546283018</v>
      </c>
      <c r="CZ34" s="59">
        <f t="shared" si="42"/>
        <v>309.38786160614563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9.987891322434427</v>
      </c>
      <c r="DG34" s="21">
        <f>EXP(-LN(2)/25)*DG33+(1-EXP(-LN(2)/25))/(LN(2)/25)*Calculateur!DB34*Calculateur!DD34*VLOOKUP('Données projet'!$B$13,Paramètres!$A$1:$I$89,3,0)*0.475*44/12</f>
        <v>23.904032314034716</v>
      </c>
      <c r="DH34" s="21">
        <f>EXP(-LN(2)/2)*DH33+(1-EXP(-LN(2)/2))/(LN(2)/2)*DB34*DE34*VLOOKUP('Données projet'!$B$13,Paramètres!$A$1:$I$89,3,0)*0.475*44/12</f>
        <v>1.7031824876810751</v>
      </c>
      <c r="DI34" s="22">
        <f t="shared" si="15"/>
        <v>35.59510612415022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5.2</v>
      </c>
      <c r="DO34" s="12">
        <f>IF('Données projet'!$A$166&gt;35,DO33+DN34-DW33,IF(A34&lt;'Données projet'!$A$166,$DL$205^A34,IF(A34='Données projet'!$A$166,'Données projet'!$B$166,DO33+DN34-DW33)))</f>
        <v>71.199999999999974</v>
      </c>
      <c r="DP34" s="17">
        <f>DO34*VLOOKUP('Données projet'!$B$14,Paramètres!$A$1:$I$89,3,0)*VLOOKUP('Données projet'!$B$14,Paramètres!$A$1:$I$89,5,0)</f>
        <v>62.200319999999991</v>
      </c>
      <c r="DQ34" s="13">
        <f t="shared" si="43"/>
        <v>17.723407501510028</v>
      </c>
      <c r="DR34" s="20">
        <f t="shared" si="16"/>
        <v>139.20049206512991</v>
      </c>
      <c r="DS34" s="59">
        <f t="shared" si="17"/>
        <v>432.53382539846325</v>
      </c>
      <c r="DT34" s="59">
        <f ca="1">AVERAGE(OFFSET($DS$3,0,0,'Données projet'!$E$14+1,1))-AVERAGE(OFFSET($H$3,0,0,'Données projet'!$E$14+1,1))</f>
        <v>150.06600397498823</v>
      </c>
      <c r="DU34" s="59">
        <f t="shared" si="44"/>
        <v>170.53034305929714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516</v>
      </c>
      <c r="L35" s="12">
        <f>VLOOKUP(A35,'Données projet'!$A$35:$I$55,9,0)</f>
        <v>45.5</v>
      </c>
      <c r="M35" s="12">
        <f t="array" ref="M35">INDEX(L:L,MIN(IF(ISNUMBER(L35:L231),ROW(L35:L231),"")))</f>
        <v>45.5</v>
      </c>
      <c r="N35" s="13">
        <f>IF('Données projet'!$A$36&gt;35,N34+M35-V34,IF(A35&lt;'Données projet'!$A$36,$K$205^A35,IF(A35='Données projet'!$A$36,'Données projet'!$B$36,N34+M35-V34)))</f>
        <v>516</v>
      </c>
      <c r="O35" s="13">
        <f>N35*VLOOKUP('Données projet'!$B$9,Paramètres!$A$1:$I$89,3,0)*VLOOKUP('Données projet'!$B$9,Paramètres!$A$1:$I$89,5,0)</f>
        <v>241.488</v>
      </c>
      <c r="P35" s="13">
        <f t="shared" si="33"/>
        <v>58.759565673424916</v>
      </c>
      <c r="Q35" s="20">
        <f t="shared" ref="Q35:Q66" si="53">(O35+P35)*0.475*44/12</f>
        <v>522.93117688121504</v>
      </c>
      <c r="R35" s="59">
        <f t="shared" si="0"/>
        <v>816.26451021454841</v>
      </c>
      <c r="S35" s="59">
        <f ca="1">AVERAGE(OFFSET($R$3,0,0,'Données projet'!$E$9+1,1))-AVERAGE(OFFSET($H$3,0,0,'Données projet'!$E$9+1,1))</f>
        <v>294.94285920643927</v>
      </c>
      <c r="T35" s="59">
        <f t="shared" si="34"/>
        <v>399.89535338426606</v>
      </c>
      <c r="U35" s="15">
        <f>IF(ISNA(VLOOKUP(A35,'Données projet'!$A$35:$I$55,3,0)),0,VLOOKUP(A35,'Données projet'!$A$35:$I$55,3,0))</f>
        <v>5</v>
      </c>
      <c r="V35" s="15">
        <f>IF(ISNA(VLOOKUP(A35,'Données projet'!$A$35:$I$55,4,0)),0,VLOOKUP(A35,'Données projet'!$A$35:$I$55,4,0))</f>
        <v>56</v>
      </c>
      <c r="W35" s="16">
        <f>IF(ISNA(VLOOKUP(A35,'Données projet'!$A$35:$I$55,5,0)),0%,VLOOKUP(A35,'Données projet'!$A$35:$I$55,5,0)*VLOOKUP('Données projet'!$B$9,Paramètres!$A$1:$I$89,7,0))</f>
        <v>0.16500000000000001</v>
      </c>
      <c r="X35" s="16">
        <f>IF(ISNA(VLOOKUP(A35,'Données projet'!$A$35:$I$55,6,0)),0%,VLOOKUP(A35,'Données projet'!$A$35:$I$55,6,0)*VLOOKUP('Données projet'!$B$9,Paramètres!$A$1:$I$89,7,0))</f>
        <v>0.33</v>
      </c>
      <c r="Y35" s="16">
        <f>IF(ISNA(VLOOKUP(A35,'Données projet'!$A$35:$I$55,7,0)),0%,VLOOKUP(A35,'Données projet'!$A$35:$I$55,7,0))</f>
        <v>0.1</v>
      </c>
      <c r="Z35" s="21">
        <f>EXP(-LN(2)/35)*Z34+(1-EXP(-LN(2)/35))/(LN(2)/35)*V35*W35*VLOOKUP('Données projet'!$B$9,Paramètres!$A$1:$I$89,3,0)*0.475*44/12</f>
        <v>17.678748032450823</v>
      </c>
      <c r="AA35" s="21">
        <f>EXP(-LN(2)/25)*AA34+(1-EXP(-LN(2)/25))/(LN(2)/25)*Calculateur!V35*Calculateur!X35*VLOOKUP('Données projet'!$B$9,Paramètres!$A$1:$I$89,3,0)*0.475*44/12</f>
        <v>52.097508601101737</v>
      </c>
      <c r="AB35" s="21">
        <f>EXP(-LN(2)/2)*AB34+(1-EXP(-LN(2)/2))/(LN(2)/2)*V35*Y35*VLOOKUP('Données projet'!$B$9,Paramètres!$A$1:$I$89,3,0)*0.475*44/12</f>
        <v>4.3378343404534014</v>
      </c>
      <c r="AC35" s="22">
        <f t="shared" si="3"/>
        <v>74.114090974005961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14.319230769230776</v>
      </c>
      <c r="AI35" s="13">
        <f>IF('Données projet'!$A$62&gt;35,AI34+AH35-AQ34,IF(A35&lt;'Données projet'!$A$62,$AF$205^A35,IF(A35='Données projet'!$A$62,'Données projet'!$B$62,AI34+AH35-AQ34)))</f>
        <v>205.30000000000004</v>
      </c>
      <c r="AJ35" s="13">
        <f>AI35*VLOOKUP('Données projet'!$B$10,Paramètres!$A$1:$I$89,3,0)*VLOOKUP('Données projet'!$B$10,Paramètres!$A$1:$I$89,5,0)</f>
        <v>122.76940000000002</v>
      </c>
      <c r="AK35" s="13">
        <f t="shared" si="35"/>
        <v>32.320056157265896</v>
      </c>
      <c r="AL35" s="20">
        <f t="shared" si="4"/>
        <v>270.11413614057147</v>
      </c>
      <c r="AM35" s="59">
        <f t="shared" si="5"/>
        <v>563.44746947390479</v>
      </c>
      <c r="AN35" s="59">
        <f ca="1">AVERAGE(OFFSET($AM$3,0,0,'Données projet'!$E$10+1,1))-AVERAGE(OFFSET($H$3,0,0,'Données projet'!$E$10+1,1))</f>
        <v>200.14675249215634</v>
      </c>
      <c r="AO35" s="59">
        <f t="shared" si="36"/>
        <v>200.55017434999968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11.222912577706463</v>
      </c>
      <c r="AV35" s="21">
        <f>EXP(-LN(2)/25)*AV34+(1-EXP(-LN(2)/25))/(LN(2)/25)*Calculateur!AQ35*Calculateur!AS35*VLOOKUP('Données projet'!$B$10,Paramètres!$A$1:$I$89,3,0)*0.475*44/12</f>
        <v>16.542076158991097</v>
      </c>
      <c r="AW35" s="21">
        <f>EXP(-LN(2)/2)*AW34+(1-EXP(-LN(2)/2))/(LN(2)/2)*AQ35*AT35*VLOOKUP('Données projet'!$B$10,Paramètres!$A$1:$I$89,3,0)*0.475*44/12</f>
        <v>2.2875727068318841</v>
      </c>
      <c r="AX35" s="21">
        <f t="shared" si="6"/>
        <v>30.052561443529445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9.9692307692307711</v>
      </c>
      <c r="BD35" s="12">
        <f>IF('Données projet'!$A$88&gt;35,BD34+BC35-BL34,IF(A35&lt;'Données projet'!$A$88,$BA$205^A35,IF(A35='Données projet'!$A$88,'Données projet'!$B$88,BD34+BC35-BL34)))</f>
        <v>148.00769230769228</v>
      </c>
      <c r="BE35" s="13">
        <f>BD35*VLOOKUP('Données projet'!$B$11,Paramètres!$A$1:$I$89,3,0)*VLOOKUP('Données projet'!$B$11,Paramètres!$A$1:$I$89,5,0)</f>
        <v>84.660399999999996</v>
      </c>
      <c r="BF35" s="13">
        <f t="shared" si="37"/>
        <v>23.272894037632273</v>
      </c>
      <c r="BG35" s="20">
        <f t="shared" si="7"/>
        <v>187.98382044887617</v>
      </c>
      <c r="BH35" s="59">
        <f t="shared" si="8"/>
        <v>481.31715378220952</v>
      </c>
      <c r="BI35" s="59">
        <f ca="1">AVERAGE(OFFSET($BH$3,0,0,'Données projet'!$E$11+1,1))-AVERAGE(OFFSET($H$3,0,0,'Données projet'!$E$11+1,1))</f>
        <v>182.46132340647313</v>
      </c>
      <c r="BJ35" s="59">
        <f t="shared" si="38"/>
        <v>130.51706975490481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13.853937735165953</v>
      </c>
      <c r="BR35" s="21">
        <f>EXP(-LN(2)/2)*BR34+(1-EXP(-LN(2)/2))/(LN(2)/2)*BL35*BO35*VLOOKUP('Données projet'!$B$11,Paramètres!$A$1:$I$89,3,0)*0.475*44/12</f>
        <v>3.7105101499313351</v>
      </c>
      <c r="BS35" s="22">
        <f t="shared" si="9"/>
        <v>17.564447885097287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26.2</v>
      </c>
      <c r="BY35" s="12">
        <f>IF('Données projet'!$A$114&gt;35,BY34+BX35-CG34,IF(A35&lt;'Données projet'!$A$114,$BV$205^A35,IF(A35='Données projet'!$A$114,'Données projet'!$B$114,BY34+BX35-CG34)))</f>
        <v>297.40000000000009</v>
      </c>
      <c r="BZ35" s="13">
        <f>BY35*VLOOKUP('Données projet'!$B$12,Paramètres!$A$1:$I$89,3,0)*VLOOKUP('Données projet'!$B$12,Paramètres!$A$1:$I$89,5,0)</f>
        <v>119.85220000000004</v>
      </c>
      <c r="CA35" s="13">
        <f t="shared" si="39"/>
        <v>31.64052489909043</v>
      </c>
      <c r="CB35" s="20">
        <f t="shared" si="10"/>
        <v>263.8498291992492</v>
      </c>
      <c r="CC35" s="59">
        <f t="shared" si="11"/>
        <v>557.18316253258251</v>
      </c>
      <c r="CD35" s="59">
        <f ca="1">AVERAGE(OFFSET($CC$3,0,0,'Données projet'!$E$12+1,1))-AVERAGE(OFFSET($H$3,0,0,'Données projet'!$E$12+1,1))</f>
        <v>291.0962681460345</v>
      </c>
      <c r="CE35" s="59">
        <f t="shared" si="40"/>
        <v>240.28311826371385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2.3860898325180471</v>
      </c>
      <c r="CM35" s="21">
        <f>EXP(-LN(2)/2)*CM34+(1-EXP(-LN(2)/2))/(LN(2)/2)*CG35*CJ35*VLOOKUP('Données projet'!$B$12,Paramètres!$A$1:$I$89,3,0)*0.475*44/12</f>
        <v>7.7298713957043317</v>
      </c>
      <c r="CN35" s="22">
        <f t="shared" si="12"/>
        <v>10.115961228222378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18.000000000000011</v>
      </c>
      <c r="CT35" s="12">
        <f>IF('Données projet'!$A$140&gt;35,CT34+CS35-DB34,IF(A35&lt;'Données projet'!$A$140,$CQ$205^A35,IF(A35='Données projet'!$A$140,'Données projet'!$B$140,CT34+CS35-DB34)))</f>
        <v>332.59999999999997</v>
      </c>
      <c r="CU35" s="17">
        <f>CT35*VLOOKUP('Données projet'!$B$13,Paramètres!$A$1:$I$89,3,0)*VLOOKUP('Données projet'!$B$13,Paramètres!$A$1:$I$89,5,0)</f>
        <v>155.6568</v>
      </c>
      <c r="CV35" s="13">
        <f t="shared" si="41"/>
        <v>39.861331018081607</v>
      </c>
      <c r="CW35" s="20">
        <f t="shared" si="13"/>
        <v>340.52741152315878</v>
      </c>
      <c r="CX35" s="59">
        <f t="shared" si="14"/>
        <v>633.86074485649215</v>
      </c>
      <c r="CY35" s="59">
        <f ca="1">AVERAGE(OFFSET($CX$3,0,0,'Données projet'!$E$13+1,1))-AVERAGE(OFFSET($H$3,0,0,'Données projet'!$E$13+1,1))</f>
        <v>225.92546546283018</v>
      </c>
      <c r="CZ35" s="59">
        <f t="shared" si="42"/>
        <v>309.38786160614563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9.7920348656136582</v>
      </c>
      <c r="DG35" s="21">
        <f>EXP(-LN(2)/25)*DG34+(1-EXP(-LN(2)/25))/(LN(2)/25)*Calculateur!DB35*Calculateur!DD35*VLOOKUP('Données projet'!$B$13,Paramètres!$A$1:$I$89,3,0)*0.475*44/12</f>
        <v>23.250375293349009</v>
      </c>
      <c r="DH35" s="21">
        <f>EXP(-LN(2)/2)*DH34+(1-EXP(-LN(2)/2))/(LN(2)/2)*DB35*DE35*VLOOKUP('Données projet'!$B$13,Paramètres!$A$1:$I$89,3,0)*0.475*44/12</f>
        <v>1.2043318866374617</v>
      </c>
      <c r="DI35" s="22">
        <f t="shared" si="15"/>
        <v>34.246742045600129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5.2</v>
      </c>
      <c r="DO35" s="12">
        <f>IF('Données projet'!$A$166&gt;35,DO34+DN35-DW34,IF(A35&lt;'Données projet'!$A$166,$DL$205^A35,IF(A35='Données projet'!$A$166,'Données projet'!$B$166,DO34+DN35-DW34)))</f>
        <v>76.399999999999977</v>
      </c>
      <c r="DP35" s="17">
        <f>DO35*VLOOKUP('Données projet'!$B$14,Paramètres!$A$1:$I$89,3,0)*VLOOKUP('Données projet'!$B$14,Paramètres!$A$1:$I$89,5,0)</f>
        <v>66.743039999999993</v>
      </c>
      <c r="DQ35" s="13">
        <f t="shared" si="43"/>
        <v>18.86241050717809</v>
      </c>
      <c r="DR35" s="20">
        <f t="shared" si="16"/>
        <v>149.09615963333516</v>
      </c>
      <c r="DS35" s="59">
        <f t="shared" si="17"/>
        <v>442.42949296666848</v>
      </c>
      <c r="DT35" s="59">
        <f ca="1">AVERAGE(OFFSET($DS$3,0,0,'Données projet'!$E$14+1,1))-AVERAGE(OFFSET($H$3,0,0,'Données projet'!$E$14+1,1))</f>
        <v>150.06600397498823</v>
      </c>
      <c r="DU35" s="59">
        <f t="shared" si="44"/>
        <v>170.53034305929714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42</v>
      </c>
      <c r="N36" s="13">
        <f>IF('Données projet'!$A$36&gt;35,N35+M36-V35,IF(A36&lt;'Données projet'!$A$36,$K$205^A36,IF(A36='Données projet'!$A$36,'Données projet'!$B$36,N35+M36-V35)))</f>
        <v>502</v>
      </c>
      <c r="O36" s="13">
        <f>N36*VLOOKUP('Données projet'!$B$9,Paramètres!$A$1:$I$89,3,0)*VLOOKUP('Données projet'!$B$9,Paramètres!$A$1:$I$89,5,0)</f>
        <v>234.93600000000001</v>
      </c>
      <c r="P36" s="13">
        <f t="shared" si="33"/>
        <v>57.34863760662617</v>
      </c>
      <c r="Q36" s="20">
        <f t="shared" si="53"/>
        <v>509.06241049820727</v>
      </c>
      <c r="R36" s="59">
        <f t="shared" si="0"/>
        <v>802.39574383154059</v>
      </c>
      <c r="S36" s="59">
        <f ca="1">AVERAGE(OFFSET($R$3,0,0,'Données projet'!$E$9+1,1))-AVERAGE(OFFSET($H$3,0,0,'Données projet'!$E$9+1,1))</f>
        <v>294.94285920643927</v>
      </c>
      <c r="T36" s="59">
        <f t="shared" si="34"/>
        <v>399.89535338426606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17.332078566506031</v>
      </c>
      <c r="AA36" s="21">
        <f>EXP(-LN(2)/25)*AA35+(1-EXP(-LN(2)/25))/(LN(2)/25)*Calculateur!V36*Calculateur!X36*VLOOKUP('Données projet'!$B$9,Paramètres!$A$1:$I$89,3,0)*0.475*44/12</f>
        <v>50.6728994887157</v>
      </c>
      <c r="AB36" s="21">
        <f>EXP(-LN(2)/2)*AB35+(1-EXP(-LN(2)/2))/(LN(2)/2)*V36*Y36*VLOOKUP('Données projet'!$B$9,Paramètres!$A$1:$I$89,3,0)*0.475*44/12</f>
        <v>3.067312077798475</v>
      </c>
      <c r="AC36" s="22">
        <f t="shared" si="3"/>
        <v>71.072290133020203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14.319230769230776</v>
      </c>
      <c r="AI36" s="13">
        <f>IF('Données projet'!$A$62&gt;35,AI35+AH36-AQ35,IF(A36&lt;'Données projet'!$A$62,$AF$205^A36,IF(A36='Données projet'!$A$62,'Données projet'!$B$62,AI35+AH36-AQ35)))</f>
        <v>219.61923076923082</v>
      </c>
      <c r="AJ36" s="13">
        <f>AI36*VLOOKUP('Données projet'!$B$10,Paramètres!$A$1:$I$89,3,0)*VLOOKUP('Données projet'!$B$10,Paramètres!$A$1:$I$89,5,0)</f>
        <v>131.33230000000003</v>
      </c>
      <c r="AK36" s="13">
        <f t="shared" si="35"/>
        <v>34.304031818006806</v>
      </c>
      <c r="AL36" s="20">
        <f t="shared" si="4"/>
        <v>288.48327791636194</v>
      </c>
      <c r="AM36" s="59">
        <f t="shared" si="5"/>
        <v>581.81661124969526</v>
      </c>
      <c r="AN36" s="59">
        <f ca="1">AVERAGE(OFFSET($AM$3,0,0,'Données projet'!$E$10+1,1))-AVERAGE(OFFSET($H$3,0,0,'Données projet'!$E$10+1,1))</f>
        <v>200.14675249215634</v>
      </c>
      <c r="AO36" s="59">
        <f t="shared" si="36"/>
        <v>200.55017434999968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11.002838107358395</v>
      </c>
      <c r="AV36" s="21">
        <f>EXP(-LN(2)/25)*AV35+(1-EXP(-LN(2)/25))/(LN(2)/25)*Calculateur!AQ36*Calculateur!AS36*VLOOKUP('Données projet'!$B$10,Paramètres!$A$1:$I$89,3,0)*0.475*44/12</f>
        <v>16.089732216513507</v>
      </c>
      <c r="AW36" s="21">
        <f>EXP(-LN(2)/2)*AW35+(1-EXP(-LN(2)/2))/(LN(2)/2)*AQ36*AT36*VLOOKUP('Données projet'!$B$10,Paramètres!$A$1:$I$89,3,0)*0.475*44/12</f>
        <v>1.6175581734580915</v>
      </c>
      <c r="AX36" s="21">
        <f t="shared" si="6"/>
        <v>28.710128497329997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9.9692307692307711</v>
      </c>
      <c r="BD36" s="12">
        <f>IF('Données projet'!$A$88&gt;35,BD35+BC36-BL35,IF(A36&lt;'Données projet'!$A$88,$BA$205^A36,IF(A36='Données projet'!$A$88,'Données projet'!$B$88,BD35+BC36-BL35)))</f>
        <v>157.97692307692304</v>
      </c>
      <c r="BE36" s="13">
        <f>BD36*VLOOKUP('Données projet'!$B$11,Paramètres!$A$1:$I$89,3,0)*VLOOKUP('Données projet'!$B$11,Paramètres!$A$1:$I$89,5,0)</f>
        <v>90.362799999999993</v>
      </c>
      <c r="BF36" s="13">
        <f t="shared" si="37"/>
        <v>24.652703120322528</v>
      </c>
      <c r="BG36" s="20">
        <f t="shared" si="7"/>
        <v>200.31866793456172</v>
      </c>
      <c r="BH36" s="59">
        <f t="shared" si="8"/>
        <v>493.652001267895</v>
      </c>
      <c r="BI36" s="59">
        <f ca="1">AVERAGE(OFFSET($BH$3,0,0,'Données projet'!$E$11+1,1))-AVERAGE(OFFSET($H$3,0,0,'Données projet'!$E$11+1,1))</f>
        <v>182.46132340647313</v>
      </c>
      <c r="BJ36" s="59">
        <f t="shared" si="38"/>
        <v>130.51706975490481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13.475101079250919</v>
      </c>
      <c r="BR36" s="21">
        <f>EXP(-LN(2)/2)*BR35+(1-EXP(-LN(2)/2))/(LN(2)/2)*BL36*BO36*VLOOKUP('Données projet'!$B$11,Paramètres!$A$1:$I$89,3,0)*0.475*44/12</f>
        <v>2.6237268886779606</v>
      </c>
      <c r="BS36" s="22">
        <f t="shared" si="9"/>
        <v>16.09882796792888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26.2</v>
      </c>
      <c r="BY36" s="12">
        <f>IF('Données projet'!$A$114&gt;35,BY35+BX36-CG35,IF(A36&lt;'Données projet'!$A$114,$BV$205^A36,IF(A36='Données projet'!$A$114,'Données projet'!$B$114,BY35+BX36-CG35)))</f>
        <v>323.60000000000008</v>
      </c>
      <c r="BZ36" s="13">
        <f>BY36*VLOOKUP('Données projet'!$B$12,Paramètres!$A$1:$I$89,3,0)*VLOOKUP('Données projet'!$B$12,Paramètres!$A$1:$I$89,5,0)</f>
        <v>130.41080000000005</v>
      </c>
      <c r="CA36" s="13">
        <f t="shared" si="39"/>
        <v>34.091265713830481</v>
      </c>
      <c r="CB36" s="20">
        <f t="shared" si="10"/>
        <v>286.50776445158812</v>
      </c>
      <c r="CC36" s="59">
        <f t="shared" si="11"/>
        <v>579.84109778492143</v>
      </c>
      <c r="CD36" s="59">
        <f ca="1">AVERAGE(OFFSET($CC$3,0,0,'Données projet'!$E$12+1,1))-AVERAGE(OFFSET($H$3,0,0,'Données projet'!$E$12+1,1))</f>
        <v>291.0962681460345</v>
      </c>
      <c r="CE36" s="59">
        <f t="shared" si="40"/>
        <v>240.28311826371385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2.3208420805688301</v>
      </c>
      <c r="CM36" s="21">
        <f>EXP(-LN(2)/2)*CM35+(1-EXP(-LN(2)/2))/(LN(2)/2)*CG36*CJ36*VLOOKUP('Données projet'!$B$12,Paramètres!$A$1:$I$89,3,0)*0.475*44/12</f>
        <v>5.4658444816024563</v>
      </c>
      <c r="CN36" s="22">
        <f t="shared" si="12"/>
        <v>7.7866865621712869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18.000000000000011</v>
      </c>
      <c r="CT36" s="12">
        <f>IF('Données projet'!$A$140&gt;35,CT35+CS36-DB35,IF(A36&lt;'Données projet'!$A$140,$CQ$205^A36,IF(A36='Données projet'!$A$140,'Données projet'!$B$140,CT35+CS36-DB35)))</f>
        <v>350.59999999999997</v>
      </c>
      <c r="CU36" s="17">
        <f>CT36*VLOOKUP('Données projet'!$B$13,Paramètres!$A$1:$I$89,3,0)*VLOOKUP('Données projet'!$B$13,Paramètres!$A$1:$I$89,5,0)</f>
        <v>164.08079999999998</v>
      </c>
      <c r="CV36" s="13">
        <f t="shared" si="41"/>
        <v>41.76159774642673</v>
      </c>
      <c r="CW36" s="20">
        <f t="shared" si="13"/>
        <v>358.50884274169317</v>
      </c>
      <c r="CX36" s="59">
        <f t="shared" si="14"/>
        <v>651.84217607502649</v>
      </c>
      <c r="CY36" s="59">
        <f ca="1">AVERAGE(OFFSET($CX$3,0,0,'Données projet'!$E$13+1,1))-AVERAGE(OFFSET($H$3,0,0,'Données projet'!$E$13+1,1))</f>
        <v>225.92546546283018</v>
      </c>
      <c r="CZ36" s="59">
        <f t="shared" si="42"/>
        <v>309.38786160614563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9.6000190344505025</v>
      </c>
      <c r="DG36" s="21">
        <f>EXP(-LN(2)/25)*DG35+(1-EXP(-LN(2)/25))/(LN(2)/25)*Calculateur!DB36*Calculateur!DD36*VLOOKUP('Données projet'!$B$13,Paramètres!$A$1:$I$89,3,0)*0.475*44/12</f>
        <v>22.614592558268285</v>
      </c>
      <c r="DH36" s="21">
        <f>EXP(-LN(2)/2)*DH35+(1-EXP(-LN(2)/2))/(LN(2)/2)*DB36*DE36*VLOOKUP('Données projet'!$B$13,Paramètres!$A$1:$I$89,3,0)*0.475*44/12</f>
        <v>0.85159124384053764</v>
      </c>
      <c r="DI36" s="22">
        <f t="shared" si="15"/>
        <v>33.066202836559327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5.2</v>
      </c>
      <c r="DO36" s="12">
        <f>IF('Données projet'!$A$166&gt;35,DO35+DN36-DW35,IF(A36&lt;'Données projet'!$A$166,$DL$205^A36,IF(A36='Données projet'!$A$166,'Données projet'!$B$166,DO35+DN36-DW35)))</f>
        <v>81.59999999999998</v>
      </c>
      <c r="DP36" s="17">
        <f>DO36*VLOOKUP('Données projet'!$B$14,Paramètres!$A$1:$I$89,3,0)*VLOOKUP('Données projet'!$B$14,Paramètres!$A$1:$I$89,5,0)</f>
        <v>71.285759999999982</v>
      </c>
      <c r="DQ36" s="13">
        <f t="shared" si="43"/>
        <v>19.992418069182566</v>
      </c>
      <c r="DR36" s="20">
        <f t="shared" si="16"/>
        <v>158.97616013715958</v>
      </c>
      <c r="DS36" s="59">
        <f t="shared" si="17"/>
        <v>452.3094934704929</v>
      </c>
      <c r="DT36" s="59">
        <f ca="1">AVERAGE(OFFSET($DS$3,0,0,'Données projet'!$E$14+1,1))-AVERAGE(OFFSET($H$3,0,0,'Données projet'!$E$14+1,1))</f>
        <v>150.06600397498823</v>
      </c>
      <c r="DU36" s="59">
        <f t="shared" si="44"/>
        <v>170.53034305929714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42</v>
      </c>
      <c r="N37" s="13">
        <f>IF('Données projet'!$A$36&gt;35,N36+M37-V36,IF(A37&lt;'Données projet'!$A$36,$K$205^A37,IF(A37='Données projet'!$A$36,'Données projet'!$B$36,N36+M37-V36)))</f>
        <v>544</v>
      </c>
      <c r="O37" s="13">
        <f>N37*VLOOKUP('Données projet'!$B$9,Paramètres!$A$1:$I$89,3,0)*VLOOKUP('Données projet'!$B$9,Paramètres!$A$1:$I$89,5,0)</f>
        <v>254.59200000000001</v>
      </c>
      <c r="P37" s="13">
        <f t="shared" si="33"/>
        <v>61.568204482621567</v>
      </c>
      <c r="Q37" s="20">
        <f t="shared" si="53"/>
        <v>550.64568947389932</v>
      </c>
      <c r="R37" s="59">
        <f t="shared" si="0"/>
        <v>843.9790228072327</v>
      </c>
      <c r="S37" s="59">
        <f ca="1">AVERAGE(OFFSET($R$3,0,0,'Données projet'!$E$9+1,1))-AVERAGE(OFFSET($H$3,0,0,'Données projet'!$E$9+1,1))</f>
        <v>294.94285920643927</v>
      </c>
      <c r="T37" s="59">
        <f t="shared" si="34"/>
        <v>399.89535338426606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16.992207077340922</v>
      </c>
      <c r="AA37" s="21">
        <f>EXP(-LN(2)/25)*AA36+(1-EXP(-LN(2)/25))/(LN(2)/25)*Calculateur!V37*Calculateur!X37*VLOOKUP('Données projet'!$B$9,Paramètres!$A$1:$I$89,3,0)*0.475*44/12</f>
        <v>49.287246387424801</v>
      </c>
      <c r="AB37" s="21">
        <f>EXP(-LN(2)/2)*AB36+(1-EXP(-LN(2)/2))/(LN(2)/2)*V37*Y37*VLOOKUP('Données projet'!$B$9,Paramètres!$A$1:$I$89,3,0)*0.475*44/12</f>
        <v>2.1689171702267007</v>
      </c>
      <c r="AC37" s="22">
        <f t="shared" si="3"/>
        <v>68.448370634992429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14.319230769230776</v>
      </c>
      <c r="AI37" s="13">
        <f>IF('Données projet'!$A$62&gt;35,AI36+AH37-AQ36,IF(A37&lt;'Données projet'!$A$62,$AF$205^A37,IF(A37='Données projet'!$A$62,'Données projet'!$B$62,AI36+AH37-AQ36)))</f>
        <v>233.93846153846161</v>
      </c>
      <c r="AJ37" s="13">
        <f>AI37*VLOOKUP('Données projet'!$B$10,Paramètres!$A$1:$I$89,3,0)*VLOOKUP('Données projet'!$B$10,Paramètres!$A$1:$I$89,5,0)</f>
        <v>139.89520000000007</v>
      </c>
      <c r="AK37" s="13">
        <f t="shared" si="35"/>
        <v>36.272996240404318</v>
      </c>
      <c r="AL37" s="20">
        <f t="shared" si="4"/>
        <v>306.82627511870436</v>
      </c>
      <c r="AM37" s="59">
        <f t="shared" si="5"/>
        <v>600.15960845203767</v>
      </c>
      <c r="AN37" s="59">
        <f ca="1">AVERAGE(OFFSET($AM$3,0,0,'Données projet'!$E$10+1,1))-AVERAGE(OFFSET($H$3,0,0,'Données projet'!$E$10+1,1))</f>
        <v>200.14675249215634</v>
      </c>
      <c r="AO37" s="59">
        <f t="shared" si="36"/>
        <v>200.55017434999968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10.787079163141678</v>
      </c>
      <c r="AV37" s="21">
        <f>EXP(-LN(2)/25)*AV36+(1-EXP(-LN(2)/25))/(LN(2)/25)*Calculateur!AQ37*Calculateur!AS37*VLOOKUP('Données projet'!$B$10,Paramètres!$A$1:$I$89,3,0)*0.475*44/12</f>
        <v>15.649757642930702</v>
      </c>
      <c r="AW37" s="21">
        <f>EXP(-LN(2)/2)*AW36+(1-EXP(-LN(2)/2))/(LN(2)/2)*AQ37*AT37*VLOOKUP('Données projet'!$B$10,Paramètres!$A$1:$I$89,3,0)*0.475*44/12</f>
        <v>1.1437863534159423</v>
      </c>
      <c r="AX37" s="21">
        <f t="shared" si="6"/>
        <v>27.580623159488319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9.9692307692307711</v>
      </c>
      <c r="BD37" s="12">
        <f>IF('Données projet'!$A$88&gt;35,BD36+BC37-BL36,IF(A37&lt;'Données projet'!$A$88,$BA$205^A37,IF(A37='Données projet'!$A$88,'Données projet'!$B$88,BD36+BC37-BL36)))</f>
        <v>167.94615384615381</v>
      </c>
      <c r="BE37" s="13">
        <f>BD37*VLOOKUP('Données projet'!$B$11,Paramètres!$A$1:$I$89,3,0)*VLOOKUP('Données projet'!$B$11,Paramètres!$A$1:$I$89,5,0)</f>
        <v>96.065199999999976</v>
      </c>
      <c r="BF37" s="13">
        <f t="shared" si="37"/>
        <v>26.022406879807427</v>
      </c>
      <c r="BG37" s="20">
        <f t="shared" si="7"/>
        <v>212.63591531566453</v>
      </c>
      <c r="BH37" s="59">
        <f t="shared" si="8"/>
        <v>505.96924864899785</v>
      </c>
      <c r="BI37" s="59">
        <f ca="1">AVERAGE(OFFSET($BH$3,0,0,'Données projet'!$E$11+1,1))-AVERAGE(OFFSET($H$3,0,0,'Données projet'!$E$11+1,1))</f>
        <v>182.46132340647313</v>
      </c>
      <c r="BJ37" s="59">
        <f t="shared" si="38"/>
        <v>130.51706975490481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13.106623731614034</v>
      </c>
      <c r="BR37" s="21">
        <f>EXP(-LN(2)/2)*BR36+(1-EXP(-LN(2)/2))/(LN(2)/2)*BL37*BO37*VLOOKUP('Données projet'!$B$11,Paramètres!$A$1:$I$89,3,0)*0.475*44/12</f>
        <v>1.855255074965668</v>
      </c>
      <c r="BS37" s="22">
        <f t="shared" si="9"/>
        <v>14.961878806579701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26.2</v>
      </c>
      <c r="BY37" s="12">
        <f>IF('Données projet'!$A$114&gt;35,BY36+BX37-CG36,IF(A37&lt;'Données projet'!$A$114,$BV$205^A37,IF(A37='Données projet'!$A$114,'Données projet'!$B$114,BY36+BX37-CG36)))</f>
        <v>349.80000000000007</v>
      </c>
      <c r="BZ37" s="13">
        <f>BY37*VLOOKUP('Données projet'!$B$12,Paramètres!$A$1:$I$89,3,0)*VLOOKUP('Données projet'!$B$12,Paramètres!$A$1:$I$89,5,0)</f>
        <v>140.96940000000004</v>
      </c>
      <c r="CA37" s="13">
        <f t="shared" si="39"/>
        <v>36.518992156872528</v>
      </c>
      <c r="CB37" s="20">
        <f t="shared" si="10"/>
        <v>309.12561633988639</v>
      </c>
      <c r="CC37" s="59">
        <f t="shared" si="11"/>
        <v>602.45894967321965</v>
      </c>
      <c r="CD37" s="59">
        <f ca="1">AVERAGE(OFFSET($CC$3,0,0,'Données projet'!$E$12+1,1))-AVERAGE(OFFSET($H$3,0,0,'Données projet'!$E$12+1,1))</f>
        <v>291.0962681460345</v>
      </c>
      <c r="CE37" s="59">
        <f t="shared" si="40"/>
        <v>240.28311826371385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2.2573785318278947</v>
      </c>
      <c r="CM37" s="21">
        <f>EXP(-LN(2)/2)*CM36+(1-EXP(-LN(2)/2))/(LN(2)/2)*CG37*CJ37*VLOOKUP('Données projet'!$B$12,Paramètres!$A$1:$I$89,3,0)*0.475*44/12</f>
        <v>3.8649356978521667</v>
      </c>
      <c r="CN37" s="22">
        <f t="shared" si="12"/>
        <v>6.122314229680061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18.000000000000011</v>
      </c>
      <c r="CT37" s="12">
        <f>IF('Données projet'!$A$140&gt;35,CT36+CS37-DB36,IF(A37&lt;'Données projet'!$A$140,$CQ$205^A37,IF(A37='Données projet'!$A$140,'Données projet'!$B$140,CT36+CS37-DB36)))</f>
        <v>368.59999999999997</v>
      </c>
      <c r="CU37" s="17">
        <f>CT37*VLOOKUP('Données projet'!$B$13,Paramètres!$A$1:$I$89,3,0)*VLOOKUP('Données projet'!$B$13,Paramètres!$A$1:$I$89,5,0)</f>
        <v>172.50479999999996</v>
      </c>
      <c r="CV37" s="13">
        <f t="shared" si="41"/>
        <v>43.650537013927355</v>
      </c>
      <c r="CW37" s="20">
        <f t="shared" si="13"/>
        <v>376.4705452992568</v>
      </c>
      <c r="CX37" s="59">
        <f t="shared" si="14"/>
        <v>669.80387863259011</v>
      </c>
      <c r="CY37" s="59">
        <f ca="1">AVERAGE(OFFSET($CX$3,0,0,'Données projet'!$E$13+1,1))-AVERAGE(OFFSET($H$3,0,0,'Données projet'!$E$13+1,1))</f>
        <v>225.92546546283018</v>
      </c>
      <c r="CZ37" s="59">
        <f t="shared" si="42"/>
        <v>309.38786160614563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9.4117685166183627</v>
      </c>
      <c r="DG37" s="21">
        <f>EXP(-LN(2)/25)*DG36+(1-EXP(-LN(2)/25))/(LN(2)/25)*Calculateur!DB37*Calculateur!DD37*VLOOKUP('Données projet'!$B$13,Paramètres!$A$1:$I$89,3,0)*0.475*44/12</f>
        <v>21.996195335512702</v>
      </c>
      <c r="DH37" s="21">
        <f>EXP(-LN(2)/2)*DH36+(1-EXP(-LN(2)/2))/(LN(2)/2)*DB37*DE37*VLOOKUP('Données projet'!$B$13,Paramètres!$A$1:$I$89,3,0)*0.475*44/12</f>
        <v>0.60216594331873097</v>
      </c>
      <c r="DI37" s="22">
        <f t="shared" si="15"/>
        <v>32.010129795449799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5.2</v>
      </c>
      <c r="DO37" s="12">
        <f>IF('Données projet'!$A$166&gt;35,DO36+DN37-DW36,IF(A37&lt;'Données projet'!$A$166,$DL$205^A37,IF(A37='Données projet'!$A$166,'Données projet'!$B$166,DO36+DN37-DW36)))</f>
        <v>86.799999999999983</v>
      </c>
      <c r="DP37" s="17">
        <f>DO37*VLOOKUP('Données projet'!$B$14,Paramètres!$A$1:$I$89,3,0)*VLOOKUP('Données projet'!$B$14,Paramètres!$A$1:$I$89,5,0)</f>
        <v>75.828479999999999</v>
      </c>
      <c r="DQ37" s="13">
        <f t="shared" si="43"/>
        <v>21.114068675464956</v>
      </c>
      <c r="DR37" s="20">
        <f t="shared" si="16"/>
        <v>168.84160560976815</v>
      </c>
      <c r="DS37" s="59">
        <f t="shared" si="17"/>
        <v>462.17493894310144</v>
      </c>
      <c r="DT37" s="59">
        <f ca="1">AVERAGE(OFFSET($DS$3,0,0,'Données projet'!$E$14+1,1))-AVERAGE(OFFSET($H$3,0,0,'Données projet'!$E$14+1,1))</f>
        <v>150.06600397498823</v>
      </c>
      <c r="DU37" s="59">
        <f t="shared" si="44"/>
        <v>170.53034305929714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42</v>
      </c>
      <c r="N38" s="13">
        <f>IF('Données projet'!$A$36&gt;35,N37+M38-V37,IF(A38&lt;'Données projet'!$A$36,$K$205^A38,IF(A38='Données projet'!$A$36,'Données projet'!$B$36,N37+M38-V37)))</f>
        <v>586</v>
      </c>
      <c r="O38" s="13">
        <f>N38*VLOOKUP('Données projet'!$B$9,Paramètres!$A$1:$I$89,3,0)*VLOOKUP('Données projet'!$B$9,Paramètres!$A$1:$I$89,5,0)</f>
        <v>274.24799999999999</v>
      </c>
      <c r="P38" s="13">
        <f t="shared" si="33"/>
        <v>65.749981378063481</v>
      </c>
      <c r="Q38" s="20">
        <f t="shared" si="53"/>
        <v>592.16315090012722</v>
      </c>
      <c r="R38" s="59">
        <f t="shared" si="0"/>
        <v>885.49648423346048</v>
      </c>
      <c r="S38" s="59">
        <f ca="1">AVERAGE(OFFSET($R$3,0,0,'Données projet'!$E$9+1,1))-AVERAGE(OFFSET($H$3,0,0,'Données projet'!$E$9+1,1))</f>
        <v>294.94285920643927</v>
      </c>
      <c r="T38" s="59">
        <f t="shared" si="34"/>
        <v>399.89535338426606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16.659000260777201</v>
      </c>
      <c r="AA38" s="21">
        <f>EXP(-LN(2)/25)*AA37+(1-EXP(-LN(2)/25))/(LN(2)/25)*Calculateur!V38*Calculateur!X38*VLOOKUP('Données projet'!$B$9,Paramètres!$A$1:$I$89,3,0)*0.475*44/12</f>
        <v>47.939484043057028</v>
      </c>
      <c r="AB38" s="21">
        <f>EXP(-LN(2)/2)*AB37+(1-EXP(-LN(2)/2))/(LN(2)/2)*V38*Y38*VLOOKUP('Données projet'!$B$9,Paramètres!$A$1:$I$89,3,0)*0.475*44/12</f>
        <v>1.5336560388992375</v>
      </c>
      <c r="AC38" s="22">
        <f t="shared" si="3"/>
        <v>66.132140342733464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14.319230769230776</v>
      </c>
      <c r="AI38" s="13">
        <f>IF('Données projet'!$A$62&gt;35,AI37+AH38-AQ37,IF(A38&lt;'Données projet'!$A$62,$AF$205^A38,IF(A38='Données projet'!$A$62,'Données projet'!$B$62,AI37+AH38-AQ37)))</f>
        <v>248.25769230769239</v>
      </c>
      <c r="AJ38" s="13">
        <f>AI38*VLOOKUP('Données projet'!$B$10,Paramètres!$A$1:$I$89,3,0)*VLOOKUP('Données projet'!$B$10,Paramètres!$A$1:$I$89,5,0)</f>
        <v>148.45810000000006</v>
      </c>
      <c r="AK38" s="13">
        <f t="shared" si="35"/>
        <v>38.227972875965627</v>
      </c>
      <c r="AL38" s="20">
        <f t="shared" si="4"/>
        <v>325.1449102589736</v>
      </c>
      <c r="AM38" s="59">
        <f t="shared" si="5"/>
        <v>618.47824359230685</v>
      </c>
      <c r="AN38" s="59">
        <f ca="1">AVERAGE(OFFSET($AM$3,0,0,'Données projet'!$E$10+1,1))-AVERAGE(OFFSET($H$3,0,0,'Données projet'!$E$10+1,1))</f>
        <v>200.14675249215634</v>
      </c>
      <c r="AO38" s="59">
        <f t="shared" si="36"/>
        <v>200.55017434999968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10.575551120221091</v>
      </c>
      <c r="AV38" s="21">
        <f>EXP(-LN(2)/25)*AV37+(1-EXP(-LN(2)/25))/(LN(2)/25)*Calculateur!AQ38*Calculateur!AS38*VLOOKUP('Données projet'!$B$10,Paramètres!$A$1:$I$89,3,0)*0.475*44/12</f>
        <v>15.221814197199775</v>
      </c>
      <c r="AW38" s="21">
        <f>EXP(-LN(2)/2)*AW37+(1-EXP(-LN(2)/2))/(LN(2)/2)*AQ38*AT38*VLOOKUP('Données projet'!$B$10,Paramètres!$A$1:$I$89,3,0)*0.475*44/12</f>
        <v>0.80877908672904586</v>
      </c>
      <c r="AX38" s="21">
        <f t="shared" si="6"/>
        <v>26.606144404149912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9.9692307692307711</v>
      </c>
      <c r="BD38" s="12">
        <f>IF('Données projet'!$A$88&gt;35,BD37+BC38-BL37,IF(A38&lt;'Données projet'!$A$88,$BA$205^A38,IF(A38='Données projet'!$A$88,'Données projet'!$B$88,BD37+BC38-BL37)))</f>
        <v>177.91538461538457</v>
      </c>
      <c r="BE38" s="13">
        <f>BD38*VLOOKUP('Données projet'!$B$11,Paramètres!$A$1:$I$89,3,0)*VLOOKUP('Données projet'!$B$11,Paramètres!$A$1:$I$89,5,0)</f>
        <v>101.76759999999997</v>
      </c>
      <c r="BF38" s="13">
        <f t="shared" si="37"/>
        <v>27.382673486697065</v>
      </c>
      <c r="BG38" s="20">
        <f t="shared" si="7"/>
        <v>224.93672632266399</v>
      </c>
      <c r="BH38" s="59">
        <f t="shared" si="8"/>
        <v>518.27005965599733</v>
      </c>
      <c r="BI38" s="59">
        <f ca="1">AVERAGE(OFFSET($BH$3,0,0,'Données projet'!$E$11+1,1))-AVERAGE(OFFSET($H$3,0,0,'Données projet'!$E$11+1,1))</f>
        <v>182.46132340647313</v>
      </c>
      <c r="BJ38" s="59">
        <f t="shared" si="38"/>
        <v>130.51706975490481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12.748222416425662</v>
      </c>
      <c r="BR38" s="21">
        <f>EXP(-LN(2)/2)*BR37+(1-EXP(-LN(2)/2))/(LN(2)/2)*BL38*BO38*VLOOKUP('Données projet'!$B$11,Paramètres!$A$1:$I$89,3,0)*0.475*44/12</f>
        <v>1.3118634443389805</v>
      </c>
      <c r="BS38" s="22">
        <f t="shared" si="9"/>
        <v>14.060085860764643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376</v>
      </c>
      <c r="BW38" s="12">
        <f>VLOOKUP(A38,'Données projet'!$A$113:$I$133,9,0)</f>
        <v>26.2</v>
      </c>
      <c r="BX38" s="12">
        <f t="array" ref="BX38">INDEX(BW:BW,MIN(IF(ISNUMBER(BW38:BW234),ROW(BW38:BW234),"")))</f>
        <v>26.2</v>
      </c>
      <c r="BY38" s="12">
        <f>IF('Données projet'!$A$114&gt;35,BY37+BX38-CG37,IF(A38&lt;'Données projet'!$A$114,$BV$205^A38,IF(A38='Données projet'!$A$114,'Données projet'!$B$114,BY37+BX38-CG37)))</f>
        <v>376.00000000000006</v>
      </c>
      <c r="BZ38" s="13">
        <f>BY38*VLOOKUP('Données projet'!$B$12,Paramètres!$A$1:$I$89,3,0)*VLOOKUP('Données projet'!$B$12,Paramètres!$A$1:$I$89,5,0)</f>
        <v>151.52800000000002</v>
      </c>
      <c r="CA38" s="13">
        <f t="shared" si="39"/>
        <v>38.925624011938403</v>
      </c>
      <c r="CB38" s="20">
        <f t="shared" si="10"/>
        <v>331.70672848745937</v>
      </c>
      <c r="CC38" s="59">
        <f t="shared" si="11"/>
        <v>625.04006182079274</v>
      </c>
      <c r="CD38" s="59">
        <f ca="1">AVERAGE(OFFSET($CC$3,0,0,'Données projet'!$E$12+1,1))-AVERAGE(OFFSET($H$3,0,0,'Données projet'!$E$12+1,1))</f>
        <v>291.0962681460345</v>
      </c>
      <c r="CE38" s="59">
        <f t="shared" si="40"/>
        <v>240.28311826371385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63</v>
      </c>
      <c r="CH38" s="16">
        <f>IF(ISNA(VLOOKUP(A38,'Données projet'!$A$113:$I$133,5,0)),0%,VLOOKUP(A38,'Données projet'!$A$113:$I$133,5,0)*VLOOKUP('Données projet'!$B$12,Paramètres!$A$1:$I$89,7,0))</f>
        <v>8.7301587301587304E-3</v>
      </c>
      <c r="CI38" s="16">
        <f>IF(ISNA(VLOOKUP(A38,'Données projet'!$A$113:$I$133,6,0)),0%,VLOOKUP(A38,'Données projet'!$A$113:$I$133,6,0)*VLOOKUP('Données projet'!$B$12,Paramètres!$A$1:$I$89,7,0))</f>
        <v>0.11349206349206349</v>
      </c>
      <c r="CJ38" s="16">
        <f>IF(ISNA(VLOOKUP(A38,'Données projet'!$A$113:$I$133,7,0)),0%,VLOOKUP(A38,'Données projet'!$A$113:$I$133,7,0))</f>
        <v>0.3888888888888889</v>
      </c>
      <c r="CK38" s="21">
        <f>EXP(-LN(2)/35)*CK37+(1-EXP(-LN(2)/35))/(LN(2)/35)*CG38*CH38*VLOOKUP('Données projet'!$B$12,Paramètres!$A$1:$I$89,3,0)*0.475*44/12</f>
        <v>0.29403301154817407</v>
      </c>
      <c r="CL38" s="21">
        <f>EXP(-LN(2)/25)*CL37+(1-EXP(-LN(2)/25))/(LN(2)/25)*Calculateur!CG38*Calculateur!CI38*VLOOKUP('Données projet'!$B$12,Paramètres!$A$1:$I$89,3,0)*0.475*44/12</f>
        <v>6.0030291872672095</v>
      </c>
      <c r="CM38" s="21">
        <f>EXP(-LN(2)/2)*CM37+(1-EXP(-LN(2)/2))/(LN(2)/2)*CG38*CJ38*VLOOKUP('Données projet'!$B$12,Paramètres!$A$1:$I$89,3,0)*0.475*44/12</f>
        <v>13.912017830428788</v>
      </c>
      <c r="CN38" s="22">
        <f t="shared" si="12"/>
        <v>20.20908002924417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386.6</v>
      </c>
      <c r="CR38" s="12">
        <f>VLOOKUP(A38,'Données projet'!$A$139:$I$159,9,0)</f>
        <v>18.000000000000011</v>
      </c>
      <c r="CS38" s="12">
        <f t="array" ref="CS38">INDEX(CR:CR,MIN(IF(ISNUMBER(CR38:CR234),ROW(CR38:CR234),"")))</f>
        <v>18.000000000000011</v>
      </c>
      <c r="CT38" s="12">
        <f>IF('Données projet'!$A$140&gt;35,CT37+CS38-DB37,IF(A38&lt;'Données projet'!$A$140,$CQ$205^A38,IF(A38='Données projet'!$A$140,'Données projet'!$B$140,CT37+CS38-DB37)))</f>
        <v>386.59999999999997</v>
      </c>
      <c r="CU38" s="17">
        <f>CT38*VLOOKUP('Données projet'!$B$13,Paramètres!$A$1:$I$89,3,0)*VLOOKUP('Données projet'!$B$13,Paramètres!$A$1:$I$89,5,0)</f>
        <v>180.9288</v>
      </c>
      <c r="CV38" s="13">
        <f t="shared" si="41"/>
        <v>45.528765116538594</v>
      </c>
      <c r="CW38" s="20">
        <f t="shared" si="13"/>
        <v>394.41359257797143</v>
      </c>
      <c r="CX38" s="59">
        <f t="shared" si="14"/>
        <v>687.74692591130474</v>
      </c>
      <c r="CY38" s="59">
        <f ca="1">AVERAGE(OFFSET($CX$3,0,0,'Données projet'!$E$13+1,1))-AVERAGE(OFFSET($H$3,0,0,'Données projet'!$E$13+1,1))</f>
        <v>225.92546546283018</v>
      </c>
      <c r="CZ38" s="59">
        <f t="shared" si="42"/>
        <v>309.38786160614563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37.200000000000003</v>
      </c>
      <c r="DC38" s="16">
        <f>IF(ISNA(VLOOKUP(A38,'Données projet'!$A$139:$I$159,5,0)),0%,VLOOKUP(A38,'Données projet'!$A$139:$I$159,5,0)*VLOOKUP('Données projet'!$B$13,Paramètres!$A$1:$I$89,7,0))</f>
        <v>0.27500000000000002</v>
      </c>
      <c r="DD38" s="16">
        <f>IF(ISNA(VLOOKUP(A38,'Données projet'!$A$139:$I$159,6,0)),0%,VLOOKUP(A38,'Données projet'!$A$139:$I$159,6,0)*VLOOKUP('Données projet'!$B$13,Paramètres!$A$1:$I$89,7,0))</f>
        <v>0.27500000000000002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15.578322526059994</v>
      </c>
      <c r="DG38" s="21">
        <f>EXP(-LN(2)/25)*DG37+(1-EXP(-LN(2)/25))/(LN(2)/25)*Calculateur!DB38*Calculateur!DD38*VLOOKUP('Données projet'!$B$13,Paramètres!$A$1:$I$89,3,0)*0.475*44/12</f>
        <v>27.720814514734585</v>
      </c>
      <c r="DH38" s="21">
        <f>EXP(-LN(2)/2)*DH37+(1-EXP(-LN(2)/2))/(LN(2)/2)*DB38*DE38*VLOOKUP('Données projet'!$B$13,Paramètres!$A$1:$I$89,3,0)*0.475*44/12</f>
        <v>0.42579562192026893</v>
      </c>
      <c r="DI38" s="22">
        <f t="shared" si="15"/>
        <v>43.724932662714842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92</v>
      </c>
      <c r="DM38" s="12">
        <f>VLOOKUP(A38,'Données projet'!$A$165:$I$185,9,0)</f>
        <v>5.2</v>
      </c>
      <c r="DN38" s="12">
        <f t="array" ref="DN38">INDEX(DM:DM,MIN(IF(ISNUMBER(DM38:DM234),ROW(DM38:DM234),"")))</f>
        <v>5.2</v>
      </c>
      <c r="DO38" s="12">
        <f>IF('Données projet'!$A$166&gt;35,DO37+DN38-DW37,IF(A38&lt;'Données projet'!$A$166,$DL$205^A38,IF(A38='Données projet'!$A$166,'Données projet'!$B$166,DO37+DN38-DW37)))</f>
        <v>91.999999999999986</v>
      </c>
      <c r="DP38" s="17">
        <f>DO38*VLOOKUP('Données projet'!$B$14,Paramètres!$A$1:$I$89,3,0)*VLOOKUP('Données projet'!$B$14,Paramètres!$A$1:$I$89,5,0)</f>
        <v>80.371200000000002</v>
      </c>
      <c r="DQ38" s="13">
        <f t="shared" si="43"/>
        <v>22.22791999099082</v>
      </c>
      <c r="DR38" s="20">
        <f t="shared" si="16"/>
        <v>178.69346731764233</v>
      </c>
      <c r="DS38" s="59">
        <f t="shared" si="17"/>
        <v>472.02680065097564</v>
      </c>
      <c r="DT38" s="59">
        <f ca="1">AVERAGE(OFFSET($DS$3,0,0,'Données projet'!$E$14+1,1))-AVERAGE(OFFSET($H$3,0,0,'Données projet'!$E$14+1,1))</f>
        <v>150.06600397498823</v>
      </c>
      <c r="DU38" s="59">
        <f t="shared" si="44"/>
        <v>170.53034305929714</v>
      </c>
      <c r="DV38" s="15">
        <f>IF(ISNA(VLOOKUP(A38,'Données projet'!$A$165:$I$185,3,0)),0,VLOOKUP(A38,'Données projet'!$A$165:$I$185,3,0))</f>
        <v>2</v>
      </c>
      <c r="DW38" s="15">
        <f>IF(ISNA(VLOOKUP(A38,'Données projet'!$A$165:$I$185,4,0)),0,VLOOKUP(A38,'Données projet'!$A$165:$I$185,4,0))</f>
        <v>12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628</v>
      </c>
      <c r="L39" s="12">
        <f>VLOOKUP(A39,'Données projet'!$A$35:$I$55,9,0)</f>
        <v>42</v>
      </c>
      <c r="M39" s="12">
        <f t="array" ref="M39">INDEX(L:L,MIN(IF(ISNUMBER(L39:L235),ROW(L39:L235),"")))</f>
        <v>42</v>
      </c>
      <c r="N39" s="13">
        <f>IF('Données projet'!$A$36&gt;35,N38+M39-V38,IF(A39&lt;'Données projet'!$A$36,$K$205^A39,IF(A39='Données projet'!$A$36,'Données projet'!$B$36,N38+M39-V38)))</f>
        <v>628</v>
      </c>
      <c r="O39" s="13">
        <f>N39*VLOOKUP('Données projet'!$B$9,Paramètres!$A$1:$I$89,3,0)*VLOOKUP('Données projet'!$B$9,Paramètres!$A$1:$I$89,5,0)</f>
        <v>293.904</v>
      </c>
      <c r="P39" s="13">
        <f t="shared" si="33"/>
        <v>69.896984831773324</v>
      </c>
      <c r="Q39" s="20">
        <f t="shared" si="53"/>
        <v>633.62004858200532</v>
      </c>
      <c r="R39" s="59">
        <f t="shared" si="0"/>
        <v>926.9533819153387</v>
      </c>
      <c r="S39" s="59">
        <f ca="1">AVERAGE(OFFSET($R$3,0,0,'Données projet'!$E$9+1,1))-AVERAGE(OFFSET($H$3,0,0,'Données projet'!$E$9+1,1))</f>
        <v>294.94285920643927</v>
      </c>
      <c r="T39" s="59">
        <f t="shared" si="34"/>
        <v>399.89535338426606</v>
      </c>
      <c r="U39" s="15">
        <f>IF(ISNA(VLOOKUP(A39,'Données projet'!$A$35:$I$55,3,0)),0,VLOOKUP(A39,'Données projet'!$A$35:$I$55,3,0))</f>
        <v>6</v>
      </c>
      <c r="V39" s="15">
        <f>IF(ISNA(VLOOKUP(A39,'Données projet'!$A$35:$I$55,4,0)),0,VLOOKUP(A39,'Données projet'!$A$35:$I$55,4,0))</f>
        <v>78</v>
      </c>
      <c r="W39" s="16">
        <f>IF(ISNA(VLOOKUP(A39,'Données projet'!$A$35:$I$55,5,0)),0%,VLOOKUP(A39,'Données projet'!$A$35:$I$55,5,0)*VLOOKUP('Données projet'!$B$9,Paramètres!$A$1:$I$89,7,0))</f>
        <v>0.27500000000000002</v>
      </c>
      <c r="X39" s="16">
        <f>IF(ISNA(VLOOKUP(A39,'Données projet'!$A$35:$I$55,6,0)),0%,VLOOKUP(A39,'Données projet'!$A$35:$I$55,6,0)*VLOOKUP('Données projet'!$B$9,Paramètres!$A$1:$I$89,7,0))</f>
        <v>0.27500000000000002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29.649177369025573</v>
      </c>
      <c r="AA39" s="21">
        <f>EXP(-LN(2)/25)*AA38+(1-EXP(-LN(2)/25))/(LN(2)/25)*Calculateur!V39*Calculateur!X39*VLOOKUP('Données projet'!$B$9,Paramètres!$A$1:$I$89,3,0)*0.475*44/12</f>
        <v>59.892992760906345</v>
      </c>
      <c r="AB39" s="21">
        <f>EXP(-LN(2)/2)*AB38+(1-EXP(-LN(2)/2))/(LN(2)/2)*V39*Y39*VLOOKUP('Données projet'!$B$9,Paramètres!$A$1:$I$89,3,0)*0.475*44/12</f>
        <v>1.0844585851133504</v>
      </c>
      <c r="AC39" s="22">
        <f t="shared" si="3"/>
        <v>90.626628715045271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262.57692307692309</v>
      </c>
      <c r="AG39" s="12">
        <f>VLOOKUP(A39,'Données projet'!$A$61:$I$81,9,0)</f>
        <v>14.319230769230776</v>
      </c>
      <c r="AH39" s="12">
        <f t="array" ref="AH39">INDEX(AG:AG,MIN(IF(ISNUMBER(AG39:AG235),ROW(AG39:AG235),"")))</f>
        <v>14.319230769230776</v>
      </c>
      <c r="AI39" s="13">
        <f>IF('Données projet'!$A$62&gt;35,AI38+AH39-AQ38,IF(A39&lt;'Données projet'!$A$62,$AF$205^A39,IF(A39='Données projet'!$A$62,'Données projet'!$B$62,AI38+AH39-AQ38)))</f>
        <v>262.57692307692315</v>
      </c>
      <c r="AJ39" s="13">
        <f>AI39*VLOOKUP('Données projet'!$B$10,Paramètres!$A$1:$I$89,3,0)*VLOOKUP('Données projet'!$B$10,Paramètres!$A$1:$I$89,5,0)</f>
        <v>157.02100000000007</v>
      </c>
      <c r="AK39" s="13">
        <f t="shared" si="35"/>
        <v>40.169860444278903</v>
      </c>
      <c r="AL39" s="20">
        <f t="shared" si="4"/>
        <v>343.44074860711925</v>
      </c>
      <c r="AM39" s="59">
        <f t="shared" si="5"/>
        <v>636.77408194045256</v>
      </c>
      <c r="AN39" s="59">
        <f ca="1">AVERAGE(OFFSET($AM$3,0,0,'Données projet'!$E$10+1,1))-AVERAGE(OFFSET($H$3,0,0,'Données projet'!$E$10+1,1))</f>
        <v>200.14675249215634</v>
      </c>
      <c r="AO39" s="59">
        <f t="shared" si="36"/>
        <v>200.55017434999968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64.553846153846152</v>
      </c>
      <c r="AR39" s="16">
        <f>IF(ISNA(VLOOKUP(A39,'Données projet'!$A$61:$I$81,5,0)),0%,VLOOKUP(A39,'Données projet'!$A$61:$I$81,5,0)*VLOOKUP('Données projet'!$B$10,Paramètres!$A$1:$I$89,7,0))</f>
        <v>0.315</v>
      </c>
      <c r="AS39" s="16">
        <f>IF(ISNA(VLOOKUP(A39,'Données projet'!$A$61:$I$81,6,0)),0%,VLOOKUP(A39,'Données projet'!$A$61:$I$81,6,0)*VLOOKUP('Données projet'!$B$10,Paramètres!$A$1:$I$89,7,0))</f>
        <v>7.5600000000000001E-2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26.499205403863257</v>
      </c>
      <c r="AV39" s="21">
        <f>EXP(-LN(2)/25)*AV38+(1-EXP(-LN(2)/25))/(LN(2)/25)*Calculateur!AQ39*Calculateur!AS39*VLOOKUP('Données projet'!$B$10,Paramètres!$A$1:$I$89,3,0)*0.475*44/12</f>
        <v>18.661777774342958</v>
      </c>
      <c r="AW39" s="21">
        <f>EXP(-LN(2)/2)*AW38+(1-EXP(-LN(2)/2))/(LN(2)/2)*AQ39*AT39*VLOOKUP('Données projet'!$B$10,Paramètres!$A$1:$I$89,3,0)*0.475*44/12</f>
        <v>6.3413214339872948</v>
      </c>
      <c r="AX39" s="21">
        <f t="shared" si="6"/>
        <v>51.502304612193512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187.88461538461539</v>
      </c>
      <c r="BB39" s="12">
        <f>VLOOKUP(A39,'Données projet'!$A$87:$I$107,9,0)</f>
        <v>9.9692307692307711</v>
      </c>
      <c r="BC39" s="12">
        <f t="array" ref="BC39">INDEX(BB:BB,MIN(IF(ISNUMBER(BB39:BB235),ROW(BB39:BB235),"")))</f>
        <v>9.9692307692307711</v>
      </c>
      <c r="BD39" s="12">
        <f>IF('Données projet'!$A$88&gt;35,BD38+BC39-BL38,IF(A39&lt;'Données projet'!$A$88,$BA$205^A39,IF(A39='Données projet'!$A$88,'Données projet'!$B$88,BD38+BC39-BL38)))</f>
        <v>187.88461538461533</v>
      </c>
      <c r="BE39" s="13">
        <f>BD39*VLOOKUP('Données projet'!$B$11,Paramètres!$A$1:$I$89,3,0)*VLOOKUP('Données projet'!$B$11,Paramètres!$A$1:$I$89,5,0)</f>
        <v>107.46999999999998</v>
      </c>
      <c r="BF39" s="13">
        <f t="shared" si="37"/>
        <v>28.734092002451103</v>
      </c>
      <c r="BG39" s="20">
        <f t="shared" si="7"/>
        <v>237.22212690426895</v>
      </c>
      <c r="BH39" s="59">
        <f t="shared" si="8"/>
        <v>530.55546023760223</v>
      </c>
      <c r="BI39" s="59">
        <f ca="1">AVERAGE(OFFSET($BH$3,0,0,'Données projet'!$E$11+1,1))-AVERAGE(OFFSET($H$3,0,0,'Données projet'!$E$11+1,1))</f>
        <v>182.46132340647313</v>
      </c>
      <c r="BJ39" s="59">
        <f t="shared" si="38"/>
        <v>130.51706975490481</v>
      </c>
      <c r="BK39" s="15">
        <f>IF(ISNA(VLOOKUP(A39,'Données projet'!$A$87:$I$107,3,0)),0,VLOOKUP(A39,'Données projet'!$A$87:$I$107,3,0))</f>
        <v>3</v>
      </c>
      <c r="BL39" s="15">
        <f>IF(ISNA(VLOOKUP(A39,'Données projet'!$A$87:$I$107,4,0)),0,VLOOKUP(A39,'Données projet'!$A$87:$I$107,4,0))</f>
        <v>40.184615384615384</v>
      </c>
      <c r="BM39" s="16">
        <f>IF(ISNA(VLOOKUP(A39,'Données projet'!$A$87:$I$107,5,0)),0%,VLOOKUP(A39,'Données projet'!$A$87:$I$107,5,0)*VLOOKUP('Données projet'!$B$11,Paramètres!$A$1:$I$89,7,0))</f>
        <v>0.315</v>
      </c>
      <c r="BN39" s="16">
        <f>IF(ISNA(VLOOKUP(A39,'Données projet'!$A$87:$I$107,6,0)),0%,VLOOKUP(A39,'Données projet'!$A$87:$I$107,6,0)*VLOOKUP('Données projet'!$B$11,Paramètres!$A$1:$I$89,7,0))</f>
        <v>7.6500000000000012E-2</v>
      </c>
      <c r="BO39" s="16">
        <f>IF(ISNA(VLOOKUP(A39,'Données projet'!$A$87:$I$107,7,0)),0%,VLOOKUP(A39,'Données projet'!$A$87:$I$107,7,0))</f>
        <v>0.13</v>
      </c>
      <c r="BP39" s="21">
        <f>EXP(-LN(2)/35)*BP38+(1-EXP(-LN(2)/35))/(LN(2)/35)*BL39*BM39*VLOOKUP('Données projet'!$B$11,Paramètres!$A$1:$I$89,3,0)*0.475*44/12</f>
        <v>9.6049421832895945</v>
      </c>
      <c r="BQ39" s="21">
        <f>EXP(-LN(2)/25)*BQ38+(1-EXP(-LN(2)/25))/(LN(2)/25)*Calculateur!BL39*Calculateur!BN39*VLOOKUP('Données projet'!$B$11,Paramètres!$A$1:$I$89,3,0)*0.475*44/12</f>
        <v>14.723065971540759</v>
      </c>
      <c r="BR39" s="21">
        <f>EXP(-LN(2)/2)*BR38+(1-EXP(-LN(2)/2))/(LN(2)/2)*BL39*BO39*VLOOKUP('Données projet'!$B$11,Paramètres!$A$1:$I$89,3,0)*0.475*44/12</f>
        <v>4.3108825682259972</v>
      </c>
      <c r="BS39" s="22">
        <f t="shared" si="9"/>
        <v>28.638890723056349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25.4</v>
      </c>
      <c r="BY39" s="12">
        <f>IF('Données projet'!$A$114&gt;35,BY38+BX39-CG38,IF(A39&lt;'Données projet'!$A$114,$BV$205^A39,IF(A39='Données projet'!$A$114,'Données projet'!$B$114,BY38+BX39-CG38)))</f>
        <v>338.40000000000003</v>
      </c>
      <c r="BZ39" s="13">
        <f>BY39*VLOOKUP('Données projet'!$B$12,Paramètres!$A$1:$I$89,3,0)*VLOOKUP('Données projet'!$B$12,Paramètres!$A$1:$I$89,5,0)</f>
        <v>136.37520000000001</v>
      </c>
      <c r="CA39" s="13">
        <f t="shared" si="39"/>
        <v>35.465351191684015</v>
      </c>
      <c r="CB39" s="20">
        <f t="shared" si="10"/>
        <v>299.28895999218298</v>
      </c>
      <c r="CC39" s="59">
        <f t="shared" si="11"/>
        <v>592.62229332551624</v>
      </c>
      <c r="CD39" s="59">
        <f ca="1">AVERAGE(OFFSET($CC$3,0,0,'Données projet'!$E$12+1,1))-AVERAGE(OFFSET($H$3,0,0,'Données projet'!$E$12+1,1))</f>
        <v>291.0962681460345</v>
      </c>
      <c r="CE39" s="59">
        <f t="shared" si="40"/>
        <v>240.28311826371385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0.28826720353414281</v>
      </c>
      <c r="CL39" s="21">
        <f>EXP(-LN(2)/25)*CL38+(1-EXP(-LN(2)/25))/(LN(2)/25)*Calculateur!CG39*Calculateur!CI39*VLOOKUP('Données projet'!$B$12,Paramètres!$A$1:$I$89,3,0)*0.475*44/12</f>
        <v>5.8388760384558029</v>
      </c>
      <c r="CM39" s="21">
        <f>EXP(-LN(2)/2)*CM38+(1-EXP(-LN(2)/2))/(LN(2)/2)*CG39*CJ39*VLOOKUP('Données projet'!$B$12,Paramètres!$A$1:$I$89,3,0)*0.475*44/12</f>
        <v>9.8372821478843573</v>
      </c>
      <c r="CN39" s="22">
        <f t="shared" si="12"/>
        <v>15.964425389874304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15.719999999999994</v>
      </c>
      <c r="CT39" s="12">
        <f>IF('Données projet'!$A$140&gt;35,CT38+CS39-DB38,IF(A39&lt;'Données projet'!$A$140,$CQ$205^A39,IF(A39='Données projet'!$A$140,'Données projet'!$B$140,CT38+CS39-DB38)))</f>
        <v>365.11999999999995</v>
      </c>
      <c r="CU39" s="17">
        <f>CT39*VLOOKUP('Données projet'!$B$13,Paramètres!$A$1:$I$89,3,0)*VLOOKUP('Données projet'!$B$13,Paramètres!$A$1:$I$89,5,0)</f>
        <v>170.87616</v>
      </c>
      <c r="CV39" s="13">
        <f t="shared" si="41"/>
        <v>43.286195531301551</v>
      </c>
      <c r="CW39" s="20">
        <f t="shared" si="13"/>
        <v>372.99943588368359</v>
      </c>
      <c r="CX39" s="59">
        <f t="shared" si="14"/>
        <v>666.3327692170169</v>
      </c>
      <c r="CY39" s="59">
        <f ca="1">AVERAGE(OFFSET($CX$3,0,0,'Données projet'!$E$13+1,1))-AVERAGE(OFFSET($H$3,0,0,'Données projet'!$E$13+1,1))</f>
        <v>225.92546546283018</v>
      </c>
      <c r="CZ39" s="59">
        <f t="shared" si="42"/>
        <v>309.38786160614563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15.27284112316247</v>
      </c>
      <c r="DG39" s="21">
        <f>EXP(-LN(2)/25)*DG38+(1-EXP(-LN(2)/25))/(LN(2)/25)*Calculateur!DB39*Calculateur!DD39*VLOOKUP('Données projet'!$B$13,Paramètres!$A$1:$I$89,3,0)*0.475*44/12</f>
        <v>26.962787384054888</v>
      </c>
      <c r="DH39" s="21">
        <f>EXP(-LN(2)/2)*DH38+(1-EXP(-LN(2)/2))/(LN(2)/2)*DB39*DE39*VLOOKUP('Données projet'!$B$13,Paramètres!$A$1:$I$89,3,0)*0.475*44/12</f>
        <v>0.30108297165936554</v>
      </c>
      <c r="DI39" s="22">
        <f t="shared" si="15"/>
        <v>42.536711478876725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4.8</v>
      </c>
      <c r="DO39" s="12">
        <f>IF('Données projet'!$A$166&gt;35,DO38+DN39-DW38,IF(A39&lt;'Données projet'!$A$166,$DL$205^A39,IF(A39='Données projet'!$A$166,'Données projet'!$B$166,DO38+DN39-DW38)))</f>
        <v>84.799999999999983</v>
      </c>
      <c r="DP39" s="17">
        <f>DO39*VLOOKUP('Données projet'!$B$14,Paramètres!$A$1:$I$89,3,0)*VLOOKUP('Données projet'!$B$14,Paramètres!$A$1:$I$89,5,0)</f>
        <v>74.081279999999992</v>
      </c>
      <c r="DQ39" s="13">
        <f t="shared" si="43"/>
        <v>20.683616446561601</v>
      </c>
      <c r="DR39" s="20">
        <f t="shared" si="16"/>
        <v>165.04886131109478</v>
      </c>
      <c r="DS39" s="59">
        <f t="shared" si="17"/>
        <v>458.38219464442807</v>
      </c>
      <c r="DT39" s="59">
        <f ca="1">AVERAGE(OFFSET($DS$3,0,0,'Données projet'!$E$14+1,1))-AVERAGE(OFFSET($H$3,0,0,'Données projet'!$E$14+1,1))</f>
        <v>150.06600397498823</v>
      </c>
      <c r="DU39" s="59">
        <f t="shared" si="44"/>
        <v>170.53034305929714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36</v>
      </c>
      <c r="N40" s="13">
        <f>IF('Données projet'!$A$36&gt;35,N39+M40-V39,IF(A40&lt;'Données projet'!$A$36,$K$205^A40,IF(A40='Données projet'!$A$36,'Données projet'!$B$36,N39+M40-V39)))</f>
        <v>586</v>
      </c>
      <c r="O40" s="13">
        <f>N40*VLOOKUP('Données projet'!$B$9,Paramètres!$A$1:$I$89,3,0)*VLOOKUP('Données projet'!$B$9,Paramètres!$A$1:$I$89,5,0)</f>
        <v>274.24799999999999</v>
      </c>
      <c r="P40" s="13">
        <f t="shared" si="33"/>
        <v>65.749981378063481</v>
      </c>
      <c r="Q40" s="20">
        <f t="shared" si="53"/>
        <v>592.16315090012722</v>
      </c>
      <c r="R40" s="59">
        <f t="shared" si="0"/>
        <v>885.49648423346048</v>
      </c>
      <c r="S40" s="59">
        <f ca="1">AVERAGE(OFFSET($R$3,0,0,'Données projet'!$E$9+1,1))-AVERAGE(OFFSET($H$3,0,0,'Données projet'!$E$9+1,1))</f>
        <v>294.94285920643927</v>
      </c>
      <c r="T40" s="59">
        <f t="shared" si="34"/>
        <v>399.89535338426606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29.06777508503151</v>
      </c>
      <c r="AA40" s="21">
        <f>EXP(-LN(2)/25)*AA39+(1-EXP(-LN(2)/25))/(LN(2)/25)*Calculateur!V40*Calculateur!X40*VLOOKUP('Données projet'!$B$9,Paramètres!$A$1:$I$89,3,0)*0.475*44/12</f>
        <v>58.25521572422376</v>
      </c>
      <c r="AB40" s="21">
        <f>EXP(-LN(2)/2)*AB39+(1-EXP(-LN(2)/2))/(LN(2)/2)*V40*Y40*VLOOKUP('Données projet'!$B$9,Paramètres!$A$1:$I$89,3,0)*0.475*44/12</f>
        <v>0.76682801944961876</v>
      </c>
      <c r="AC40" s="22">
        <f t="shared" si="3"/>
        <v>88.089818828704892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13.14134615384615</v>
      </c>
      <c r="AI40" s="13">
        <f>IF('Données projet'!$A$62&gt;35,AI39+AH40-AQ39,IF(A40&lt;'Données projet'!$A$62,$AF$205^A40,IF(A40='Données projet'!$A$62,'Données projet'!$B$62,AI39+AH40-AQ39)))</f>
        <v>211.16442307692313</v>
      </c>
      <c r="AJ40" s="13">
        <f>AI40*VLOOKUP('Données projet'!$B$10,Paramètres!$A$1:$I$89,3,0)*VLOOKUP('Données projet'!$B$10,Paramètres!$A$1:$I$89,5,0)</f>
        <v>126.27632500000004</v>
      </c>
      <c r="AK40" s="13">
        <f t="shared" si="35"/>
        <v>33.134477451871625</v>
      </c>
      <c r="AL40" s="20">
        <f t="shared" si="4"/>
        <v>277.64048093700984</v>
      </c>
      <c r="AM40" s="59">
        <f t="shared" si="5"/>
        <v>570.97381427034315</v>
      </c>
      <c r="AN40" s="59">
        <f ca="1">AVERAGE(OFFSET($AM$3,0,0,'Données projet'!$E$10+1,1))-AVERAGE(OFFSET($H$3,0,0,'Données projet'!$E$10+1,1))</f>
        <v>200.14675249215634</v>
      </c>
      <c r="AO40" s="59">
        <f t="shared" si="36"/>
        <v>200.55017434999968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25.979572148812839</v>
      </c>
      <c r="AV40" s="21">
        <f>EXP(-LN(2)/25)*AV39+(1-EXP(-LN(2)/25))/(LN(2)/25)*Calculateur!AQ40*Calculateur!AS40*VLOOKUP('Données projet'!$B$10,Paramètres!$A$1:$I$89,3,0)*0.475*44/12</f>
        <v>18.151470479723308</v>
      </c>
      <c r="AW40" s="21">
        <f>EXP(-LN(2)/2)*AW39+(1-EXP(-LN(2)/2))/(LN(2)/2)*AQ40*AT40*VLOOKUP('Données projet'!$B$10,Paramètres!$A$1:$I$89,3,0)*0.475*44/12</f>
        <v>4.483991387656018</v>
      </c>
      <c r="AX40" s="21">
        <f t="shared" si="6"/>
        <v>48.615034016192169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9.2500000000000036</v>
      </c>
      <c r="BD40" s="12">
        <f>IF('Données projet'!$A$88&gt;35,BD39+BC40-BL39,IF(A40&lt;'Données projet'!$A$88,$BA$205^A40,IF(A40='Données projet'!$A$88,'Données projet'!$B$88,BD39+BC40-BL39)))</f>
        <v>156.94999999999993</v>
      </c>
      <c r="BE40" s="13">
        <f>BD40*VLOOKUP('Données projet'!$B$11,Paramètres!$A$1:$I$89,3,0)*VLOOKUP('Données projet'!$B$11,Paramètres!$A$1:$I$89,5,0)</f>
        <v>89.775399999999962</v>
      </c>
      <c r="BF40" s="13">
        <f t="shared" si="37"/>
        <v>24.511049007501153</v>
      </c>
      <c r="BG40" s="20">
        <f t="shared" si="7"/>
        <v>199.04889868806444</v>
      </c>
      <c r="BH40" s="59">
        <f t="shared" si="8"/>
        <v>492.38223202139773</v>
      </c>
      <c r="BI40" s="59">
        <f ca="1">AVERAGE(OFFSET($BH$3,0,0,'Données projet'!$E$11+1,1))-AVERAGE(OFFSET($H$3,0,0,'Données projet'!$E$11+1,1))</f>
        <v>182.46132340647313</v>
      </c>
      <c r="BJ40" s="59">
        <f t="shared" si="38"/>
        <v>130.51706975490481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9.4165951255115452</v>
      </c>
      <c r="BQ40" s="21">
        <f>EXP(-LN(2)/25)*BQ39+(1-EXP(-LN(2)/25))/(LN(2)/25)*Calculateur!BL40*Calculateur!BN40*VLOOKUP('Données projet'!$B$11,Paramètres!$A$1:$I$89,3,0)*0.475*44/12</f>
        <v>14.320462958296588</v>
      </c>
      <c r="BR40" s="21">
        <f>EXP(-LN(2)/2)*BR39+(1-EXP(-LN(2)/2))/(LN(2)/2)*BL40*BO40*VLOOKUP('Données projet'!$B$11,Paramètres!$A$1:$I$89,3,0)*0.475*44/12</f>
        <v>3.0482542968914825</v>
      </c>
      <c r="BS40" s="22">
        <f t="shared" si="9"/>
        <v>26.785312380699615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25.4</v>
      </c>
      <c r="BY40" s="12">
        <f>IF('Données projet'!$A$114&gt;35,BY39+BX40-CG39,IF(A40&lt;'Données projet'!$A$114,$BV$205^A40,IF(A40='Données projet'!$A$114,'Données projet'!$B$114,BY39+BX40-CG39)))</f>
        <v>363.8</v>
      </c>
      <c r="BZ40" s="13">
        <f>BY40*VLOOKUP('Données projet'!$B$12,Paramètres!$A$1:$I$89,3,0)*VLOOKUP('Données projet'!$B$12,Paramètres!$A$1:$I$89,5,0)</f>
        <v>146.6114</v>
      </c>
      <c r="CA40" s="13">
        <f t="shared" si="39"/>
        <v>37.807493024386687</v>
      </c>
      <c r="CB40" s="20">
        <f t="shared" si="10"/>
        <v>321.19623868414016</v>
      </c>
      <c r="CC40" s="59">
        <f t="shared" si="11"/>
        <v>614.52957201747347</v>
      </c>
      <c r="CD40" s="59">
        <f ca="1">AVERAGE(OFFSET($CC$3,0,0,'Données projet'!$E$12+1,1))-AVERAGE(OFFSET($H$3,0,0,'Données projet'!$E$12+1,1))</f>
        <v>291.0962681460345</v>
      </c>
      <c r="CE40" s="59">
        <f t="shared" si="40"/>
        <v>240.28311826371385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0.28261445949847108</v>
      </c>
      <c r="CL40" s="21">
        <f>EXP(-LN(2)/25)*CL39+(1-EXP(-LN(2)/25))/(LN(2)/25)*Calculateur!CG40*Calculateur!CI40*VLOOKUP('Données projet'!$B$12,Paramètres!$A$1:$I$89,3,0)*0.475*44/12</f>
        <v>5.6792116661310832</v>
      </c>
      <c r="CM40" s="21">
        <f>EXP(-LN(2)/2)*CM39+(1-EXP(-LN(2)/2))/(LN(2)/2)*CG40*CJ40*VLOOKUP('Données projet'!$B$12,Paramètres!$A$1:$I$89,3,0)*0.475*44/12</f>
        <v>6.9560089152143947</v>
      </c>
      <c r="CN40" s="22">
        <f t="shared" si="12"/>
        <v>12.917835040843949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15.719999999999994</v>
      </c>
      <c r="CT40" s="12">
        <f>IF('Données projet'!$A$140&gt;35,CT39+CS40-DB39,IF(A40&lt;'Données projet'!$A$140,$CQ$205^A40,IF(A40='Données projet'!$A$140,'Données projet'!$B$140,CT39+CS40-DB39)))</f>
        <v>380.83999999999992</v>
      </c>
      <c r="CU40" s="17">
        <f>CT40*VLOOKUP('Données projet'!$B$13,Paramètres!$A$1:$I$89,3,0)*VLOOKUP('Données projet'!$B$13,Paramètres!$A$1:$I$89,5,0)</f>
        <v>178.23311999999996</v>
      </c>
      <c r="CV40" s="13">
        <f t="shared" si="41"/>
        <v>44.928862521204351</v>
      </c>
      <c r="CW40" s="20">
        <f t="shared" si="13"/>
        <v>388.67378622443084</v>
      </c>
      <c r="CX40" s="59">
        <f t="shared" si="14"/>
        <v>682.0071195577641</v>
      </c>
      <c r="CY40" s="59">
        <f ca="1">AVERAGE(OFFSET($CX$3,0,0,'Données projet'!$E$13+1,1))-AVERAGE(OFFSET($H$3,0,0,'Données projet'!$E$13+1,1))</f>
        <v>225.92546546283018</v>
      </c>
      <c r="CZ40" s="59">
        <f t="shared" si="42"/>
        <v>309.38786160614563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14.973350024250509</v>
      </c>
      <c r="DG40" s="21">
        <f>EXP(-LN(2)/25)*DG39+(1-EXP(-LN(2)/25))/(LN(2)/25)*Calculateur!DB40*Calculateur!DD40*VLOOKUP('Données projet'!$B$13,Paramètres!$A$1:$I$89,3,0)*0.475*44/12</f>
        <v>26.225488545126542</v>
      </c>
      <c r="DH40" s="21">
        <f>EXP(-LN(2)/2)*DH39+(1-EXP(-LN(2)/2))/(LN(2)/2)*DB40*DE40*VLOOKUP('Données projet'!$B$13,Paramètres!$A$1:$I$89,3,0)*0.475*44/12</f>
        <v>0.21289781096013449</v>
      </c>
      <c r="DI40" s="22">
        <f t="shared" si="15"/>
        <v>41.411736380337189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4.8</v>
      </c>
      <c r="DO40" s="12">
        <f>IF('Données projet'!$A$166&gt;35,DO39+DN40-DW39,IF(A40&lt;'Données projet'!$A$166,$DL$205^A40,IF(A40='Données projet'!$A$166,'Données projet'!$B$166,DO39+DN40-DW39)))</f>
        <v>89.59999999999998</v>
      </c>
      <c r="DP40" s="17">
        <f>DO40*VLOOKUP('Données projet'!$B$14,Paramètres!$A$1:$I$89,3,0)*VLOOKUP('Données projet'!$B$14,Paramètres!$A$1:$I$89,5,0)</f>
        <v>78.274559999999994</v>
      </c>
      <c r="DQ40" s="13">
        <f t="shared" si="43"/>
        <v>21.714771212170209</v>
      </c>
      <c r="DR40" s="20">
        <f t="shared" si="16"/>
        <v>174.14808519452978</v>
      </c>
      <c r="DS40" s="59">
        <f t="shared" si="17"/>
        <v>467.48141852786307</v>
      </c>
      <c r="DT40" s="59">
        <f ca="1">AVERAGE(OFFSET($DS$3,0,0,'Données projet'!$E$14+1,1))-AVERAGE(OFFSET($H$3,0,0,'Données projet'!$E$14+1,1))</f>
        <v>150.06600397498823</v>
      </c>
      <c r="DU40" s="59">
        <f t="shared" si="44"/>
        <v>170.53034305929714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36</v>
      </c>
      <c r="N41" s="13">
        <f>IF('Données projet'!$A$36&gt;35,N40+M41-V40,IF(A41&lt;'Données projet'!$A$36,$K$205^A41,IF(A41='Données projet'!$A$36,'Données projet'!$B$36,N40+M41-V40)))</f>
        <v>622</v>
      </c>
      <c r="O41" s="13">
        <f>N41*VLOOKUP('Données projet'!$B$9,Paramètres!$A$1:$I$89,3,0)*VLOOKUP('Données projet'!$B$9,Paramètres!$A$1:$I$89,5,0)</f>
        <v>291.096</v>
      </c>
      <c r="P41" s="13">
        <f t="shared" si="33"/>
        <v>69.306582531434373</v>
      </c>
      <c r="Q41" s="20">
        <f t="shared" si="53"/>
        <v>627.70116457558152</v>
      </c>
      <c r="R41" s="59">
        <f t="shared" si="0"/>
        <v>921.03449790891477</v>
      </c>
      <c r="S41" s="59">
        <f ca="1">AVERAGE(OFFSET($R$3,0,0,'Données projet'!$E$9+1,1))-AVERAGE(OFFSET($H$3,0,0,'Données projet'!$E$9+1,1))</f>
        <v>294.94285920643927</v>
      </c>
      <c r="T41" s="59">
        <f t="shared" si="34"/>
        <v>399.89535338426606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28.497773745206192</v>
      </c>
      <c r="AA41" s="21">
        <f>EXP(-LN(2)/25)*AA40+(1-EXP(-LN(2)/25))/(LN(2)/25)*Calculateur!V41*Calculateur!X41*VLOOKUP('Données projet'!$B$9,Paramètres!$A$1:$I$89,3,0)*0.475*44/12</f>
        <v>56.662223786736213</v>
      </c>
      <c r="AB41" s="21">
        <f>EXP(-LN(2)/2)*AB40+(1-EXP(-LN(2)/2))/(LN(2)/2)*V41*Y41*VLOOKUP('Données projet'!$B$9,Paramètres!$A$1:$I$89,3,0)*0.475*44/12</f>
        <v>0.54222929255667518</v>
      </c>
      <c r="AC41" s="22">
        <f t="shared" si="3"/>
        <v>85.702226824499078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13.14134615384615</v>
      </c>
      <c r="AI41" s="13">
        <f>IF('Données projet'!$A$62&gt;35,AI40+AH41-AQ40,IF(A41&lt;'Données projet'!$A$62,$AF$205^A41,IF(A41='Données projet'!$A$62,'Données projet'!$B$62,AI40+AH41-AQ40)))</f>
        <v>224.30576923076927</v>
      </c>
      <c r="AJ41" s="13">
        <f>AI41*VLOOKUP('Données projet'!$B$10,Paramètres!$A$1:$I$89,3,0)*VLOOKUP('Données projet'!$B$10,Paramètres!$A$1:$I$89,5,0)</f>
        <v>134.13485000000003</v>
      </c>
      <c r="AK41" s="13">
        <f t="shared" si="35"/>
        <v>34.950053695803156</v>
      </c>
      <c r="AL41" s="20">
        <f t="shared" si="4"/>
        <v>294.48954060352389</v>
      </c>
      <c r="AM41" s="59">
        <f t="shared" si="5"/>
        <v>587.82287393685715</v>
      </c>
      <c r="AN41" s="59">
        <f ca="1">AVERAGE(OFFSET($AM$3,0,0,'Données projet'!$E$10+1,1))-AVERAGE(OFFSET($H$3,0,0,'Données projet'!$E$10+1,1))</f>
        <v>200.14675249215634</v>
      </c>
      <c r="AO41" s="59">
        <f t="shared" si="36"/>
        <v>200.55017434999968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25.47012858494897</v>
      </c>
      <c r="AV41" s="21">
        <f>EXP(-LN(2)/25)*AV40+(1-EXP(-LN(2)/25))/(LN(2)/25)*Calculateur!AQ41*Calculateur!AS41*VLOOKUP('Données projet'!$B$10,Paramètres!$A$1:$I$89,3,0)*0.475*44/12</f>
        <v>17.655117564910928</v>
      </c>
      <c r="AW41" s="21">
        <f>EXP(-LN(2)/2)*AW40+(1-EXP(-LN(2)/2))/(LN(2)/2)*AQ41*AT41*VLOOKUP('Données projet'!$B$10,Paramètres!$A$1:$I$89,3,0)*0.475*44/12</f>
        <v>3.1706607169936478</v>
      </c>
      <c r="AX41" s="21">
        <f t="shared" si="6"/>
        <v>46.295906866853542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9.2500000000000036</v>
      </c>
      <c r="BD41" s="12">
        <f>IF('Données projet'!$A$88&gt;35,BD40+BC41-BL40,IF(A41&lt;'Données projet'!$A$88,$BA$205^A41,IF(A41='Données projet'!$A$88,'Données projet'!$B$88,BD40+BC41-BL40)))</f>
        <v>166.19999999999993</v>
      </c>
      <c r="BE41" s="13">
        <f>BD41*VLOOKUP('Données projet'!$B$11,Paramètres!$A$1:$I$89,3,0)*VLOOKUP('Données projet'!$B$11,Paramètres!$A$1:$I$89,5,0)</f>
        <v>95.066399999999973</v>
      </c>
      <c r="BF41" s="13">
        <f t="shared" si="37"/>
        <v>25.783196868469933</v>
      </c>
      <c r="BG41" s="20">
        <f t="shared" si="7"/>
        <v>210.47971454591837</v>
      </c>
      <c r="BH41" s="59">
        <f t="shared" si="8"/>
        <v>503.81304787925171</v>
      </c>
      <c r="BI41" s="59">
        <f ca="1">AVERAGE(OFFSET($BH$3,0,0,'Données projet'!$E$11+1,1))-AVERAGE(OFFSET($H$3,0,0,'Données projet'!$E$11+1,1))</f>
        <v>182.46132340647313</v>
      </c>
      <c r="BJ41" s="59">
        <f t="shared" si="38"/>
        <v>130.51706975490481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9.2319414386561611</v>
      </c>
      <c r="BQ41" s="21">
        <f>EXP(-LN(2)/25)*BQ40+(1-EXP(-LN(2)/25))/(LN(2)/25)*Calculateur!BL41*Calculateur!BN41*VLOOKUP('Données projet'!$B$11,Paramètres!$A$1:$I$89,3,0)*0.475*44/12</f>
        <v>13.928869145621551</v>
      </c>
      <c r="BR41" s="21">
        <f>EXP(-LN(2)/2)*BR40+(1-EXP(-LN(2)/2))/(LN(2)/2)*BL41*BO41*VLOOKUP('Données projet'!$B$11,Paramètres!$A$1:$I$89,3,0)*0.475*44/12</f>
        <v>2.1554412841129991</v>
      </c>
      <c r="BS41" s="22">
        <f t="shared" si="9"/>
        <v>25.316251868390712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25.4</v>
      </c>
      <c r="BY41" s="12">
        <f>IF('Données projet'!$A$114&gt;35,BY40+BX41-CG40,IF(A41&lt;'Données projet'!$A$114,$BV$205^A41,IF(A41='Données projet'!$A$114,'Données projet'!$B$114,BY40+BX41-CG40)))</f>
        <v>389.2</v>
      </c>
      <c r="BZ41" s="13">
        <f>BY41*VLOOKUP('Données projet'!$B$12,Paramètres!$A$1:$I$89,3,0)*VLOOKUP('Données projet'!$B$12,Paramètres!$A$1:$I$89,5,0)</f>
        <v>156.8476</v>
      </c>
      <c r="CA41" s="13">
        <f t="shared" si="39"/>
        <v>40.13066141543748</v>
      </c>
      <c r="CB41" s="20">
        <f t="shared" si="10"/>
        <v>343.07047196522029</v>
      </c>
      <c r="CC41" s="59">
        <f t="shared" si="11"/>
        <v>636.40380529855361</v>
      </c>
      <c r="CD41" s="59">
        <f ca="1">AVERAGE(OFFSET($CC$3,0,0,'Données projet'!$E$12+1,1))-AVERAGE(OFFSET($H$3,0,0,'Données projet'!$E$12+1,1))</f>
        <v>291.0962681460345</v>
      </c>
      <c r="CE41" s="59">
        <f t="shared" si="40"/>
        <v>240.28311826371385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0.27707256232550548</v>
      </c>
      <c r="CL41" s="21">
        <f>EXP(-LN(2)/25)*CL40+(1-EXP(-LN(2)/25))/(LN(2)/25)*Calculateur!CG41*Calculateur!CI41*VLOOKUP('Données projet'!$B$12,Paramètres!$A$1:$I$89,3,0)*0.475*44/12</f>
        <v>5.5239133244639671</v>
      </c>
      <c r="CM41" s="21">
        <f>EXP(-LN(2)/2)*CM40+(1-EXP(-LN(2)/2))/(LN(2)/2)*CG41*CJ41*VLOOKUP('Données projet'!$B$12,Paramètres!$A$1:$I$89,3,0)*0.475*44/12</f>
        <v>4.9186410739421795</v>
      </c>
      <c r="CN41" s="22">
        <f t="shared" si="12"/>
        <v>10.719626960731652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15.719999999999994</v>
      </c>
      <c r="CT41" s="12">
        <f>IF('Données projet'!$A$140&gt;35,CT40+CS41-DB40,IF(A41&lt;'Données projet'!$A$140,$CQ$205^A41,IF(A41='Données projet'!$A$140,'Données projet'!$B$140,CT40+CS41-DB40)))</f>
        <v>396.55999999999989</v>
      </c>
      <c r="CU41" s="17">
        <f>CT41*VLOOKUP('Données projet'!$B$13,Paramètres!$A$1:$I$89,3,0)*VLOOKUP('Données projet'!$B$13,Paramètres!$A$1:$I$89,5,0)</f>
        <v>185.59007999999994</v>
      </c>
      <c r="CV41" s="13">
        <f t="shared" si="41"/>
        <v>46.563653617206747</v>
      </c>
      <c r="CW41" s="20">
        <f t="shared" si="13"/>
        <v>404.33441938330162</v>
      </c>
      <c r="CX41" s="59">
        <f t="shared" si="14"/>
        <v>697.66775271663494</v>
      </c>
      <c r="CY41" s="59">
        <f ca="1">AVERAGE(OFFSET($CX$3,0,0,'Données projet'!$E$13+1,1))-AVERAGE(OFFSET($H$3,0,0,'Données projet'!$E$13+1,1))</f>
        <v>225.92546546283018</v>
      </c>
      <c r="CZ41" s="59">
        <f t="shared" si="42"/>
        <v>309.38786160614563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14.679731763116678</v>
      </c>
      <c r="DG41" s="21">
        <f>EXP(-LN(2)/25)*DG40+(1-EXP(-LN(2)/25))/(LN(2)/25)*Calculateur!DB41*Calculateur!DD41*VLOOKUP('Données projet'!$B$13,Paramètres!$A$1:$I$89,3,0)*0.475*44/12</f>
        <v>25.508351181721554</v>
      </c>
      <c r="DH41" s="21">
        <f>EXP(-LN(2)/2)*DH40+(1-EXP(-LN(2)/2))/(LN(2)/2)*DB41*DE41*VLOOKUP('Données projet'!$B$13,Paramètres!$A$1:$I$89,3,0)*0.475*44/12</f>
        <v>0.1505414858296828</v>
      </c>
      <c r="DI41" s="22">
        <f t="shared" si="15"/>
        <v>40.338624430667913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4.8</v>
      </c>
      <c r="DO41" s="12">
        <f>IF('Données projet'!$A$166&gt;35,DO40+DN41-DW40,IF(A41&lt;'Données projet'!$A$166,$DL$205^A41,IF(A41='Données projet'!$A$166,'Données projet'!$B$166,DO40+DN41-DW40)))</f>
        <v>94.399999999999977</v>
      </c>
      <c r="DP41" s="17">
        <f>DO41*VLOOKUP('Données projet'!$B$14,Paramètres!$A$1:$I$89,3,0)*VLOOKUP('Données projet'!$B$14,Paramètres!$A$1:$I$89,5,0)</f>
        <v>82.467839999999981</v>
      </c>
      <c r="DQ41" s="13">
        <f t="shared" si="43"/>
        <v>22.739512759227473</v>
      </c>
      <c r="DR41" s="20">
        <f t="shared" si="16"/>
        <v>183.23613938898782</v>
      </c>
      <c r="DS41" s="59">
        <f t="shared" si="17"/>
        <v>476.56947272232117</v>
      </c>
      <c r="DT41" s="59">
        <f ca="1">AVERAGE(OFFSET($DS$3,0,0,'Données projet'!$E$14+1,1))-AVERAGE(OFFSET($H$3,0,0,'Données projet'!$E$14+1,1))</f>
        <v>150.06600397498823</v>
      </c>
      <c r="DU41" s="59">
        <f t="shared" si="44"/>
        <v>170.53034305929714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36</v>
      </c>
      <c r="N42" s="13">
        <f>IF('Données projet'!$A$36&gt;35,N41+M42-V41,IF(A42&lt;'Données projet'!$A$36,$K$205^A42,IF(A42='Données projet'!$A$36,'Données projet'!$B$36,N41+M42-V41)))</f>
        <v>658</v>
      </c>
      <c r="O42" s="13">
        <f>N42*VLOOKUP('Données projet'!$B$9,Paramètres!$A$1:$I$89,3,0)*VLOOKUP('Données projet'!$B$9,Paramètres!$A$1:$I$89,5,0)</f>
        <v>307.94400000000002</v>
      </c>
      <c r="P42" s="13">
        <f t="shared" si="33"/>
        <v>72.839289392732184</v>
      </c>
      <c r="Q42" s="20">
        <f t="shared" si="53"/>
        <v>663.19756235900854</v>
      </c>
      <c r="R42" s="59">
        <f t="shared" si="0"/>
        <v>956.5308956923418</v>
      </c>
      <c r="S42" s="59">
        <f ca="1">AVERAGE(OFFSET($R$3,0,0,'Données projet'!$E$9+1,1))-AVERAGE(OFFSET($H$3,0,0,'Données projet'!$E$9+1,1))</f>
        <v>294.94285920643927</v>
      </c>
      <c r="T42" s="59">
        <f t="shared" si="34"/>
        <v>399.89535338426606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27.93894978398836</v>
      </c>
      <c r="AA42" s="21">
        <f>EXP(-LN(2)/25)*AA41+(1-EXP(-LN(2)/25))/(LN(2)/25)*Calculateur!V42*Calculateur!X42*VLOOKUP('Données projet'!$B$9,Paramètres!$A$1:$I$89,3,0)*0.475*44/12</f>
        <v>55.112792297551067</v>
      </c>
      <c r="AB42" s="21">
        <f>EXP(-LN(2)/2)*AB41+(1-EXP(-LN(2)/2))/(LN(2)/2)*V42*Y42*VLOOKUP('Données projet'!$B$9,Paramètres!$A$1:$I$89,3,0)*0.475*44/12</f>
        <v>0.38341400972480938</v>
      </c>
      <c r="AC42" s="22">
        <f t="shared" si="3"/>
        <v>83.435156091264233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13.14134615384615</v>
      </c>
      <c r="AI42" s="13">
        <f>IF('Données projet'!$A$62&gt;35,AI41+AH42-AQ41,IF(A42&lt;'Données projet'!$A$62,$AF$205^A42,IF(A42='Données projet'!$A$62,'Données projet'!$B$62,AI41+AH42-AQ41)))</f>
        <v>237.44711538461542</v>
      </c>
      <c r="AJ42" s="13">
        <f>AI42*VLOOKUP('Données projet'!$B$10,Paramètres!$A$1:$I$89,3,0)*VLOOKUP('Données projet'!$B$10,Paramètres!$A$1:$I$89,5,0)</f>
        <v>141.99337500000004</v>
      </c>
      <c r="AK42" s="13">
        <f t="shared" si="35"/>
        <v>36.753283288028761</v>
      </c>
      <c r="AL42" s="20">
        <f t="shared" si="4"/>
        <v>311.31709651831682</v>
      </c>
      <c r="AM42" s="59">
        <f t="shared" si="5"/>
        <v>604.65042985165019</v>
      </c>
      <c r="AN42" s="59">
        <f ca="1">AVERAGE(OFFSET($AM$3,0,0,'Données projet'!$E$10+1,1))-AVERAGE(OFFSET($H$3,0,0,'Données projet'!$E$10+1,1))</f>
        <v>200.14675249215634</v>
      </c>
      <c r="AO42" s="59">
        <f t="shared" si="36"/>
        <v>200.55017434999968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24.970674898642578</v>
      </c>
      <c r="AV42" s="21">
        <f>EXP(-LN(2)/25)*AV41+(1-EXP(-LN(2)/25))/(LN(2)/25)*Calculateur!AQ42*Calculateur!AS42*VLOOKUP('Données projet'!$B$10,Paramètres!$A$1:$I$89,3,0)*0.475*44/12</f>
        <v>17.172337446656158</v>
      </c>
      <c r="AW42" s="21">
        <f>EXP(-LN(2)/2)*AW41+(1-EXP(-LN(2)/2))/(LN(2)/2)*AQ42*AT42*VLOOKUP('Données projet'!$B$10,Paramètres!$A$1:$I$89,3,0)*0.475*44/12</f>
        <v>2.2419956938280095</v>
      </c>
      <c r="AX42" s="21">
        <f t="shared" si="6"/>
        <v>44.385008039126745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9.2500000000000036</v>
      </c>
      <c r="BD42" s="12">
        <f>IF('Données projet'!$A$88&gt;35,BD41+BC42-BL41,IF(A42&lt;'Données projet'!$A$88,$BA$205^A42,IF(A42='Données projet'!$A$88,'Données projet'!$B$88,BD41+BC42-BL41)))</f>
        <v>175.44999999999993</v>
      </c>
      <c r="BE42" s="13">
        <f>BD42*VLOOKUP('Données projet'!$B$11,Paramètres!$A$1:$I$89,3,0)*VLOOKUP('Données projet'!$B$11,Paramètres!$A$1:$I$89,5,0)</f>
        <v>100.35739999999996</v>
      </c>
      <c r="BF42" s="13">
        <f t="shared" si="37"/>
        <v>27.047125482568308</v>
      </c>
      <c r="BG42" s="20">
        <f t="shared" si="7"/>
        <v>221.89621521547306</v>
      </c>
      <c r="BH42" s="59">
        <f t="shared" si="8"/>
        <v>515.22954854880641</v>
      </c>
      <c r="BI42" s="59">
        <f ca="1">AVERAGE(OFFSET($BH$3,0,0,'Données projet'!$E$11+1,1))-AVERAGE(OFFSET($H$3,0,0,'Données projet'!$E$11+1,1))</f>
        <v>182.46132340647313</v>
      </c>
      <c r="BJ42" s="59">
        <f t="shared" si="38"/>
        <v>130.51706975490481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9.0509086979723836</v>
      </c>
      <c r="BQ42" s="21">
        <f>EXP(-LN(2)/25)*BQ41+(1-EXP(-LN(2)/25))/(LN(2)/25)*Calculateur!BL42*Calculateur!BN42*VLOOKUP('Données projet'!$B$11,Paramètres!$A$1:$I$89,3,0)*0.475*44/12</f>
        <v>13.547983486347135</v>
      </c>
      <c r="BR42" s="21">
        <f>EXP(-LN(2)/2)*BR41+(1-EXP(-LN(2)/2))/(LN(2)/2)*BL42*BO42*VLOOKUP('Données projet'!$B$11,Paramètres!$A$1:$I$89,3,0)*0.475*44/12</f>
        <v>1.5241271484457415</v>
      </c>
      <c r="BS42" s="22">
        <f t="shared" si="9"/>
        <v>24.12301933276526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25.4</v>
      </c>
      <c r="BY42" s="12">
        <f>IF('Données projet'!$A$114&gt;35,BY41+BX42-CG41,IF(A42&lt;'Données projet'!$A$114,$BV$205^A42,IF(A42='Données projet'!$A$114,'Données projet'!$B$114,BY41+BX42-CG41)))</f>
        <v>414.59999999999997</v>
      </c>
      <c r="BZ42" s="13">
        <f>BY42*VLOOKUP('Données projet'!$B$12,Paramètres!$A$1:$I$89,3,0)*VLOOKUP('Données projet'!$B$12,Paramètres!$A$1:$I$89,5,0)</f>
        <v>167.0838</v>
      </c>
      <c r="CA42" s="13">
        <f t="shared" si="39"/>
        <v>42.436235526900973</v>
      </c>
      <c r="CB42" s="20">
        <f t="shared" si="10"/>
        <v>364.91406187601916</v>
      </c>
      <c r="CC42" s="59">
        <f t="shared" si="11"/>
        <v>658.24739520935248</v>
      </c>
      <c r="CD42" s="59">
        <f ca="1">AVERAGE(OFFSET($CC$3,0,0,'Données projet'!$E$12+1,1))-AVERAGE(OFFSET($H$3,0,0,'Données projet'!$E$12+1,1))</f>
        <v>291.0962681460345</v>
      </c>
      <c r="CE42" s="59">
        <f t="shared" si="40"/>
        <v>240.28311826371385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0.27163933837587823</v>
      </c>
      <c r="CL42" s="21">
        <f>EXP(-LN(2)/25)*CL41+(1-EXP(-LN(2)/25))/(LN(2)/25)*Calculateur!CG42*Calculateur!CI42*VLOOKUP('Données projet'!$B$12,Paramètres!$A$1:$I$89,3,0)*0.475*44/12</f>
        <v>5.3728616241165232</v>
      </c>
      <c r="CM42" s="21">
        <f>EXP(-LN(2)/2)*CM41+(1-EXP(-LN(2)/2))/(LN(2)/2)*CG42*CJ42*VLOOKUP('Données projet'!$B$12,Paramètres!$A$1:$I$89,3,0)*0.475*44/12</f>
        <v>3.4780044576071982</v>
      </c>
      <c r="CN42" s="22">
        <f t="shared" si="12"/>
        <v>9.1225054200995999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15.719999999999994</v>
      </c>
      <c r="CT42" s="12">
        <f>IF('Données projet'!$A$140&gt;35,CT41+CS42-DB41,IF(A42&lt;'Données projet'!$A$140,$CQ$205^A42,IF(A42='Données projet'!$A$140,'Données projet'!$B$140,CT41+CS42-DB41)))</f>
        <v>412.27999999999986</v>
      </c>
      <c r="CU42" s="17">
        <f>CT42*VLOOKUP('Données projet'!$B$13,Paramètres!$A$1:$I$89,3,0)*VLOOKUP('Données projet'!$B$13,Paramètres!$A$1:$I$89,5,0)</f>
        <v>192.94703999999996</v>
      </c>
      <c r="CV42" s="13">
        <f t="shared" si="41"/>
        <v>48.190916750652029</v>
      </c>
      <c r="CW42" s="20">
        <f t="shared" si="13"/>
        <v>419.98194134071883</v>
      </c>
      <c r="CX42" s="59">
        <f t="shared" si="14"/>
        <v>713.31527467405215</v>
      </c>
      <c r="CY42" s="59">
        <f ca="1">AVERAGE(OFFSET($CX$3,0,0,'Données projet'!$E$13+1,1))-AVERAGE(OFFSET($H$3,0,0,'Données projet'!$E$13+1,1))</f>
        <v>225.92546546283018</v>
      </c>
      <c r="CZ42" s="59">
        <f t="shared" si="42"/>
        <v>309.38786160614563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14.391871176994226</v>
      </c>
      <c r="DG42" s="21">
        <f>EXP(-LN(2)/25)*DG41+(1-EXP(-LN(2)/25))/(LN(2)/25)*Calculateur!DB42*Calculateur!DD42*VLOOKUP('Données projet'!$B$13,Paramètres!$A$1:$I$89,3,0)*0.475*44/12</f>
        <v>24.81082397723149</v>
      </c>
      <c r="DH42" s="21">
        <f>EXP(-LN(2)/2)*DH41+(1-EXP(-LN(2)/2))/(LN(2)/2)*DB42*DE42*VLOOKUP('Données projet'!$B$13,Paramètres!$A$1:$I$89,3,0)*0.475*44/12</f>
        <v>0.10644890548006726</v>
      </c>
      <c r="DI42" s="22">
        <f t="shared" si="15"/>
        <v>39.30914405970578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4.8</v>
      </c>
      <c r="DO42" s="12">
        <f>IF('Données projet'!$A$166&gt;35,DO41+DN42-DW41,IF(A42&lt;'Données projet'!$A$166,$DL$205^A42,IF(A42='Données projet'!$A$166,'Données projet'!$B$166,DO41+DN42-DW41)))</f>
        <v>99.199999999999974</v>
      </c>
      <c r="DP42" s="17">
        <f>DO42*VLOOKUP('Données projet'!$B$14,Paramètres!$A$1:$I$89,3,0)*VLOOKUP('Données projet'!$B$14,Paramètres!$A$1:$I$89,5,0)</f>
        <v>86.661119999999997</v>
      </c>
      <c r="DQ42" s="13">
        <f t="shared" si="43"/>
        <v>23.75820438670381</v>
      </c>
      <c r="DR42" s="20">
        <f t="shared" si="16"/>
        <v>192.31365664017576</v>
      </c>
      <c r="DS42" s="59">
        <f t="shared" si="17"/>
        <v>485.64698997350911</v>
      </c>
      <c r="DT42" s="59">
        <f ca="1">AVERAGE(OFFSET($DS$3,0,0,'Données projet'!$E$14+1,1))-AVERAGE(OFFSET($H$3,0,0,'Données projet'!$E$14+1,1))</f>
        <v>150.06600397498823</v>
      </c>
      <c r="DU42" s="59">
        <f t="shared" si="44"/>
        <v>170.53034305929714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36</v>
      </c>
      <c r="N43" s="13">
        <f>IF('Données projet'!$A$36&gt;35,N42+M43-V42,IF(A43&lt;'Données projet'!$A$36,$K$205^A43,IF(A43='Données projet'!$A$36,'Données projet'!$B$36,N42+M43-V42)))</f>
        <v>694</v>
      </c>
      <c r="O43" s="13">
        <f>N43*VLOOKUP('Données projet'!$B$9,Paramètres!$A$1:$I$89,3,0)*VLOOKUP('Données projet'!$B$9,Paramètres!$A$1:$I$89,5,0)</f>
        <v>324.79200000000003</v>
      </c>
      <c r="P43" s="13">
        <f t="shared" si="33"/>
        <v>76.349558270976459</v>
      </c>
      <c r="Q43" s="20">
        <f t="shared" si="53"/>
        <v>698.65488065528405</v>
      </c>
      <c r="R43" s="59">
        <f t="shared" si="0"/>
        <v>991.98821398861742</v>
      </c>
      <c r="S43" s="59">
        <f ca="1">AVERAGE(OFFSET($R$3,0,0,'Données projet'!$E$9+1,1))-AVERAGE(OFFSET($H$3,0,0,'Données projet'!$E$9+1,1))</f>
        <v>294.94285920643927</v>
      </c>
      <c r="T43" s="59">
        <f t="shared" si="34"/>
        <v>399.89535338426606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27.391084019801049</v>
      </c>
      <c r="AA43" s="21">
        <f>EXP(-LN(2)/25)*AA42+(1-EXP(-LN(2)/25))/(LN(2)/25)*Calculateur!V43*Calculateur!X43*VLOOKUP('Données projet'!$B$9,Paramètres!$A$1:$I$89,3,0)*0.475*44/12</f>
        <v>53.605730093918751</v>
      </c>
      <c r="AB43" s="21">
        <f>EXP(-LN(2)/2)*AB42+(1-EXP(-LN(2)/2))/(LN(2)/2)*V43*Y43*VLOOKUP('Données projet'!$B$9,Paramètres!$A$1:$I$89,3,0)*0.475*44/12</f>
        <v>0.27111464627833759</v>
      </c>
      <c r="AC43" s="22">
        <f t="shared" si="3"/>
        <v>81.267928759998142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13.14134615384615</v>
      </c>
      <c r="AI43" s="13">
        <f>IF('Données projet'!$A$62&gt;35,AI42+AH43-AQ42,IF(A43&lt;'Données projet'!$A$62,$AF$205^A43,IF(A43='Données projet'!$A$62,'Données projet'!$B$62,AI42+AH43-AQ42)))</f>
        <v>250.58846153846156</v>
      </c>
      <c r="AJ43" s="13">
        <f>AI43*VLOOKUP('Données projet'!$B$10,Paramètres!$A$1:$I$89,3,0)*VLOOKUP('Données projet'!$B$10,Paramètres!$A$1:$I$89,5,0)</f>
        <v>149.85190000000003</v>
      </c>
      <c r="AK43" s="13">
        <f t="shared" si="35"/>
        <v>38.544927429723309</v>
      </c>
      <c r="AL43" s="20">
        <f t="shared" si="4"/>
        <v>328.12447444010149</v>
      </c>
      <c r="AM43" s="59">
        <f t="shared" si="5"/>
        <v>621.45780777343475</v>
      </c>
      <c r="AN43" s="59">
        <f ca="1">AVERAGE(OFFSET($AM$3,0,0,'Données projet'!$E$10+1,1))-AVERAGE(OFFSET($H$3,0,0,'Données projet'!$E$10+1,1))</f>
        <v>200.14675249215634</v>
      </c>
      <c r="AO43" s="59">
        <f t="shared" si="36"/>
        <v>200.55017434999968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24.481015194487988</v>
      </c>
      <c r="AV43" s="21">
        <f>EXP(-LN(2)/25)*AV42+(1-EXP(-LN(2)/25))/(LN(2)/25)*Calculateur!AQ43*Calculateur!AS43*VLOOKUP('Données projet'!$B$10,Paramètres!$A$1:$I$89,3,0)*0.475*44/12</f>
        <v>16.702758976123366</v>
      </c>
      <c r="AW43" s="21">
        <f>EXP(-LN(2)/2)*AW42+(1-EXP(-LN(2)/2))/(LN(2)/2)*AQ43*AT43*VLOOKUP('Données projet'!$B$10,Paramètres!$A$1:$I$89,3,0)*0.475*44/12</f>
        <v>1.5853303584968241</v>
      </c>
      <c r="AX43" s="21">
        <f t="shared" si="6"/>
        <v>42.769104529108183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9.2500000000000036</v>
      </c>
      <c r="BD43" s="12">
        <f>IF('Données projet'!$A$88&gt;35,BD42+BC43-BL42,IF(A43&lt;'Données projet'!$A$88,$BA$205^A43,IF(A43='Données projet'!$A$88,'Données projet'!$B$88,BD42+BC43-BL42)))</f>
        <v>184.69999999999993</v>
      </c>
      <c r="BE43" s="13">
        <f>BD43*VLOOKUP('Données projet'!$B$11,Paramètres!$A$1:$I$89,3,0)*VLOOKUP('Données projet'!$B$11,Paramètres!$A$1:$I$89,5,0)</f>
        <v>105.64839999999997</v>
      </c>
      <c r="BF43" s="13">
        <f t="shared" si="37"/>
        <v>28.303317598550137</v>
      </c>
      <c r="BG43" s="20">
        <f t="shared" si="7"/>
        <v>233.29924148414139</v>
      </c>
      <c r="BH43" s="59">
        <f t="shared" si="8"/>
        <v>526.63257481747473</v>
      </c>
      <c r="BI43" s="59">
        <f ca="1">AVERAGE(OFFSET($BH$3,0,0,'Données projet'!$E$11+1,1))-AVERAGE(OFFSET($H$3,0,0,'Données projet'!$E$11+1,1))</f>
        <v>182.46132340647313</v>
      </c>
      <c r="BJ43" s="59">
        <f t="shared" si="38"/>
        <v>130.51706975490481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8.8734258989143466</v>
      </c>
      <c r="BQ43" s="21">
        <f>EXP(-LN(2)/25)*BQ42+(1-EXP(-LN(2)/25))/(LN(2)/25)*Calculateur!BL43*Calculateur!BN43*VLOOKUP('Données projet'!$B$11,Paramètres!$A$1:$I$89,3,0)*0.475*44/12</f>
        <v>13.177513165455485</v>
      </c>
      <c r="BR43" s="21">
        <f>EXP(-LN(2)/2)*BR42+(1-EXP(-LN(2)/2))/(LN(2)/2)*BL43*BO43*VLOOKUP('Données projet'!$B$11,Paramètres!$A$1:$I$89,3,0)*0.475*44/12</f>
        <v>1.0777206420564995</v>
      </c>
      <c r="BS43" s="22">
        <f t="shared" si="9"/>
        <v>23.12865970642633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440</v>
      </c>
      <c r="BW43" s="12">
        <f>VLOOKUP(A43,'Données projet'!$A$113:$I$133,9,0)</f>
        <v>25.4</v>
      </c>
      <c r="BX43" s="12">
        <f t="array" ref="BX43">INDEX(BW:BW,MIN(IF(ISNUMBER(BW43:BW239),ROW(BW43:BW239),"")))</f>
        <v>25.4</v>
      </c>
      <c r="BY43" s="12">
        <f>IF('Données projet'!$A$114&gt;35,BY42+BX43-CG42,IF(A43&lt;'Données projet'!$A$114,$BV$205^A43,IF(A43='Données projet'!$A$114,'Données projet'!$B$114,BY42+BX43-CG42)))</f>
        <v>439.99999999999994</v>
      </c>
      <c r="BZ43" s="13">
        <f>BY43*VLOOKUP('Données projet'!$B$12,Paramètres!$A$1:$I$89,3,0)*VLOOKUP('Données projet'!$B$12,Paramètres!$A$1:$I$89,5,0)</f>
        <v>177.31999999999996</v>
      </c>
      <c r="CA43" s="13">
        <f t="shared" si="39"/>
        <v>44.725415986136291</v>
      </c>
      <c r="CB43" s="20">
        <f t="shared" si="10"/>
        <v>386.72909950918734</v>
      </c>
      <c r="CC43" s="59">
        <f t="shared" si="11"/>
        <v>680.06243284252059</v>
      </c>
      <c r="CD43" s="59">
        <f ca="1">AVERAGE(OFFSET($CC$3,0,0,'Données projet'!$E$12+1,1))-AVERAGE(OFFSET($H$3,0,0,'Données projet'!$E$12+1,1))</f>
        <v>291.0962681460345</v>
      </c>
      <c r="CE43" s="59">
        <f t="shared" si="40"/>
        <v>240.28311826371385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63</v>
      </c>
      <c r="CH43" s="16">
        <f>IF(ISNA(VLOOKUP(A43,'Données projet'!$A$113:$I$133,5,0)),0%,VLOOKUP(A43,'Données projet'!$A$113:$I$133,5,0)*VLOOKUP('Données projet'!$B$12,Paramètres!$A$1:$I$89,7,0))</f>
        <v>3.4920634920634921E-2</v>
      </c>
      <c r="CI43" s="16">
        <f>IF(ISNA(VLOOKUP(A43,'Données projet'!$A$113:$I$133,6,0)),0%,VLOOKUP(A43,'Données projet'!$A$113:$I$133,6,0)*VLOOKUP('Données projet'!$B$12,Paramètres!$A$1:$I$89,7,0))</f>
        <v>0.19206349206349208</v>
      </c>
      <c r="CJ43" s="16">
        <f>IF(ISNA(VLOOKUP(A43,'Données projet'!$A$113:$I$133,7,0)),0%,VLOOKUP(A43,'Données projet'!$A$113:$I$133,7,0))</f>
        <v>0.29365079365079366</v>
      </c>
      <c r="CK43" s="21">
        <f>EXP(-LN(2)/35)*CK42+(1-EXP(-LN(2)/35))/(LN(2)/35)*CG43*CH43*VLOOKUP('Données projet'!$B$12,Paramètres!$A$1:$I$89,3,0)*0.475*44/12</f>
        <v>1.44244470282666</v>
      </c>
      <c r="CL43" s="21">
        <f>EXP(-LN(2)/25)*CL42+(1-EXP(-LN(2)/25))/(LN(2)/25)*Calculateur!CG43*Calculateur!CI43*VLOOKUP('Données projet'!$B$12,Paramètres!$A$1:$I$89,3,0)*0.475*44/12</f>
        <v>11.669196854478201</v>
      </c>
      <c r="CM43" s="21">
        <f>EXP(-LN(2)/2)*CM42+(1-EXP(-LN(2)/2))/(LN(2)/2)*CG43*CJ43*VLOOKUP('Données projet'!$B$12,Paramètres!$A$1:$I$89,3,0)*0.475*44/12</f>
        <v>10.900678431179657</v>
      </c>
      <c r="CN43" s="22">
        <f t="shared" si="12"/>
        <v>24.012319988484517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428</v>
      </c>
      <c r="CR43" s="12">
        <f>VLOOKUP(A43,'Données projet'!$A$139:$I$159,9,0)</f>
        <v>15.719999999999994</v>
      </c>
      <c r="CS43" s="12">
        <f t="array" ref="CS43">INDEX(CR:CR,MIN(IF(ISNUMBER(CR43:CR239),ROW(CR43:CR239),"")))</f>
        <v>15.719999999999994</v>
      </c>
      <c r="CT43" s="12">
        <f>IF('Données projet'!$A$140&gt;35,CT42+CS43-DB42,IF(A43&lt;'Données projet'!$A$140,$CQ$205^A43,IF(A43='Données projet'!$A$140,'Données projet'!$B$140,CT42+CS43-DB42)))</f>
        <v>427.99999999999983</v>
      </c>
      <c r="CU43" s="17">
        <f>CT43*VLOOKUP('Données projet'!$B$13,Paramètres!$A$1:$I$89,3,0)*VLOOKUP('Données projet'!$B$13,Paramètres!$A$1:$I$89,5,0)</f>
        <v>200.30399999999992</v>
      </c>
      <c r="CV43" s="13">
        <f t="shared" si="41"/>
        <v>49.810971817279096</v>
      </c>
      <c r="CW43" s="20">
        <f t="shared" si="13"/>
        <v>435.61690924842759</v>
      </c>
      <c r="CX43" s="59">
        <f t="shared" si="14"/>
        <v>728.9502425817609</v>
      </c>
      <c r="CY43" s="59">
        <f ca="1">AVERAGE(OFFSET($CX$3,0,0,'Données projet'!$E$13+1,1))-AVERAGE(OFFSET($H$3,0,0,'Données projet'!$E$13+1,1))</f>
        <v>225.92546546283018</v>
      </c>
      <c r="CZ43" s="59">
        <f t="shared" si="42"/>
        <v>309.38786160614563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38.1</v>
      </c>
      <c r="DC43" s="16">
        <f>IF(ISNA(VLOOKUP(A43,'Données projet'!$A$139:$I$159,5,0)),0%,VLOOKUP(A43,'Données projet'!$A$139:$I$159,5,0)*VLOOKUP('Données projet'!$B$13,Paramètres!$A$1:$I$89,7,0))</f>
        <v>0.27500000000000002</v>
      </c>
      <c r="DD43" s="16">
        <f>IF(ISNA(VLOOKUP(A43,'Données projet'!$A$139:$I$159,6,0)),0%,VLOOKUP(A43,'Données projet'!$A$139:$I$159,6,0)*VLOOKUP('Données projet'!$B$13,Paramètres!$A$1:$I$89,7,0))</f>
        <v>0.27500000000000002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20.614424371702135</v>
      </c>
      <c r="DG43" s="21">
        <f>EXP(-LN(2)/25)*DG42+(1-EXP(-LN(2)/25))/(LN(2)/25)*Calculateur!DB43*Calculateur!DD43*VLOOKUP('Données projet'!$B$13,Paramètres!$A$1:$I$89,3,0)*0.475*44/12</f>
        <v>30.611527947038777</v>
      </c>
      <c r="DH43" s="21">
        <f>EXP(-LN(2)/2)*DH42+(1-EXP(-LN(2)/2))/(LN(2)/2)*DB43*DE43*VLOOKUP('Données projet'!$B$13,Paramètres!$A$1:$I$89,3,0)*0.475*44/12</f>
        <v>7.5270742914841399E-2</v>
      </c>
      <c r="DI43" s="22">
        <f t="shared" si="15"/>
        <v>51.301223061655747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104</v>
      </c>
      <c r="DM43" s="12">
        <f>VLOOKUP(A43,'Données projet'!$A$165:$I$185,9,0)</f>
        <v>4.8</v>
      </c>
      <c r="DN43" s="12">
        <f t="array" ref="DN43">INDEX(DM:DM,MIN(IF(ISNUMBER(DM43:DM239),ROW(DM43:DM239),"")))</f>
        <v>4.8</v>
      </c>
      <c r="DO43" s="12">
        <f>IF('Données projet'!$A$166&gt;35,DO42+DN43-DW42,IF(A43&lt;'Données projet'!$A$166,$DL$205^A43,IF(A43='Données projet'!$A$166,'Données projet'!$B$166,DO42+DN43-DW42)))</f>
        <v>103.99999999999997</v>
      </c>
      <c r="DP43" s="17">
        <f>DO43*VLOOKUP('Données projet'!$B$14,Paramètres!$A$1:$I$89,3,0)*VLOOKUP('Données projet'!$B$14,Paramètres!$A$1:$I$89,5,0)</f>
        <v>90.854399999999984</v>
      </c>
      <c r="DQ43" s="13">
        <f t="shared" si="43"/>
        <v>24.771172249191263</v>
      </c>
      <c r="DR43" s="20">
        <f t="shared" si="16"/>
        <v>201.38120500067475</v>
      </c>
      <c r="DS43" s="59">
        <f t="shared" si="17"/>
        <v>494.71453833400807</v>
      </c>
      <c r="DT43" s="59">
        <f ca="1">AVERAGE(OFFSET($DS$3,0,0,'Données projet'!$E$14+1,1))-AVERAGE(OFFSET($H$3,0,0,'Données projet'!$E$14+1,1))</f>
        <v>150.06600397498823</v>
      </c>
      <c r="DU43" s="59">
        <f t="shared" si="44"/>
        <v>170.53034305929714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12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36</v>
      </c>
      <c r="N44" s="13">
        <f>IF('Données projet'!$A$36&gt;35,N43+M44-V43,IF(A44&lt;'Données projet'!$A$36,$K$205^A44,IF(A44='Données projet'!$A$36,'Données projet'!$B$36,N43+M44-V43)))</f>
        <v>730</v>
      </c>
      <c r="O44" s="13">
        <f>N44*VLOOKUP('Données projet'!$B$9,Paramètres!$A$1:$I$89,3,0)*VLOOKUP('Données projet'!$B$9,Paramètres!$A$1:$I$89,5,0)</f>
        <v>341.64000000000004</v>
      </c>
      <c r="P44" s="13">
        <f t="shared" si="33"/>
        <v>79.8386858547359</v>
      </c>
      <c r="Q44" s="20">
        <f t="shared" si="53"/>
        <v>734.07537786366504</v>
      </c>
      <c r="R44" s="59">
        <f t="shared" si="0"/>
        <v>1027.4087111969984</v>
      </c>
      <c r="S44" s="59">
        <f ca="1">AVERAGE(OFFSET($R$3,0,0,'Données projet'!$E$9+1,1))-AVERAGE(OFFSET($H$3,0,0,'Données projet'!$E$9+1,1))</f>
        <v>294.94285920643927</v>
      </c>
      <c r="T44" s="59">
        <f t="shared" si="34"/>
        <v>399.89535338426606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26.853961569084333</v>
      </c>
      <c r="AA44" s="21">
        <f>EXP(-LN(2)/25)*AA43+(1-EXP(-LN(2)/25))/(LN(2)/25)*Calculateur!V44*Calculateur!X44*VLOOKUP('Données projet'!$B$9,Paramètres!$A$1:$I$89,3,0)*0.475*44/12</f>
        <v>52.139878585497712</v>
      </c>
      <c r="AB44" s="21">
        <f>EXP(-LN(2)/2)*AB43+(1-EXP(-LN(2)/2))/(LN(2)/2)*V44*Y44*VLOOKUP('Données projet'!$B$9,Paramètres!$A$1:$I$89,3,0)*0.475*44/12</f>
        <v>0.19170700486240469</v>
      </c>
      <c r="AC44" s="22">
        <f t="shared" si="3"/>
        <v>79.185547159444454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13.14134615384615</v>
      </c>
      <c r="AI44" s="13">
        <f>IF('Données projet'!$A$62&gt;35,AI43+AH44-AQ43,IF(A44&lt;'Données projet'!$A$62,$AF$205^A44,IF(A44='Données projet'!$A$62,'Données projet'!$B$62,AI43+AH44-AQ43)))</f>
        <v>263.7298076923077</v>
      </c>
      <c r="AJ44" s="13">
        <f>AI44*VLOOKUP('Données projet'!$B$10,Paramètres!$A$1:$I$89,3,0)*VLOOKUP('Données projet'!$B$10,Paramètres!$A$1:$I$89,5,0)</f>
        <v>157.71042500000001</v>
      </c>
      <c r="AK44" s="13">
        <f t="shared" si="35"/>
        <v>40.325662975074472</v>
      </c>
      <c r="AL44" s="20">
        <f t="shared" si="4"/>
        <v>344.91285322325467</v>
      </c>
      <c r="AM44" s="59">
        <f t="shared" si="5"/>
        <v>638.24618655658799</v>
      </c>
      <c r="AN44" s="59">
        <f ca="1">AVERAGE(OFFSET($AM$3,0,0,'Données projet'!$E$10+1,1))-AVERAGE(OFFSET($H$3,0,0,'Données projet'!$E$10+1,1))</f>
        <v>200.14675249215634</v>
      </c>
      <c r="AO44" s="59">
        <f t="shared" si="36"/>
        <v>200.55017434999968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24.000957418468939</v>
      </c>
      <c r="AV44" s="21">
        <f>EXP(-LN(2)/25)*AV43+(1-EXP(-LN(2)/25))/(LN(2)/25)*Calculateur!AQ44*Calculateur!AS44*VLOOKUP('Données projet'!$B$10,Paramètres!$A$1:$I$89,3,0)*0.475*44/12</f>
        <v>16.246021153561355</v>
      </c>
      <c r="AW44" s="21">
        <f>EXP(-LN(2)/2)*AW43+(1-EXP(-LN(2)/2))/(LN(2)/2)*AQ44*AT44*VLOOKUP('Données projet'!$B$10,Paramètres!$A$1:$I$89,3,0)*0.475*44/12</f>
        <v>1.1209978469140049</v>
      </c>
      <c r="AX44" s="21">
        <f t="shared" si="6"/>
        <v>41.367976418944302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9.2500000000000036</v>
      </c>
      <c r="BD44" s="12">
        <f>IF('Données projet'!$A$88&gt;35,BD43+BC44-BL43,IF(A44&lt;'Données projet'!$A$88,$BA$205^A44,IF(A44='Données projet'!$A$88,'Données projet'!$B$88,BD43+BC44-BL43)))</f>
        <v>193.94999999999993</v>
      </c>
      <c r="BE44" s="13">
        <f>BD44*VLOOKUP('Données projet'!$B$11,Paramètres!$A$1:$I$89,3,0)*VLOOKUP('Données projet'!$B$11,Paramètres!$A$1:$I$89,5,0)</f>
        <v>110.93939999999996</v>
      </c>
      <c r="BF44" s="13">
        <f t="shared" si="37"/>
        <v>29.552204880451132</v>
      </c>
      <c r="BG44" s="20">
        <f t="shared" si="7"/>
        <v>244.68954516678562</v>
      </c>
      <c r="BH44" s="59">
        <f t="shared" si="8"/>
        <v>538.02287850011896</v>
      </c>
      <c r="BI44" s="59">
        <f ca="1">AVERAGE(OFFSET($BH$3,0,0,'Données projet'!$E$11+1,1))-AVERAGE(OFFSET($H$3,0,0,'Données projet'!$E$11+1,1))</f>
        <v>182.46132340647313</v>
      </c>
      <c r="BJ44" s="59">
        <f t="shared" si="38"/>
        <v>130.51706975490481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8.6994234292920183</v>
      </c>
      <c r="BQ44" s="21">
        <f>EXP(-LN(2)/25)*BQ43+(1-EXP(-LN(2)/25))/(LN(2)/25)*Calculateur!BL44*Calculateur!BN44*VLOOKUP('Données projet'!$B$11,Paramètres!$A$1:$I$89,3,0)*0.475*44/12</f>
        <v>12.817173374970805</v>
      </c>
      <c r="BR44" s="21">
        <f>EXP(-LN(2)/2)*BR43+(1-EXP(-LN(2)/2))/(LN(2)/2)*BL44*BO44*VLOOKUP('Données projet'!$B$11,Paramètres!$A$1:$I$89,3,0)*0.475*44/12</f>
        <v>0.76206357422287074</v>
      </c>
      <c r="BS44" s="22">
        <f t="shared" si="9"/>
        <v>22.278660378485696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24.2</v>
      </c>
      <c r="BY44" s="12">
        <f>IF('Données projet'!$A$114&gt;35,BY43+BX44-CG43,IF(A44&lt;'Données projet'!$A$114,$BV$205^A44,IF(A44='Données projet'!$A$114,'Données projet'!$B$114,BY43+BX44-CG43)))</f>
        <v>401.19999999999993</v>
      </c>
      <c r="BZ44" s="13">
        <f>BY44*VLOOKUP('Données projet'!$B$12,Paramètres!$A$1:$I$89,3,0)*VLOOKUP('Données projet'!$B$12,Paramètres!$A$1:$I$89,5,0)</f>
        <v>161.68359999999996</v>
      </c>
      <c r="CA44" s="13">
        <f t="shared" si="39"/>
        <v>41.222024434987915</v>
      </c>
      <c r="CB44" s="20">
        <f t="shared" si="10"/>
        <v>353.39396255760386</v>
      </c>
      <c r="CC44" s="59">
        <f t="shared" si="11"/>
        <v>646.72729589093717</v>
      </c>
      <c r="CD44" s="59">
        <f ca="1">AVERAGE(OFFSET($CC$3,0,0,'Données projet'!$E$12+1,1))-AVERAGE(OFFSET($H$3,0,0,'Données projet'!$E$12+1,1))</f>
        <v>291.0962681460345</v>
      </c>
      <c r="CE44" s="59">
        <f t="shared" si="40"/>
        <v>240.28311826371385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1.4141592420086244</v>
      </c>
      <c r="CL44" s="21">
        <f>EXP(-LN(2)/25)*CL43+(1-EXP(-LN(2)/25))/(LN(2)/25)*Calculateur!CG44*Calculateur!CI44*VLOOKUP('Données projet'!$B$12,Paramètres!$A$1:$I$89,3,0)*0.475*44/12</f>
        <v>11.350102052836103</v>
      </c>
      <c r="CM44" s="21">
        <f>EXP(-LN(2)/2)*CM43+(1-EXP(-LN(2)/2))/(LN(2)/2)*CG44*CJ44*VLOOKUP('Données projet'!$B$12,Paramètres!$A$1:$I$89,3,0)*0.475*44/12</f>
        <v>7.7079436382210718</v>
      </c>
      <c r="CN44" s="22">
        <f t="shared" si="12"/>
        <v>20.4722049330658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16.440000000000008</v>
      </c>
      <c r="CT44" s="12">
        <f>IF('Données projet'!$A$140&gt;35,CT43+CS44-DB43,IF(A44&lt;'Données projet'!$A$140,$CQ$205^A44,IF(A44='Données projet'!$A$140,'Données projet'!$B$140,CT43+CS44-DB43)))</f>
        <v>406.3399999999998</v>
      </c>
      <c r="CU44" s="17">
        <f>CT44*VLOOKUP('Données projet'!$B$13,Paramètres!$A$1:$I$89,3,0)*VLOOKUP('Données projet'!$B$13,Paramètres!$A$1:$I$89,5,0)</f>
        <v>190.1671199999999</v>
      </c>
      <c r="CV44" s="13">
        <f t="shared" si="41"/>
        <v>47.576898819625157</v>
      </c>
      <c r="CW44" s="20">
        <f t="shared" si="13"/>
        <v>414.07083277751366</v>
      </c>
      <c r="CX44" s="59">
        <f t="shared" si="14"/>
        <v>707.40416611084697</v>
      </c>
      <c r="CY44" s="59">
        <f ca="1">AVERAGE(OFFSET($CX$3,0,0,'Données projet'!$E$13+1,1))-AVERAGE(OFFSET($H$3,0,0,'Données projet'!$E$13+1,1))</f>
        <v>225.92546546283018</v>
      </c>
      <c r="CZ44" s="59">
        <f t="shared" si="42"/>
        <v>309.38786160614563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20.210188083330387</v>
      </c>
      <c r="DG44" s="21">
        <f>EXP(-LN(2)/25)*DG43+(1-EXP(-LN(2)/25))/(LN(2)/25)*Calculateur!DB44*Calculateur!DD44*VLOOKUP('Données projet'!$B$13,Paramètres!$A$1:$I$89,3,0)*0.475*44/12</f>
        <v>29.774454105536709</v>
      </c>
      <c r="DH44" s="21">
        <f>EXP(-LN(2)/2)*DH43+(1-EXP(-LN(2)/2))/(LN(2)/2)*DB44*DE44*VLOOKUP('Données projet'!$B$13,Paramètres!$A$1:$I$89,3,0)*0.475*44/12</f>
        <v>5.322445274003363E-2</v>
      </c>
      <c r="DI44" s="22">
        <f t="shared" si="15"/>
        <v>50.037866641607131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4.5999999999999996</v>
      </c>
      <c r="DO44" s="12">
        <f>IF('Données projet'!$A$166&gt;35,DO43+DN44-DW43,IF(A44&lt;'Données projet'!$A$166,$DL$205^A44,IF(A44='Données projet'!$A$166,'Données projet'!$B$166,DO43+DN44-DW43)))</f>
        <v>96.599999999999966</v>
      </c>
      <c r="DP44" s="17">
        <f>DO44*VLOOKUP('Données projet'!$B$14,Paramètres!$A$1:$I$89,3,0)*VLOOKUP('Données projet'!$B$14,Paramètres!$A$1:$I$89,5,0)</f>
        <v>84.389759999999981</v>
      </c>
      <c r="DQ44" s="13">
        <f t="shared" si="43"/>
        <v>23.207143598424498</v>
      </c>
      <c r="DR44" s="20">
        <f t="shared" si="16"/>
        <v>187.3979404339226</v>
      </c>
      <c r="DS44" s="59">
        <f t="shared" si="17"/>
        <v>480.73127376725591</v>
      </c>
      <c r="DT44" s="59">
        <f ca="1">AVERAGE(OFFSET($DS$3,0,0,'Données projet'!$E$14+1,1))-AVERAGE(OFFSET($H$3,0,0,'Données projet'!$E$14+1,1))</f>
        <v>150.06600397498823</v>
      </c>
      <c r="DU44" s="59">
        <f t="shared" si="44"/>
        <v>170.53034305929714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766</v>
      </c>
      <c r="L45" s="12">
        <f>VLOOKUP(A45,'Données projet'!$A$35:$I$55,9,0)</f>
        <v>36</v>
      </c>
      <c r="M45" s="12">
        <f t="array" ref="M45">INDEX(L:L,MIN(IF(ISNUMBER(L45:L241),ROW(L45:L241),"")))</f>
        <v>36</v>
      </c>
      <c r="N45" s="13">
        <f>IF('Données projet'!$A$36&gt;35,N44+M45-V44,IF(A45&lt;'Données projet'!$A$36,$K$205^A45,IF(A45='Données projet'!$A$36,'Données projet'!$B$36,N44+M45-V44)))</f>
        <v>766</v>
      </c>
      <c r="O45" s="13">
        <f>N45*VLOOKUP('Données projet'!$B$9,Paramètres!$A$1:$I$89,3,0)*VLOOKUP('Données projet'!$B$9,Paramètres!$A$1:$I$89,5,0)</f>
        <v>358.488</v>
      </c>
      <c r="P45" s="13">
        <f t="shared" si="33"/>
        <v>83.307833714918146</v>
      </c>
      <c r="Q45" s="20">
        <f t="shared" si="53"/>
        <v>769.46107705348243</v>
      </c>
      <c r="R45" s="59">
        <f t="shared" si="0"/>
        <v>1062.7944103868158</v>
      </c>
      <c r="S45" s="59">
        <f ca="1">AVERAGE(OFFSET($R$3,0,0,'Données projet'!$E$9+1,1))-AVERAGE(OFFSET($H$3,0,0,'Données projet'!$E$9+1,1))</f>
        <v>294.94285920643927</v>
      </c>
      <c r="T45" s="59">
        <f t="shared" si="34"/>
        <v>399.89535338426606</v>
      </c>
      <c r="U45" s="15">
        <f>IF(ISNA(VLOOKUP(A45,'Données projet'!$A$35:$I$55,3,0)),0,VLOOKUP(A45,'Données projet'!$A$35:$I$55,3,0))</f>
        <v>7</v>
      </c>
      <c r="V45" s="15">
        <f>IF(ISNA(VLOOKUP(A45,'Données projet'!$A$35:$I$55,4,0)),0,VLOOKUP(A45,'Données projet'!$A$35:$I$55,4,0))</f>
        <v>79</v>
      </c>
      <c r="W45" s="16">
        <f>IF(ISNA(VLOOKUP(A45,'Données projet'!$A$35:$I$55,5,0)),0%,VLOOKUP(A45,'Données projet'!$A$35:$I$55,5,0)*VLOOKUP('Données projet'!$B$9,Paramètres!$A$1:$I$89,7,0))</f>
        <v>0.27500000000000002</v>
      </c>
      <c r="X45" s="16">
        <f>IF(ISNA(VLOOKUP(A45,'Données projet'!$A$35:$I$55,6,0)),0%,VLOOKUP(A45,'Données projet'!$A$35:$I$55,6,0)*VLOOKUP('Données projet'!$B$9,Paramètres!$A$1:$I$89,7,0))</f>
        <v>0.27500000000000002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39.814950549804266</v>
      </c>
      <c r="AA45" s="21">
        <f>EXP(-LN(2)/25)*AA44+(1-EXP(-LN(2)/25))/(LN(2)/25)*Calculateur!V45*Calculateur!X45*VLOOKUP('Données projet'!$B$9,Paramètres!$A$1:$I$89,3,0)*0.475*44/12</f>
        <v>64.14858391459272</v>
      </c>
      <c r="AB45" s="21">
        <f>EXP(-LN(2)/2)*AB44+(1-EXP(-LN(2)/2))/(LN(2)/2)*V45*Y45*VLOOKUP('Données projet'!$B$9,Paramètres!$A$1:$I$89,3,0)*0.475*44/12</f>
        <v>0.13555732313916879</v>
      </c>
      <c r="AC45" s="22">
        <f t="shared" si="3"/>
        <v>104.09909178753615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13.14134615384615</v>
      </c>
      <c r="AI45" s="13">
        <f>IF('Données projet'!$A$62&gt;35,AI44+AH45-AQ44,IF(A45&lt;'Données projet'!$A$62,$AF$205^A45,IF(A45='Données projet'!$A$62,'Données projet'!$B$62,AI44+AH45-AQ44)))</f>
        <v>276.87115384615385</v>
      </c>
      <c r="AJ45" s="13">
        <f>AI45*VLOOKUP('Données projet'!$B$10,Paramètres!$A$1:$I$89,3,0)*VLOOKUP('Données projet'!$B$10,Paramètres!$A$1:$I$89,5,0)</f>
        <v>165.56895</v>
      </c>
      <c r="AK45" s="13">
        <f t="shared" si="35"/>
        <v>42.096095514085818</v>
      </c>
      <c r="AL45" s="20">
        <f t="shared" si="4"/>
        <v>361.68328760369945</v>
      </c>
      <c r="AM45" s="59">
        <f t="shared" si="5"/>
        <v>655.01662093703271</v>
      </c>
      <c r="AN45" s="59">
        <f ca="1">AVERAGE(OFFSET($AM$3,0,0,'Données projet'!$E$10+1,1))-AVERAGE(OFFSET($H$3,0,0,'Données projet'!$E$10+1,1))</f>
        <v>200.14675249215634</v>
      </c>
      <c r="AO45" s="59">
        <f t="shared" si="36"/>
        <v>200.55017434999968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23.530313282631294</v>
      </c>
      <c r="AV45" s="21">
        <f>EXP(-LN(2)/25)*AV44+(1-EXP(-LN(2)/25))/(LN(2)/25)*Calculateur!AQ45*Calculateur!AS45*VLOOKUP('Données projet'!$B$10,Paramètres!$A$1:$I$89,3,0)*0.475*44/12</f>
        <v>15.801772850776098</v>
      </c>
      <c r="AW45" s="21">
        <f>EXP(-LN(2)/2)*AW44+(1-EXP(-LN(2)/2))/(LN(2)/2)*AQ45*AT45*VLOOKUP('Données projet'!$B$10,Paramètres!$A$1:$I$89,3,0)*0.475*44/12</f>
        <v>0.79266517924841229</v>
      </c>
      <c r="AX45" s="21">
        <f t="shared" si="6"/>
        <v>40.124751312655803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9.2500000000000036</v>
      </c>
      <c r="BD45" s="12">
        <f>IF('Données projet'!$A$88&gt;35,BD44+BC45-BL44,IF(A45&lt;'Données projet'!$A$88,$BA$205^A45,IF(A45='Données projet'!$A$88,'Données projet'!$B$88,BD44+BC45-BL44)))</f>
        <v>203.19999999999993</v>
      </c>
      <c r="BE45" s="13">
        <f>BD45*VLOOKUP('Données projet'!$B$11,Paramètres!$A$1:$I$89,3,0)*VLOOKUP('Données projet'!$B$11,Paramètres!$A$1:$I$89,5,0)</f>
        <v>116.23039999999997</v>
      </c>
      <c r="BF45" s="13">
        <f t="shared" si="37"/>
        <v>30.794175491293117</v>
      </c>
      <c r="BG45" s="20">
        <f t="shared" si="7"/>
        <v>256.06780231400211</v>
      </c>
      <c r="BH45" s="59">
        <f t="shared" si="8"/>
        <v>549.40113564733542</v>
      </c>
      <c r="BI45" s="59">
        <f ca="1">AVERAGE(OFFSET($BH$3,0,0,'Données projet'!$E$11+1,1))-AVERAGE(OFFSET($H$3,0,0,'Données projet'!$E$11+1,1))</f>
        <v>182.46132340647313</v>
      </c>
      <c r="BJ45" s="59">
        <f t="shared" si="38"/>
        <v>130.51706975490481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8.5288330419679568</v>
      </c>
      <c r="BQ45" s="21">
        <f>EXP(-LN(2)/25)*BQ44+(1-EXP(-LN(2)/25))/(LN(2)/25)*Calculateur!BL45*Calculateur!BN45*VLOOKUP('Données projet'!$B$11,Paramètres!$A$1:$I$89,3,0)*0.475*44/12</f>
        <v>12.466687095006375</v>
      </c>
      <c r="BR45" s="21">
        <f>EXP(-LN(2)/2)*BR44+(1-EXP(-LN(2)/2))/(LN(2)/2)*BL45*BO45*VLOOKUP('Données projet'!$B$11,Paramètres!$A$1:$I$89,3,0)*0.475*44/12</f>
        <v>0.53886032102824977</v>
      </c>
      <c r="BS45" s="22">
        <f t="shared" si="9"/>
        <v>21.53438045800258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24.2</v>
      </c>
      <c r="BY45" s="12">
        <f>IF('Données projet'!$A$114&gt;35,BY44+BX45-CG44,IF(A45&lt;'Données projet'!$A$114,$BV$205^A45,IF(A45='Données projet'!$A$114,'Données projet'!$B$114,BY44+BX45-CG44)))</f>
        <v>425.39999999999992</v>
      </c>
      <c r="BZ45" s="13">
        <f>BY45*VLOOKUP('Données projet'!$B$12,Paramètres!$A$1:$I$89,3,0)*VLOOKUP('Données projet'!$B$12,Paramètres!$A$1:$I$89,5,0)</f>
        <v>171.43619999999996</v>
      </c>
      <c r="CA45" s="13">
        <f t="shared" si="39"/>
        <v>43.411526947564191</v>
      </c>
      <c r="CB45" s="20">
        <f t="shared" si="10"/>
        <v>374.19312443367426</v>
      </c>
      <c r="CC45" s="59">
        <f t="shared" si="11"/>
        <v>667.52645776700751</v>
      </c>
      <c r="CD45" s="59">
        <f ca="1">AVERAGE(OFFSET($CC$3,0,0,'Données projet'!$E$12+1,1))-AVERAGE(OFFSET($H$3,0,0,'Données projet'!$E$12+1,1))</f>
        <v>291.0962681460345</v>
      </c>
      <c r="CE45" s="59">
        <f t="shared" si="40"/>
        <v>240.28311826371385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1.386428441824803</v>
      </c>
      <c r="CL45" s="21">
        <f>EXP(-LN(2)/25)*CL44+(1-EXP(-LN(2)/25))/(LN(2)/25)*Calculateur!CG45*Calculateur!CI45*VLOOKUP('Données projet'!$B$12,Paramètres!$A$1:$I$89,3,0)*0.475*44/12</f>
        <v>11.039732915325374</v>
      </c>
      <c r="CM45" s="21">
        <f>EXP(-LN(2)/2)*CM44+(1-EXP(-LN(2)/2))/(LN(2)/2)*CG45*CJ45*VLOOKUP('Données projet'!$B$12,Paramètres!$A$1:$I$89,3,0)*0.475*44/12</f>
        <v>5.4503392155898291</v>
      </c>
      <c r="CN45" s="22">
        <f t="shared" si="12"/>
        <v>17.876500572740007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16.440000000000008</v>
      </c>
      <c r="CT45" s="12">
        <f>IF('Données projet'!$A$140&gt;35,CT44+CS45-DB44,IF(A45&lt;'Données projet'!$A$140,$CQ$205^A45,IF(A45='Données projet'!$A$140,'Données projet'!$B$140,CT44+CS45-DB44)))</f>
        <v>422.7799999999998</v>
      </c>
      <c r="CU45" s="17">
        <f>CT45*VLOOKUP('Données projet'!$B$13,Paramètres!$A$1:$I$89,3,0)*VLOOKUP('Données projet'!$B$13,Paramètres!$A$1:$I$89,5,0)</f>
        <v>197.86103999999992</v>
      </c>
      <c r="CV45" s="13">
        <f t="shared" si="41"/>
        <v>49.273795291609147</v>
      </c>
      <c r="CW45" s="20">
        <f t="shared" si="13"/>
        <v>430.42650479955245</v>
      </c>
      <c r="CX45" s="59">
        <f t="shared" si="14"/>
        <v>723.75983813288576</v>
      </c>
      <c r="CY45" s="59">
        <f ca="1">AVERAGE(OFFSET($CX$3,0,0,'Données projet'!$E$13+1,1))-AVERAGE(OFFSET($H$3,0,0,'Données projet'!$E$13+1,1))</f>
        <v>225.92546546283018</v>
      </c>
      <c r="CZ45" s="59">
        <f t="shared" si="42"/>
        <v>309.38786160614563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19.813878622013817</v>
      </c>
      <c r="DG45" s="21">
        <f>EXP(-LN(2)/25)*DG44+(1-EXP(-LN(2)/25))/(LN(2)/25)*Calculateur!DB45*Calculateur!DD45*VLOOKUP('Données projet'!$B$13,Paramètres!$A$1:$I$89,3,0)*0.475*44/12</f>
        <v>28.960270092250315</v>
      </c>
      <c r="DH45" s="21">
        <f>EXP(-LN(2)/2)*DH44+(1-EXP(-LN(2)/2))/(LN(2)/2)*DB45*DE45*VLOOKUP('Données projet'!$B$13,Paramètres!$A$1:$I$89,3,0)*0.475*44/12</f>
        <v>3.7635371457420699E-2</v>
      </c>
      <c r="DI45" s="22">
        <f t="shared" si="15"/>
        <v>48.811784085721548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4.5999999999999996</v>
      </c>
      <c r="DO45" s="12">
        <f>IF('Données projet'!$A$166&gt;35,DO44+DN45-DW44,IF(A45&lt;'Données projet'!$A$166,$DL$205^A45,IF(A45='Données projet'!$A$166,'Données projet'!$B$166,DO44+DN45-DW44)))</f>
        <v>101.19999999999996</v>
      </c>
      <c r="DP45" s="17">
        <f>DO45*VLOOKUP('Données projet'!$B$14,Paramètres!$A$1:$I$89,3,0)*VLOOKUP('Données projet'!$B$14,Paramètres!$A$1:$I$89,5,0)</f>
        <v>88.408319999999975</v>
      </c>
      <c r="DQ45" s="13">
        <f t="shared" si="43"/>
        <v>24.18095236329042</v>
      </c>
      <c r="DR45" s="20">
        <f t="shared" si="16"/>
        <v>196.09298269939742</v>
      </c>
      <c r="DS45" s="59">
        <f t="shared" si="17"/>
        <v>489.42631603273071</v>
      </c>
      <c r="DT45" s="59">
        <f ca="1">AVERAGE(OFFSET($DS$3,0,0,'Données projet'!$E$14+1,1))-AVERAGE(OFFSET($H$3,0,0,'Données projet'!$E$14+1,1))</f>
        <v>150.06600397498823</v>
      </c>
      <c r="DU45" s="59">
        <f t="shared" si="44"/>
        <v>170.53034305929714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29.4</v>
      </c>
      <c r="N46" s="13">
        <f>IF('Données projet'!$A$36&gt;35,N45+M46-V45,IF(A46&lt;'Données projet'!$A$36,$K$205^A46,IF(A46='Données projet'!$A$36,'Données projet'!$B$36,N45+M46-V45)))</f>
        <v>716.4</v>
      </c>
      <c r="O46" s="13">
        <f>N46*VLOOKUP('Données projet'!$B$9,Paramètres!$A$1:$I$89,3,0)*VLOOKUP('Données projet'!$B$9,Paramètres!$A$1:$I$89,5,0)</f>
        <v>335.27519999999998</v>
      </c>
      <c r="P46" s="13">
        <f t="shared" si="33"/>
        <v>78.522979209968497</v>
      </c>
      <c r="Q46" s="20">
        <f t="shared" si="53"/>
        <v>720.69849545736179</v>
      </c>
      <c r="R46" s="59">
        <f t="shared" si="0"/>
        <v>1014.031828790695</v>
      </c>
      <c r="S46" s="59">
        <f ca="1">AVERAGE(OFFSET($R$3,0,0,'Données projet'!$E$9+1,1))-AVERAGE(OFFSET($H$3,0,0,'Données projet'!$E$9+1,1))</f>
        <v>294.94285920643927</v>
      </c>
      <c r="T46" s="59">
        <f t="shared" si="34"/>
        <v>399.89535338426606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39.034203654244521</v>
      </c>
      <c r="AA46" s="21">
        <f>EXP(-LN(2)/25)*AA45+(1-EXP(-LN(2)/25))/(LN(2)/25)*Calculateur!V46*Calculateur!X46*VLOOKUP('Données projet'!$B$9,Paramètres!$A$1:$I$89,3,0)*0.475*44/12</f>
        <v>62.394437514020765</v>
      </c>
      <c r="AB46" s="21">
        <f>EXP(-LN(2)/2)*AB45+(1-EXP(-LN(2)/2))/(LN(2)/2)*V46*Y46*VLOOKUP('Données projet'!$B$9,Paramètres!$A$1:$I$89,3,0)*0.475*44/12</f>
        <v>9.5853502431202345E-2</v>
      </c>
      <c r="AC46" s="22">
        <f t="shared" si="3"/>
        <v>101.52449467069648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13.14134615384615</v>
      </c>
      <c r="AI46" s="13">
        <f>IF('Données projet'!$A$62&gt;35,AI45+AH46-AQ45,IF(A46&lt;'Données projet'!$A$62,$AF$205^A46,IF(A46='Données projet'!$A$62,'Données projet'!$B$62,AI45+AH46-AQ45)))</f>
        <v>290.01249999999999</v>
      </c>
      <c r="AJ46" s="13">
        <f>AI46*VLOOKUP('Données projet'!$B$10,Paramètres!$A$1:$I$89,3,0)*VLOOKUP('Données projet'!$B$10,Paramètres!$A$1:$I$89,5,0)</f>
        <v>173.42747500000002</v>
      </c>
      <c r="AK46" s="13">
        <f t="shared" si="35"/>
        <v>43.856769901180428</v>
      </c>
      <c r="AL46" s="20">
        <f t="shared" si="4"/>
        <v>378.43672653622258</v>
      </c>
      <c r="AM46" s="59">
        <f t="shared" si="5"/>
        <v>671.77005986955589</v>
      </c>
      <c r="AN46" s="59">
        <f ca="1">AVERAGE(OFFSET($AM$3,0,0,'Données projet'!$E$10+1,1))-AVERAGE(OFFSET($H$3,0,0,'Données projet'!$E$10+1,1))</f>
        <v>200.14675249215634</v>
      </c>
      <c r="AO46" s="59">
        <f t="shared" si="36"/>
        <v>200.55017434999968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23.068898191232847</v>
      </c>
      <c r="AV46" s="21">
        <f>EXP(-LN(2)/25)*AV45+(1-EXP(-LN(2)/25))/(LN(2)/25)*Calculateur!AQ46*Calculateur!AS46*VLOOKUP('Données projet'!$B$10,Paramètres!$A$1:$I$89,3,0)*0.475*44/12</f>
        <v>15.369672541192507</v>
      </c>
      <c r="AW46" s="21">
        <f>EXP(-LN(2)/2)*AW45+(1-EXP(-LN(2)/2))/(LN(2)/2)*AQ46*AT46*VLOOKUP('Données projet'!$B$10,Paramètres!$A$1:$I$89,3,0)*0.475*44/12</f>
        <v>0.56049892345700258</v>
      </c>
      <c r="AX46" s="21">
        <f t="shared" si="6"/>
        <v>38.999069655882359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9.2500000000000036</v>
      </c>
      <c r="BD46" s="12">
        <f>IF('Données projet'!$A$88&gt;35,BD45+BC46-BL45,IF(A46&lt;'Données projet'!$A$88,$BA$205^A46,IF(A46='Données projet'!$A$88,'Données projet'!$B$88,BD45+BC46-BL45)))</f>
        <v>212.44999999999993</v>
      </c>
      <c r="BE46" s="13">
        <f>BD46*VLOOKUP('Données projet'!$B$11,Paramètres!$A$1:$I$89,3,0)*VLOOKUP('Données projet'!$B$11,Paramètres!$A$1:$I$89,5,0)</f>
        <v>121.52139999999996</v>
      </c>
      <c r="BF46" s="13">
        <f t="shared" si="37"/>
        <v>32.029580256859859</v>
      </c>
      <c r="BG46" s="20">
        <f t="shared" si="7"/>
        <v>267.43462394736417</v>
      </c>
      <c r="BH46" s="59">
        <f t="shared" si="8"/>
        <v>560.76795728069749</v>
      </c>
      <c r="BI46" s="59">
        <f ca="1">AVERAGE(OFFSET($BH$3,0,0,'Données projet'!$E$11+1,1))-AVERAGE(OFFSET($H$3,0,0,'Données projet'!$E$11+1,1))</f>
        <v>182.46132340647313</v>
      </c>
      <c r="BJ46" s="59">
        <f t="shared" si="38"/>
        <v>130.51706975490481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8.3615878280894584</v>
      </c>
      <c r="BQ46" s="21">
        <f>EXP(-LN(2)/25)*BQ45+(1-EXP(-LN(2)/25))/(LN(2)/25)*Calculateur!BL46*Calculateur!BN46*VLOOKUP('Données projet'!$B$11,Paramètres!$A$1:$I$89,3,0)*0.475*44/12</f>
        <v>12.125784880798843</v>
      </c>
      <c r="BR46" s="21">
        <f>EXP(-LN(2)/2)*BR45+(1-EXP(-LN(2)/2))/(LN(2)/2)*BL46*BO46*VLOOKUP('Données projet'!$B$11,Paramètres!$A$1:$I$89,3,0)*0.475*44/12</f>
        <v>0.38103178711143537</v>
      </c>
      <c r="BS46" s="22">
        <f t="shared" si="9"/>
        <v>20.868404495999737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24.2</v>
      </c>
      <c r="BY46" s="12">
        <f>IF('Données projet'!$A$114&gt;35,BY45+BX46-CG45,IF(A46&lt;'Données projet'!$A$114,$BV$205^A46,IF(A46='Données projet'!$A$114,'Données projet'!$B$114,BY45+BX46-CG45)))</f>
        <v>449.59999999999991</v>
      </c>
      <c r="BZ46" s="13">
        <f>BY46*VLOOKUP('Données projet'!$B$12,Paramètres!$A$1:$I$89,3,0)*VLOOKUP('Données projet'!$B$12,Paramètres!$A$1:$I$89,5,0)</f>
        <v>181.18879999999999</v>
      </c>
      <c r="CA46" s="13">
        <f t="shared" si="39"/>
        <v>45.586570850400619</v>
      </c>
      <c r="CB46" s="20">
        <f t="shared" si="10"/>
        <v>394.96710423111443</v>
      </c>
      <c r="CC46" s="59">
        <f t="shared" si="11"/>
        <v>688.30043756444775</v>
      </c>
      <c r="CD46" s="59">
        <f ca="1">AVERAGE(OFFSET($CC$3,0,0,'Données projet'!$E$12+1,1))-AVERAGE(OFFSET($H$3,0,0,'Données projet'!$E$12+1,1))</f>
        <v>291.0962681460345</v>
      </c>
      <c r="CE46" s="59">
        <f t="shared" si="40"/>
        <v>240.28311826371385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1.3592414257184682</v>
      </c>
      <c r="CL46" s="21">
        <f>EXP(-LN(2)/25)*CL45+(1-EXP(-LN(2)/25))/(LN(2)/25)*Calculateur!CG46*Calculateur!CI46*VLOOKUP('Données projet'!$B$12,Paramètres!$A$1:$I$89,3,0)*0.475*44/12</f>
        <v>10.73785083820148</v>
      </c>
      <c r="CM46" s="21">
        <f>EXP(-LN(2)/2)*CM45+(1-EXP(-LN(2)/2))/(LN(2)/2)*CG46*CJ46*VLOOKUP('Données projet'!$B$12,Paramètres!$A$1:$I$89,3,0)*0.475*44/12</f>
        <v>3.8539718191105368</v>
      </c>
      <c r="CN46" s="22">
        <f t="shared" si="12"/>
        <v>15.951064083030484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16.440000000000008</v>
      </c>
      <c r="CT46" s="12">
        <f>IF('Données projet'!$A$140&gt;35,CT45+CS46-DB45,IF(A46&lt;'Données projet'!$A$140,$CQ$205^A46,IF(A46='Données projet'!$A$140,'Données projet'!$B$140,CT45+CS46-DB45)))</f>
        <v>439.2199999999998</v>
      </c>
      <c r="CU46" s="17">
        <f>CT46*VLOOKUP('Données projet'!$B$13,Paramètres!$A$1:$I$89,3,0)*VLOOKUP('Données projet'!$B$13,Paramètres!$A$1:$I$89,5,0)</f>
        <v>205.55495999999991</v>
      </c>
      <c r="CV46" s="13">
        <f t="shared" si="41"/>
        <v>50.963026469474592</v>
      </c>
      <c r="CW46" s="20">
        <f t="shared" si="13"/>
        <v>446.7688264343347</v>
      </c>
      <c r="CX46" s="59">
        <f t="shared" si="14"/>
        <v>740.10215976766801</v>
      </c>
      <c r="CY46" s="59">
        <f ca="1">AVERAGE(OFFSET($CX$3,0,0,'Données projet'!$E$13+1,1))-AVERAGE(OFFSET($H$3,0,0,'Données projet'!$E$13+1,1))</f>
        <v>225.92546546283018</v>
      </c>
      <c r="CZ46" s="59">
        <f t="shared" si="42"/>
        <v>309.38786160614563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19.425340547508764</v>
      </c>
      <c r="DG46" s="21">
        <f>EXP(-LN(2)/25)*DG45+(1-EXP(-LN(2)/25))/(LN(2)/25)*Calculateur!DB46*Calculateur!DD46*VLOOKUP('Données projet'!$B$13,Paramètres!$A$1:$I$89,3,0)*0.475*44/12</f>
        <v>28.168349983623315</v>
      </c>
      <c r="DH46" s="21">
        <f>EXP(-LN(2)/2)*DH45+(1-EXP(-LN(2)/2))/(LN(2)/2)*DB46*DE46*VLOOKUP('Données projet'!$B$13,Paramètres!$A$1:$I$89,3,0)*0.475*44/12</f>
        <v>2.6612226370016815E-2</v>
      </c>
      <c r="DI46" s="22">
        <f t="shared" si="15"/>
        <v>47.620302757502103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4.5999999999999996</v>
      </c>
      <c r="DO46" s="12">
        <f>IF('Données projet'!$A$166&gt;35,DO45+DN46-DW45,IF(A46&lt;'Données projet'!$A$166,$DL$205^A46,IF(A46='Données projet'!$A$166,'Données projet'!$B$166,DO45+DN46-DW45)))</f>
        <v>105.79999999999995</v>
      </c>
      <c r="DP46" s="17">
        <f>DO46*VLOOKUP('Données projet'!$B$14,Paramètres!$A$1:$I$89,3,0)*VLOOKUP('Données projet'!$B$14,Paramètres!$A$1:$I$89,5,0)</f>
        <v>92.426879999999983</v>
      </c>
      <c r="DQ46" s="13">
        <f t="shared" si="43"/>
        <v>25.149620531579252</v>
      </c>
      <c r="DR46" s="20">
        <f t="shared" si="16"/>
        <v>204.77907175916712</v>
      </c>
      <c r="DS46" s="59">
        <f t="shared" si="17"/>
        <v>498.11240509250047</v>
      </c>
      <c r="DT46" s="59">
        <f ca="1">AVERAGE(OFFSET($DS$3,0,0,'Données projet'!$E$14+1,1))-AVERAGE(OFFSET($H$3,0,0,'Données projet'!$E$14+1,1))</f>
        <v>150.06600397498823</v>
      </c>
      <c r="DU46" s="59">
        <f t="shared" si="44"/>
        <v>170.53034305929714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29.4</v>
      </c>
      <c r="N47" s="13">
        <f>IF('Données projet'!$A$36&gt;35,N46+M47-V46,IF(A47&lt;'Données projet'!$A$36,$K$205^A47,IF(A47='Données projet'!$A$36,'Données projet'!$B$36,N46+M47-V46)))</f>
        <v>745.8</v>
      </c>
      <c r="O47" s="13">
        <f>N47*VLOOKUP('Données projet'!$B$9,Paramètres!$A$1:$I$89,3,0)*VLOOKUP('Données projet'!$B$9,Paramètres!$A$1:$I$89,5,0)</f>
        <v>349.03440000000001</v>
      </c>
      <c r="P47" s="13">
        <f t="shared" si="33"/>
        <v>81.36365221221385</v>
      </c>
      <c r="Q47" s="20">
        <f t="shared" si="53"/>
        <v>749.60994093627244</v>
      </c>
      <c r="R47" s="59">
        <f t="shared" si="0"/>
        <v>1042.9432742696058</v>
      </c>
      <c r="S47" s="59">
        <f ca="1">AVERAGE(OFFSET($R$3,0,0,'Données projet'!$E$9+1,1))-AVERAGE(OFFSET($H$3,0,0,'Données projet'!$E$9+1,1))</f>
        <v>294.94285920643927</v>
      </c>
      <c r="T47" s="59">
        <f t="shared" si="34"/>
        <v>399.89535338426606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38.268766729098118</v>
      </c>
      <c r="AA47" s="21">
        <f>EXP(-LN(2)/25)*AA46+(1-EXP(-LN(2)/25))/(LN(2)/25)*Calculateur!V47*Calculateur!X47*VLOOKUP('Données projet'!$B$9,Paramètres!$A$1:$I$89,3,0)*0.475*44/12</f>
        <v>60.688258339019001</v>
      </c>
      <c r="AB47" s="21">
        <f>EXP(-LN(2)/2)*AB46+(1-EXP(-LN(2)/2))/(LN(2)/2)*V47*Y47*VLOOKUP('Données projet'!$B$9,Paramètres!$A$1:$I$89,3,0)*0.475*44/12</f>
        <v>6.7778661569584397E-2</v>
      </c>
      <c r="AC47" s="22">
        <f t="shared" si="3"/>
        <v>99.02480372968671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303.15384615384613</v>
      </c>
      <c r="AG47" s="12">
        <f>VLOOKUP(A47,'Données projet'!$A$61:$I$81,9,0)</f>
        <v>13.14134615384615</v>
      </c>
      <c r="AH47" s="12">
        <f t="array" ref="AH47">INDEX(AG:AG,MIN(IF(ISNUMBER(AG47:AG243),ROW(AG47:AG243),"")))</f>
        <v>13.14134615384615</v>
      </c>
      <c r="AI47" s="13">
        <f>IF('Données projet'!$A$62&gt;35,AI46+AH47-AQ46,IF(A47&lt;'Données projet'!$A$62,$AF$205^A47,IF(A47='Données projet'!$A$62,'Données projet'!$B$62,AI46+AH47-AQ46)))</f>
        <v>303.15384615384613</v>
      </c>
      <c r="AJ47" s="13">
        <f>AI47*VLOOKUP('Données projet'!$B$10,Paramètres!$A$1:$I$89,3,0)*VLOOKUP('Données projet'!$B$10,Paramètres!$A$1:$I$89,5,0)</f>
        <v>181.286</v>
      </c>
      <c r="AK47" s="13">
        <f t="shared" si="35"/>
        <v>45.608178821536583</v>
      </c>
      <c r="AL47" s="20">
        <f t="shared" si="4"/>
        <v>395.17402811417611</v>
      </c>
      <c r="AM47" s="59">
        <f t="shared" si="5"/>
        <v>688.50736144750942</v>
      </c>
      <c r="AN47" s="59">
        <f ca="1">AVERAGE(OFFSET($AM$3,0,0,'Données projet'!$E$10+1,1))-AVERAGE(OFFSET($H$3,0,0,'Données projet'!$E$10+1,1))</f>
        <v>200.14675249215634</v>
      </c>
      <c r="AO47" s="59">
        <f t="shared" si="36"/>
        <v>200.55017434999968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64.476923076923072</v>
      </c>
      <c r="AR47" s="16">
        <f>IF(ISNA(VLOOKUP(A47,'Données projet'!$A$61:$I$81,5,0)),0%,VLOOKUP(A47,'Données projet'!$A$61:$I$81,5,0)*VLOOKUP('Données projet'!$B$10,Paramètres!$A$1:$I$89,7,0))</f>
        <v>0.315</v>
      </c>
      <c r="AS47" s="16">
        <f>IF(ISNA(VLOOKUP(A47,'Données projet'!$A$61:$I$81,6,0)),0%,VLOOKUP(A47,'Données projet'!$A$61:$I$81,6,0)*VLOOKUP('Données projet'!$B$10,Paramètres!$A$1:$I$89,7,0))</f>
        <v>7.5600000000000001E-2</v>
      </c>
      <c r="AT47" s="16">
        <f>IF(ISNA(VLOOKUP(A47,'Données projet'!$A$61:$I$81,7,0)),0%,VLOOKUP(A47,'Données projet'!$A$61:$I$81,7,0))</f>
        <v>0.13200000000000001</v>
      </c>
      <c r="AU47" s="21">
        <f>EXP(-LN(2)/35)*AU46+(1-EXP(-LN(2)/35))/(LN(2)/35)*AQ47*AR47*VLOOKUP('Données projet'!$B$10,Paramètres!$A$1:$I$89,3,0)*0.475*44/12</f>
        <v>38.728343640042439</v>
      </c>
      <c r="AV47" s="21">
        <f>EXP(-LN(2)/25)*AV46+(1-EXP(-LN(2)/25))/(LN(2)/25)*Calculateur!AQ47*Calculateur!AS47*VLOOKUP('Données projet'!$B$10,Paramètres!$A$1:$I$89,3,0)*0.475*44/12</f>
        <v>18.800997827758014</v>
      </c>
      <c r="AW47" s="21">
        <f>EXP(-LN(2)/2)*AW46+(1-EXP(-LN(2)/2))/(LN(2)/2)*AQ47*AT47*VLOOKUP('Données projet'!$B$10,Paramètres!$A$1:$I$89,3,0)*0.475*44/12</f>
        <v>6.1588859323929501</v>
      </c>
      <c r="AX47" s="21">
        <f t="shared" si="6"/>
        <v>63.688227400193398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221.70000000000002</v>
      </c>
      <c r="BB47" s="12">
        <f>VLOOKUP(A47,'Données projet'!$A$87:$I$107,9,0)</f>
        <v>9.2500000000000036</v>
      </c>
      <c r="BC47" s="12">
        <f t="array" ref="BC47">INDEX(BB:BB,MIN(IF(ISNUMBER(BB47:BB243),ROW(BB47:BB243),"")))</f>
        <v>9.2500000000000036</v>
      </c>
      <c r="BD47" s="12">
        <f>IF('Données projet'!$A$88&gt;35,BD46+BC47-BL46,IF(A47&lt;'Données projet'!$A$88,$BA$205^A47,IF(A47='Données projet'!$A$88,'Données projet'!$B$88,BD46+BC47-BL46)))</f>
        <v>221.69999999999993</v>
      </c>
      <c r="BE47" s="13">
        <f>BD47*VLOOKUP('Données projet'!$B$11,Paramètres!$A$1:$I$89,3,0)*VLOOKUP('Données projet'!$B$11,Paramètres!$A$1:$I$89,5,0)</f>
        <v>126.81239999999997</v>
      </c>
      <c r="BF47" s="13">
        <f t="shared" si="37"/>
        <v>33.258737725706673</v>
      </c>
      <c r="BG47" s="20">
        <f t="shared" si="7"/>
        <v>278.7905648722724</v>
      </c>
      <c r="BH47" s="59">
        <f t="shared" si="8"/>
        <v>572.12389820560566</v>
      </c>
      <c r="BI47" s="59">
        <f ca="1">AVERAGE(OFFSET($BH$3,0,0,'Données projet'!$E$11+1,1))-AVERAGE(OFFSET($H$3,0,0,'Données projet'!$E$11+1,1))</f>
        <v>182.46132340647313</v>
      </c>
      <c r="BJ47" s="59">
        <f t="shared" si="38"/>
        <v>130.51706975490481</v>
      </c>
      <c r="BK47" s="15">
        <f>IF(ISNA(VLOOKUP(A47,'Données projet'!$A$87:$I$107,3,0)),0,VLOOKUP(A47,'Données projet'!$A$87:$I$107,3,0))</f>
        <v>4</v>
      </c>
      <c r="BL47" s="15">
        <f>IF(ISNA(VLOOKUP(A47,'Données projet'!$A$87:$I$107,4,0)),0,VLOOKUP(A47,'Données projet'!$A$87:$I$107,4,0))</f>
        <v>39.492307692307691</v>
      </c>
      <c r="BM47" s="16">
        <f>IF(ISNA(VLOOKUP(A47,'Données projet'!$A$87:$I$107,5,0)),0%,VLOOKUP(A47,'Données projet'!$A$87:$I$107,5,0)*VLOOKUP('Données projet'!$B$11,Paramètres!$A$1:$I$89,7,0))</f>
        <v>0.315</v>
      </c>
      <c r="BN47" s="16">
        <f>IF(ISNA(VLOOKUP(A47,'Données projet'!$A$87:$I$107,6,0)),0%,VLOOKUP(A47,'Données projet'!$A$87:$I$107,6,0)*VLOOKUP('Données projet'!$B$11,Paramètres!$A$1:$I$89,7,0))</f>
        <v>7.6500000000000012E-2</v>
      </c>
      <c r="BO47" s="16">
        <f>IF(ISNA(VLOOKUP(A47,'Données projet'!$A$87:$I$107,7,0)),0%,VLOOKUP(A47,'Données projet'!$A$87:$I$107,7,0))</f>
        <v>0.13</v>
      </c>
      <c r="BP47" s="21">
        <f>EXP(-LN(2)/35)*BP46+(1-EXP(-LN(2)/35))/(LN(2)/35)*BL47*BM47*VLOOKUP('Données projet'!$B$11,Paramètres!$A$1:$I$89,3,0)*0.475*44/12</f>
        <v>17.637088723963679</v>
      </c>
      <c r="BQ47" s="21">
        <f>EXP(-LN(2)/25)*BQ46+(1-EXP(-LN(2)/25))/(LN(2)/25)*Calculateur!BL47*Calculateur!BN47*VLOOKUP('Données projet'!$B$11,Paramètres!$A$1:$I$89,3,0)*0.475*44/12</f>
        <v>14.077620310754568</v>
      </c>
      <c r="BR47" s="21">
        <f>EXP(-LN(2)/2)*BR46+(1-EXP(-LN(2)/2))/(LN(2)/2)*BL47*BO47*VLOOKUP('Données projet'!$B$11,Paramètres!$A$1:$I$89,3,0)*0.475*44/12</f>
        <v>3.5943978725806258</v>
      </c>
      <c r="BS47" s="22">
        <f t="shared" si="9"/>
        <v>35.309106907298876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24.2</v>
      </c>
      <c r="BY47" s="12">
        <f>IF('Données projet'!$A$114&gt;35,BY46+BX47-CG46,IF(A47&lt;'Données projet'!$A$114,$BV$205^A47,IF(A47='Données projet'!$A$114,'Données projet'!$B$114,BY46+BX47-CG46)))</f>
        <v>473.7999999999999</v>
      </c>
      <c r="BZ47" s="13">
        <f>BY47*VLOOKUP('Données projet'!$B$12,Paramètres!$A$1:$I$89,3,0)*VLOOKUP('Données projet'!$B$12,Paramètres!$A$1:$I$89,5,0)</f>
        <v>190.94139999999996</v>
      </c>
      <c r="CA47" s="13">
        <f t="shared" si="39"/>
        <v>47.748023117802013</v>
      </c>
      <c r="CB47" s="20">
        <f t="shared" si="10"/>
        <v>415.71741193017169</v>
      </c>
      <c r="CC47" s="59">
        <f t="shared" si="11"/>
        <v>709.05074526350495</v>
      </c>
      <c r="CD47" s="59">
        <f ca="1">AVERAGE(OFFSET($CC$3,0,0,'Données projet'!$E$12+1,1))-AVERAGE(OFFSET($H$3,0,0,'Données projet'!$E$12+1,1))</f>
        <v>291.0962681460345</v>
      </c>
      <c r="CE47" s="59">
        <f t="shared" si="40"/>
        <v>240.28311826371385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1.3325875304155363</v>
      </c>
      <c r="CL47" s="21">
        <f>EXP(-LN(2)/25)*CL46+(1-EXP(-LN(2)/25))/(LN(2)/25)*Calculateur!CG47*Calculateur!CI47*VLOOKUP('Données projet'!$B$12,Paramètres!$A$1:$I$89,3,0)*0.475*44/12</f>
        <v>10.444223742351827</v>
      </c>
      <c r="CM47" s="21">
        <f>EXP(-LN(2)/2)*CM46+(1-EXP(-LN(2)/2))/(LN(2)/2)*CG47*CJ47*VLOOKUP('Données projet'!$B$12,Paramètres!$A$1:$I$89,3,0)*0.475*44/12</f>
        <v>2.725169607794915</v>
      </c>
      <c r="CN47" s="22">
        <f t="shared" si="12"/>
        <v>14.501980880562279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16.440000000000008</v>
      </c>
      <c r="CT47" s="12">
        <f>IF('Données projet'!$A$140&gt;35,CT46+CS47-DB46,IF(A47&lt;'Données projet'!$A$140,$CQ$205^A47,IF(A47='Données projet'!$A$140,'Données projet'!$B$140,CT46+CS47-DB46)))</f>
        <v>455.6599999999998</v>
      </c>
      <c r="CU47" s="17">
        <f>CT47*VLOOKUP('Données projet'!$B$13,Paramètres!$A$1:$I$89,3,0)*VLOOKUP('Données projet'!$B$13,Paramètres!$A$1:$I$89,5,0)</f>
        <v>213.2488799999999</v>
      </c>
      <c r="CV47" s="13">
        <f t="shared" si="41"/>
        <v>52.644912116849035</v>
      </c>
      <c r="CW47" s="20">
        <f t="shared" si="13"/>
        <v>463.09835460351195</v>
      </c>
      <c r="CX47" s="59">
        <f t="shared" si="14"/>
        <v>756.43168793684526</v>
      </c>
      <c r="CY47" s="59">
        <f ca="1">AVERAGE(OFFSET($CX$3,0,0,'Données projet'!$E$13+1,1))-AVERAGE(OFFSET($H$3,0,0,'Données projet'!$E$13+1,1))</f>
        <v>225.92546546283018</v>
      </c>
      <c r="CZ47" s="59">
        <f t="shared" si="42"/>
        <v>309.38786160614563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19.04442146765993</v>
      </c>
      <c r="DG47" s="21">
        <f>EXP(-LN(2)/25)*DG46+(1-EXP(-LN(2)/25))/(LN(2)/25)*Calculateur!DB47*Calculateur!DD47*VLOOKUP('Données projet'!$B$13,Paramètres!$A$1:$I$89,3,0)*0.475*44/12</f>
        <v>27.39808497201199</v>
      </c>
      <c r="DH47" s="21">
        <f>EXP(-LN(2)/2)*DH46+(1-EXP(-LN(2)/2))/(LN(2)/2)*DB47*DE47*VLOOKUP('Données projet'!$B$13,Paramètres!$A$1:$I$89,3,0)*0.475*44/12</f>
        <v>1.881768572871035E-2</v>
      </c>
      <c r="DI47" s="22">
        <f t="shared" si="15"/>
        <v>46.46132412540063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4.5999999999999996</v>
      </c>
      <c r="DO47" s="12">
        <f>IF('Données projet'!$A$166&gt;35,DO46+DN47-DW46,IF(A47&lt;'Données projet'!$A$166,$DL$205^A47,IF(A47='Données projet'!$A$166,'Données projet'!$B$166,DO46+DN47-DW46)))</f>
        <v>110.39999999999995</v>
      </c>
      <c r="DP47" s="17">
        <f>DO47*VLOOKUP('Données projet'!$B$14,Paramètres!$A$1:$I$89,3,0)*VLOOKUP('Données projet'!$B$14,Paramètres!$A$1:$I$89,5,0)</f>
        <v>96.445439999999962</v>
      </c>
      <c r="DQ47" s="13">
        <f t="shared" si="43"/>
        <v>26.113397153228323</v>
      </c>
      <c r="DR47" s="20">
        <f t="shared" si="16"/>
        <v>213.45664137520589</v>
      </c>
      <c r="DS47" s="59">
        <f t="shared" si="17"/>
        <v>506.78997470853921</v>
      </c>
      <c r="DT47" s="59">
        <f ca="1">AVERAGE(OFFSET($DS$3,0,0,'Données projet'!$E$14+1,1))-AVERAGE(OFFSET($H$3,0,0,'Données projet'!$E$14+1,1))</f>
        <v>150.06600397498823</v>
      </c>
      <c r="DU47" s="59">
        <f t="shared" si="44"/>
        <v>170.53034305929714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29.4</v>
      </c>
      <c r="N48" s="13">
        <f>IF('Données projet'!$A$36&gt;35,N47+M48-V47,IF(A48&lt;'Données projet'!$A$36,$K$205^A48,IF(A48='Données projet'!$A$36,'Données projet'!$B$36,N47+M48-V47)))</f>
        <v>775.19999999999993</v>
      </c>
      <c r="O48" s="13">
        <f>N48*VLOOKUP('Données projet'!$B$9,Paramètres!$A$1:$I$89,3,0)*VLOOKUP('Données projet'!$B$9,Paramètres!$A$1:$I$89,5,0)</f>
        <v>362.79359999999997</v>
      </c>
      <c r="P48" s="13">
        <f t="shared" si="33"/>
        <v>84.191316871558996</v>
      </c>
      <c r="Q48" s="20">
        <f t="shared" si="53"/>
        <v>778.4987302179652</v>
      </c>
      <c r="R48" s="59">
        <f t="shared" si="0"/>
        <v>1071.8320635512985</v>
      </c>
      <c r="S48" s="59">
        <f ca="1">AVERAGE(OFFSET($R$3,0,0,'Données projet'!$E$9+1,1))-AVERAGE(OFFSET($H$3,0,0,'Données projet'!$E$9+1,1))</f>
        <v>294.94285920643927</v>
      </c>
      <c r="T48" s="59">
        <f t="shared" si="34"/>
        <v>399.89535338426606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37.51833955518341</v>
      </c>
      <c r="AA48" s="21">
        <f>EXP(-LN(2)/25)*AA47+(1-EXP(-LN(2)/25))/(LN(2)/25)*Calculateur!V48*Calculateur!X48*VLOOKUP('Données projet'!$B$9,Paramètres!$A$1:$I$89,3,0)*0.475*44/12</f>
        <v>59.028734723281723</v>
      </c>
      <c r="AB48" s="21">
        <f>EXP(-LN(2)/2)*AB47+(1-EXP(-LN(2)/2))/(LN(2)/2)*V48*Y48*VLOOKUP('Données projet'!$B$9,Paramètres!$A$1:$I$89,3,0)*0.475*44/12</f>
        <v>4.7926751215601172E-2</v>
      </c>
      <c r="AC48" s="22">
        <f t="shared" si="3"/>
        <v>96.595001029680731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11.642307692307696</v>
      </c>
      <c r="AI48" s="13">
        <f>IF('Données projet'!$A$62&gt;35,AI47+AH48-AQ47,IF(A48&lt;'Données projet'!$A$62,$AF$205^A48,IF(A48='Données projet'!$A$62,'Données projet'!$B$62,AI47+AH48-AQ47)))</f>
        <v>250.31923076923078</v>
      </c>
      <c r="AJ48" s="13">
        <f>AI48*VLOOKUP('Données projet'!$B$10,Paramètres!$A$1:$I$89,3,0)*VLOOKUP('Données projet'!$B$10,Paramètres!$A$1:$I$89,5,0)</f>
        <v>149.69090000000003</v>
      </c>
      <c r="AK48" s="13">
        <f t="shared" si="35"/>
        <v>38.50833310579393</v>
      </c>
      <c r="AL48" s="20">
        <f t="shared" si="4"/>
        <v>327.78033099259113</v>
      </c>
      <c r="AM48" s="59">
        <f t="shared" si="5"/>
        <v>621.11366432592445</v>
      </c>
      <c r="AN48" s="59">
        <f ca="1">AVERAGE(OFFSET($AM$3,0,0,'Données projet'!$E$10+1,1))-AVERAGE(OFFSET($H$3,0,0,'Données projet'!$E$10+1,1))</f>
        <v>200.14675249215634</v>
      </c>
      <c r="AO48" s="59">
        <f t="shared" si="36"/>
        <v>200.55017434999968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37.968904443218349</v>
      </c>
      <c r="AV48" s="21">
        <f>EXP(-LN(2)/25)*AV47+(1-EXP(-LN(2)/25))/(LN(2)/25)*Calculateur!AQ48*Calculateur!AS48*VLOOKUP('Données projet'!$B$10,Paramètres!$A$1:$I$89,3,0)*0.475*44/12</f>
        <v>18.286883553456466</v>
      </c>
      <c r="AW48" s="21">
        <f>EXP(-LN(2)/2)*AW47+(1-EXP(-LN(2)/2))/(LN(2)/2)*AQ48*AT48*VLOOKUP('Données projet'!$B$10,Paramètres!$A$1:$I$89,3,0)*0.475*44/12</f>
        <v>4.354990007349488</v>
      </c>
      <c r="AX48" s="21">
        <f t="shared" si="6"/>
        <v>60.610778004024297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8.3442307692307622</v>
      </c>
      <c r="BD48" s="12">
        <f>IF('Données projet'!$A$88&gt;35,BD47+BC48-BL47,IF(A48&lt;'Données projet'!$A$88,$BA$205^A48,IF(A48='Données projet'!$A$88,'Données projet'!$B$88,BD47+BC48-BL47)))</f>
        <v>190.551923076923</v>
      </c>
      <c r="BE48" s="13">
        <f>BD48*VLOOKUP('Données projet'!$B$11,Paramètres!$A$1:$I$89,3,0)*VLOOKUP('Données projet'!$B$11,Paramètres!$A$1:$I$89,5,0)</f>
        <v>108.99569999999997</v>
      </c>
      <c r="BF48" s="13">
        <f t="shared" si="37"/>
        <v>29.094237497739503</v>
      </c>
      <c r="BG48" s="20">
        <f t="shared" si="7"/>
        <v>240.50664114189624</v>
      </c>
      <c r="BH48" s="59">
        <f t="shared" si="8"/>
        <v>533.83997447522961</v>
      </c>
      <c r="BI48" s="59">
        <f ca="1">AVERAGE(OFFSET($BH$3,0,0,'Données projet'!$E$11+1,1))-AVERAGE(OFFSET($H$3,0,0,'Données projet'!$E$11+1,1))</f>
        <v>182.46132340647313</v>
      </c>
      <c r="BJ48" s="59">
        <f t="shared" si="38"/>
        <v>130.51706975490481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17.291236171648652</v>
      </c>
      <c r="BQ48" s="21">
        <f>EXP(-LN(2)/25)*BQ47+(1-EXP(-LN(2)/25))/(LN(2)/25)*Calculateur!BL48*Calculateur!BN48*VLOOKUP('Données projet'!$B$11,Paramètres!$A$1:$I$89,3,0)*0.475*44/12</f>
        <v>13.692667043047107</v>
      </c>
      <c r="BR48" s="21">
        <f>EXP(-LN(2)/2)*BR47+(1-EXP(-LN(2)/2))/(LN(2)/2)*BL48*BO48*VLOOKUP('Données projet'!$B$11,Paramètres!$A$1:$I$89,3,0)*0.475*44/12</f>
        <v>2.5416231099842608</v>
      </c>
      <c r="BS48" s="22">
        <f t="shared" si="9"/>
        <v>33.525526324680015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498</v>
      </c>
      <c r="BW48" s="12">
        <f>VLOOKUP(A48,'Données projet'!$A$113:$I$133,9,0)</f>
        <v>24.2</v>
      </c>
      <c r="BX48" s="12">
        <f t="array" ref="BX48">INDEX(BW:BW,MIN(IF(ISNUMBER(BW48:BW244),ROW(BW48:BW244),"")))</f>
        <v>24.2</v>
      </c>
      <c r="BY48" s="12">
        <f>IF('Données projet'!$A$114&gt;35,BY47+BX48-CG47,IF(A48&lt;'Données projet'!$A$114,$BV$205^A48,IF(A48='Données projet'!$A$114,'Données projet'!$B$114,BY47+BX48-CG47)))</f>
        <v>497.99999999999989</v>
      </c>
      <c r="BZ48" s="13">
        <f>BY48*VLOOKUP('Données projet'!$B$12,Paramètres!$A$1:$I$89,3,0)*VLOOKUP('Données projet'!$B$12,Paramètres!$A$1:$I$89,5,0)</f>
        <v>200.69399999999996</v>
      </c>
      <c r="CA48" s="13">
        <f t="shared" si="39"/>
        <v>49.896657157731141</v>
      </c>
      <c r="CB48" s="20">
        <f t="shared" si="10"/>
        <v>436.44539454971499</v>
      </c>
      <c r="CC48" s="59">
        <f t="shared" si="11"/>
        <v>729.7787278830483</v>
      </c>
      <c r="CD48" s="59">
        <f ca="1">AVERAGE(OFFSET($CC$3,0,0,'Données projet'!$E$12+1,1))-AVERAGE(OFFSET($H$3,0,0,'Données projet'!$E$12+1,1))</f>
        <v>291.0962681460345</v>
      </c>
      <c r="CE48" s="59">
        <f t="shared" si="40"/>
        <v>240.28311826371385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63</v>
      </c>
      <c r="CH48" s="16">
        <f>IF(ISNA(VLOOKUP(A48,'Données projet'!$A$113:$I$133,5,0)),0%,VLOOKUP(A48,'Données projet'!$A$113:$I$133,5,0)*VLOOKUP('Données projet'!$B$12,Paramètres!$A$1:$I$89,7,0))</f>
        <v>8.7301587301587311E-2</v>
      </c>
      <c r="CI48" s="16">
        <f>IF(ISNA(VLOOKUP(A48,'Données projet'!$A$113:$I$133,6,0)),0%,VLOOKUP(A48,'Données projet'!$A$113:$I$133,6,0)*VLOOKUP('Données projet'!$B$12,Paramètres!$A$1:$I$89,7,0))</f>
        <v>0.24444444444444446</v>
      </c>
      <c r="CJ48" s="16">
        <f>IF(ISNA(VLOOKUP(A48,'Données projet'!$A$113:$I$133,7,0)),0%,VLOOKUP(A48,'Données projet'!$A$113:$I$133,7,0))</f>
        <v>0.1984126984126984</v>
      </c>
      <c r="CK48" s="21">
        <f>EXP(-LN(2)/35)*CK47+(1-EXP(-LN(2)/35))/(LN(2)/35)*CG48*CH48*VLOOKUP('Données projet'!$B$12,Paramètres!$A$1:$I$89,3,0)*0.475*44/12</f>
        <v>4.2467864172239658</v>
      </c>
      <c r="CL48" s="21">
        <f>EXP(-LN(2)/25)*CL47+(1-EXP(-LN(2)/25))/(LN(2)/25)*Calculateur!CG48*Calculateur!CI48*VLOOKUP('Données projet'!$B$12,Paramètres!$A$1:$I$89,3,0)*0.475*44/12</f>
        <v>18.359134058177109</v>
      </c>
      <c r="CM48" s="21">
        <f>EXP(-LN(2)/2)*CM47+(1-EXP(-LN(2)/2))/(LN(2)/2)*CG48*CJ48*VLOOKUP('Données projet'!$B$12,Paramètres!$A$1:$I$89,3,0)*0.475*44/12</f>
        <v>7.63060610834484</v>
      </c>
      <c r="CN48" s="22">
        <f t="shared" si="12"/>
        <v>30.236526583745913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472.1</v>
      </c>
      <c r="CR48" s="12">
        <f>VLOOKUP(A48,'Données projet'!$A$139:$I$159,9,0)</f>
        <v>16.440000000000008</v>
      </c>
      <c r="CS48" s="12">
        <f t="array" ref="CS48">INDEX(CR:CR,MIN(IF(ISNUMBER(CR48:CR244),ROW(CR48:CR244),"")))</f>
        <v>16.440000000000008</v>
      </c>
      <c r="CT48" s="12">
        <f>IF('Données projet'!$A$140&gt;35,CT47+CS48-DB47,IF(A48&lt;'Données projet'!$A$140,$CQ$205^A48,IF(A48='Données projet'!$A$140,'Données projet'!$B$140,CT47+CS48-DB47)))</f>
        <v>472.0999999999998</v>
      </c>
      <c r="CU48" s="17">
        <f>CT48*VLOOKUP('Données projet'!$B$13,Paramètres!$A$1:$I$89,3,0)*VLOOKUP('Données projet'!$B$13,Paramètres!$A$1:$I$89,5,0)</f>
        <v>220.94279999999992</v>
      </c>
      <c r="CV48" s="13">
        <f t="shared" si="41"/>
        <v>54.31974761568528</v>
      </c>
      <c r="CW48" s="20">
        <f t="shared" si="13"/>
        <v>479.41560376398502</v>
      </c>
      <c r="CX48" s="59">
        <f t="shared" si="14"/>
        <v>772.74893709731828</v>
      </c>
      <c r="CY48" s="59">
        <f ca="1">AVERAGE(OFFSET($CX$3,0,0,'Données projet'!$E$13+1,1))-AVERAGE(OFFSET($H$3,0,0,'Données projet'!$E$13+1,1))</f>
        <v>225.92546546283018</v>
      </c>
      <c r="CZ48" s="59">
        <f t="shared" si="42"/>
        <v>309.38786160614563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38</v>
      </c>
      <c r="DC48" s="16">
        <f>IF(ISNA(VLOOKUP(A48,'Données projet'!$A$139:$I$159,5,0)),0%,VLOOKUP(A48,'Données projet'!$A$139:$I$159,5,0)*VLOOKUP('Données projet'!$B$13,Paramètres!$A$1:$I$89,7,0))</f>
        <v>0.27500000000000002</v>
      </c>
      <c r="DD48" s="16">
        <f>IF(ISNA(VLOOKUP(A48,'Données projet'!$A$139:$I$159,6,0)),0%,VLOOKUP(A48,'Données projet'!$A$139:$I$159,6,0)*VLOOKUP('Données projet'!$B$13,Paramètres!$A$1:$I$89,7,0))</f>
        <v>0.27500000000000002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25.158668104401851</v>
      </c>
      <c r="DG48" s="21">
        <f>EXP(-LN(2)/25)*DG47+(1-EXP(-LN(2)/25))/(LN(2)/25)*Calculateur!DB48*Calculateur!DD48*VLOOKUP('Données projet'!$B$13,Paramètres!$A$1:$I$89,3,0)*0.475*44/12</f>
        <v>33.111034491769075</v>
      </c>
      <c r="DH48" s="21">
        <f>EXP(-LN(2)/2)*DH47+(1-EXP(-LN(2)/2))/(LN(2)/2)*DB48*DE48*VLOOKUP('Données projet'!$B$13,Paramètres!$A$1:$I$89,3,0)*0.475*44/12</f>
        <v>1.3306113185008408E-2</v>
      </c>
      <c r="DI48" s="22">
        <f t="shared" si="15"/>
        <v>58.28300870935594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115</v>
      </c>
      <c r="DM48" s="12">
        <f>VLOOKUP(A48,'Données projet'!$A$165:$I$185,9,0)</f>
        <v>4.5999999999999996</v>
      </c>
      <c r="DN48" s="12">
        <f t="array" ref="DN48">INDEX(DM:DM,MIN(IF(ISNUMBER(DM48:DM244),ROW(DM48:DM244),"")))</f>
        <v>4.5999999999999996</v>
      </c>
      <c r="DO48" s="12">
        <f>IF('Données projet'!$A$166&gt;35,DO47+DN48-DW47,IF(A48&lt;'Données projet'!$A$166,$DL$205^A48,IF(A48='Données projet'!$A$166,'Données projet'!$B$166,DO47+DN48-DW47)))</f>
        <v>114.99999999999994</v>
      </c>
      <c r="DP48" s="17">
        <f>DO48*VLOOKUP('Données projet'!$B$14,Paramètres!$A$1:$I$89,3,0)*VLOOKUP('Données projet'!$B$14,Paramètres!$A$1:$I$89,5,0)</f>
        <v>100.46399999999997</v>
      </c>
      <c r="DQ48" s="13">
        <f t="shared" si="43"/>
        <v>27.072509349827456</v>
      </c>
      <c r="DR48" s="20">
        <f t="shared" si="16"/>
        <v>222.12608711761609</v>
      </c>
      <c r="DS48" s="59">
        <f t="shared" si="17"/>
        <v>515.45942045094944</v>
      </c>
      <c r="DT48" s="59">
        <f ca="1">AVERAGE(OFFSET($DS$3,0,0,'Données projet'!$E$14+1,1))-AVERAGE(OFFSET($H$3,0,0,'Données projet'!$E$14+1,1))</f>
        <v>150.06600397498823</v>
      </c>
      <c r="DU48" s="59">
        <f t="shared" si="44"/>
        <v>170.53034305929714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12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29.4</v>
      </c>
      <c r="N49" s="13">
        <f>IF('Données projet'!$A$36&gt;35,N48+M49-V48,IF(A49&lt;'Données projet'!$A$36,$K$205^A49,IF(A49='Données projet'!$A$36,'Données projet'!$B$36,N48+M49-V48)))</f>
        <v>804.59999999999991</v>
      </c>
      <c r="O49" s="13">
        <f>N49*VLOOKUP('Données projet'!$B$9,Paramètres!$A$1:$I$89,3,0)*VLOOKUP('Données projet'!$B$9,Paramètres!$A$1:$I$89,5,0)</f>
        <v>376.55279999999993</v>
      </c>
      <c r="P49" s="13">
        <f t="shared" si="33"/>
        <v>87.006523018866147</v>
      </c>
      <c r="Q49" s="20">
        <f t="shared" si="53"/>
        <v>807.365820924525</v>
      </c>
      <c r="R49" s="59">
        <f t="shared" si="0"/>
        <v>1100.6991542578583</v>
      </c>
      <c r="S49" s="59">
        <f ca="1">AVERAGE(OFFSET($R$3,0,0,'Données projet'!$E$9+1,1))-AVERAGE(OFFSET($H$3,0,0,'Données projet'!$E$9+1,1))</f>
        <v>294.94285920643927</v>
      </c>
      <c r="T49" s="59">
        <f t="shared" si="34"/>
        <v>399.89535338426606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36.782627800433794</v>
      </c>
      <c r="AA49" s="21">
        <f>EXP(-LN(2)/25)*AA48+(1-EXP(-LN(2)/25))/(LN(2)/25)*Calculateur!V49*Calculateur!X49*VLOOKUP('Données projet'!$B$9,Paramètres!$A$1:$I$89,3,0)*0.475*44/12</f>
        <v>57.414590868087338</v>
      </c>
      <c r="AB49" s="21">
        <f>EXP(-LN(2)/2)*AB48+(1-EXP(-LN(2)/2))/(LN(2)/2)*V49*Y49*VLOOKUP('Données projet'!$B$9,Paramètres!$A$1:$I$89,3,0)*0.475*44/12</f>
        <v>3.3889330784792199E-2</v>
      </c>
      <c r="AC49" s="22">
        <f t="shared" si="3"/>
        <v>94.23110799930592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11.642307692307696</v>
      </c>
      <c r="AI49" s="13">
        <f>IF('Données projet'!$A$62&gt;35,AI48+AH49-AQ48,IF(A49&lt;'Données projet'!$A$62,$AF$205^A49,IF(A49='Données projet'!$A$62,'Données projet'!$B$62,AI48+AH49-AQ48)))</f>
        <v>261.96153846153845</v>
      </c>
      <c r="AJ49" s="13">
        <f>AI49*VLOOKUP('Données projet'!$B$10,Paramètres!$A$1:$I$89,3,0)*VLOOKUP('Données projet'!$B$10,Paramètres!$A$1:$I$89,5,0)</f>
        <v>156.65300000000002</v>
      </c>
      <c r="AK49" s="13">
        <f t="shared" si="35"/>
        <v>40.0866638793565</v>
      </c>
      <c r="AL49" s="20">
        <f t="shared" si="4"/>
        <v>342.6549145898793</v>
      </c>
      <c r="AM49" s="59">
        <f t="shared" si="5"/>
        <v>635.98824792321261</v>
      </c>
      <c r="AN49" s="59">
        <f ca="1">AVERAGE(OFFSET($AM$3,0,0,'Données projet'!$E$10+1,1))-AVERAGE(OFFSET($H$3,0,0,'Données projet'!$E$10+1,1))</f>
        <v>200.14675249215634</v>
      </c>
      <c r="AO49" s="59">
        <f t="shared" si="36"/>
        <v>200.55017434999968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37.224357385831809</v>
      </c>
      <c r="AV49" s="21">
        <f>EXP(-LN(2)/25)*AV48+(1-EXP(-LN(2)/25))/(LN(2)/25)*Calculateur!AQ49*Calculateur!AS49*VLOOKUP('Données projet'!$B$10,Paramètres!$A$1:$I$89,3,0)*0.475*44/12</f>
        <v>17.786827761021787</v>
      </c>
      <c r="AW49" s="21">
        <f>EXP(-LN(2)/2)*AW48+(1-EXP(-LN(2)/2))/(LN(2)/2)*AQ49*AT49*VLOOKUP('Données projet'!$B$10,Paramètres!$A$1:$I$89,3,0)*0.475*44/12</f>
        <v>3.0794429661964755</v>
      </c>
      <c r="AX49" s="21">
        <f t="shared" si="6"/>
        <v>58.090628113050066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8.3442307692307622</v>
      </c>
      <c r="BD49" s="12">
        <f>IF('Données projet'!$A$88&gt;35,BD48+BC49-BL48,IF(A49&lt;'Données projet'!$A$88,$BA$205^A49,IF(A49='Données projet'!$A$88,'Données projet'!$B$88,BD48+BC49-BL48)))</f>
        <v>198.89615384615377</v>
      </c>
      <c r="BE49" s="13">
        <f>BD49*VLOOKUP('Données projet'!$B$11,Paramètres!$A$1:$I$89,3,0)*VLOOKUP('Données projet'!$B$11,Paramètres!$A$1:$I$89,5,0)</f>
        <v>113.76859999999995</v>
      </c>
      <c r="BF49" s="13">
        <f t="shared" si="37"/>
        <v>30.217147862460379</v>
      </c>
      <c r="BG49" s="20">
        <f t="shared" si="7"/>
        <v>250.77517752711836</v>
      </c>
      <c r="BH49" s="59">
        <f t="shared" si="8"/>
        <v>544.1085108604517</v>
      </c>
      <c r="BI49" s="59">
        <f ca="1">AVERAGE(OFFSET($BH$3,0,0,'Données projet'!$E$11+1,1))-AVERAGE(OFFSET($H$3,0,0,'Données projet'!$E$11+1,1))</f>
        <v>182.46132340647313</v>
      </c>
      <c r="BJ49" s="59">
        <f t="shared" si="38"/>
        <v>130.51706975490481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16.952165576935297</v>
      </c>
      <c r="BQ49" s="21">
        <f>EXP(-LN(2)/25)*BQ48+(1-EXP(-LN(2)/25))/(LN(2)/25)*Calculateur!BL49*Calculateur!BN49*VLOOKUP('Données projet'!$B$11,Paramètres!$A$1:$I$89,3,0)*0.475*44/12</f>
        <v>13.31824034268892</v>
      </c>
      <c r="BR49" s="21">
        <f>EXP(-LN(2)/2)*BR48+(1-EXP(-LN(2)/2))/(LN(2)/2)*BL49*BO49*VLOOKUP('Données projet'!$B$11,Paramètres!$A$1:$I$89,3,0)*0.475*44/12</f>
        <v>1.7971989362903131</v>
      </c>
      <c r="BS49" s="22">
        <f t="shared" si="9"/>
        <v>32.067604855914531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22.8</v>
      </c>
      <c r="BY49" s="12">
        <f>IF('Données projet'!$A$114&gt;35,BY48+BX49-CG48,IF(A49&lt;'Données projet'!$A$114,$BV$205^A49,IF(A49='Données projet'!$A$114,'Données projet'!$B$114,BY48+BX49-CG48)))</f>
        <v>457.79999999999984</v>
      </c>
      <c r="BZ49" s="13">
        <f>BY49*VLOOKUP('Données projet'!$B$12,Paramètres!$A$1:$I$89,3,0)*VLOOKUP('Données projet'!$B$12,Paramètres!$A$1:$I$89,5,0)</f>
        <v>184.49339999999995</v>
      </c>
      <c r="CA49" s="13">
        <f t="shared" si="39"/>
        <v>46.320445769429995</v>
      </c>
      <c r="CB49" s="20">
        <f t="shared" si="10"/>
        <v>402.00078138175712</v>
      </c>
      <c r="CC49" s="59">
        <f t="shared" si="11"/>
        <v>695.33411471509044</v>
      </c>
      <c r="CD49" s="59">
        <f ca="1">AVERAGE(OFFSET($CC$3,0,0,'Données projet'!$E$12+1,1))-AVERAGE(OFFSET($H$3,0,0,'Données projet'!$E$12+1,1))</f>
        <v>291.0962681460345</v>
      </c>
      <c r="CE49" s="59">
        <f t="shared" si="40"/>
        <v>240.28311826371385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4.1635095258661492</v>
      </c>
      <c r="CL49" s="21">
        <f>EXP(-LN(2)/25)*CL48+(1-EXP(-LN(2)/25))/(LN(2)/25)*Calculateur!CG49*Calculateur!CI49*VLOOKUP('Données projet'!$B$12,Paramètres!$A$1:$I$89,3,0)*0.475*44/12</f>
        <v>17.857102571891357</v>
      </c>
      <c r="CM49" s="21">
        <f>EXP(-LN(2)/2)*CM48+(1-EXP(-LN(2)/2))/(LN(2)/2)*CG49*CJ49*VLOOKUP('Données projet'!$B$12,Paramètres!$A$1:$I$89,3,0)*0.475*44/12</f>
        <v>5.3956533237741278</v>
      </c>
      <c r="CN49" s="22">
        <f t="shared" si="12"/>
        <v>27.416265421531634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15.1</v>
      </c>
      <c r="CT49" s="12">
        <f>IF('Données projet'!$A$140&gt;35,CT48+CS49-DB48,IF(A49&lt;'Données projet'!$A$140,$CQ$205^A49,IF(A49='Données projet'!$A$140,'Données projet'!$B$140,CT48+CS49-DB48)))</f>
        <v>449.19999999999982</v>
      </c>
      <c r="CU49" s="17">
        <f>CT49*VLOOKUP('Données projet'!$B$13,Paramètres!$A$1:$I$89,3,0)*VLOOKUP('Données projet'!$B$13,Paramètres!$A$1:$I$89,5,0)</f>
        <v>210.22559999999993</v>
      </c>
      <c r="CV49" s="13">
        <f t="shared" si="41"/>
        <v>51.984881893186014</v>
      </c>
      <c r="CW49" s="20">
        <f t="shared" si="13"/>
        <v>456.68325596396556</v>
      </c>
      <c r="CX49" s="59">
        <f t="shared" si="14"/>
        <v>750.01658929729888</v>
      </c>
      <c r="CY49" s="59">
        <f ca="1">AVERAGE(OFFSET($CX$3,0,0,'Données projet'!$E$13+1,1))-AVERAGE(OFFSET($H$3,0,0,'Données projet'!$E$13+1,1))</f>
        <v>225.92546546283018</v>
      </c>
      <c r="CZ49" s="59">
        <f t="shared" si="42"/>
        <v>309.38786160614563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24.665321968146856</v>
      </c>
      <c r="DG49" s="21">
        <f>EXP(-LN(2)/25)*DG48+(1-EXP(-LN(2)/25))/(LN(2)/25)*Calculateur!DB49*Calculateur!DD49*VLOOKUP('Données projet'!$B$13,Paramètres!$A$1:$I$89,3,0)*0.475*44/12</f>
        <v>32.205611512358026</v>
      </c>
      <c r="DH49" s="21">
        <f>EXP(-LN(2)/2)*DH48+(1-EXP(-LN(2)/2))/(LN(2)/2)*DB49*DE49*VLOOKUP('Données projet'!$B$13,Paramètres!$A$1:$I$89,3,0)*0.475*44/12</f>
        <v>9.4088428643551748E-3</v>
      </c>
      <c r="DI49" s="22">
        <f t="shared" si="15"/>
        <v>56.880342323369234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4.2</v>
      </c>
      <c r="DO49" s="12">
        <f>IF('Données projet'!$A$166&gt;35,DO48+DN49-DW48,IF(A49&lt;'Données projet'!$A$166,$DL$205^A49,IF(A49='Données projet'!$A$166,'Données projet'!$B$166,DO48+DN49-DW48)))</f>
        <v>107.19999999999995</v>
      </c>
      <c r="DP49" s="17">
        <f>DO49*VLOOKUP('Données projet'!$B$14,Paramètres!$A$1:$I$89,3,0)*VLOOKUP('Données projet'!$B$14,Paramètres!$A$1:$I$89,5,0)</f>
        <v>93.649919999999966</v>
      </c>
      <c r="DQ49" s="13">
        <f t="shared" si="43"/>
        <v>25.443450816014053</v>
      </c>
      <c r="DR49" s="20">
        <f t="shared" si="16"/>
        <v>207.42095417122439</v>
      </c>
      <c r="DS49" s="59">
        <f t="shared" si="17"/>
        <v>500.75428750455774</v>
      </c>
      <c r="DT49" s="59">
        <f ca="1">AVERAGE(OFFSET($DS$3,0,0,'Données projet'!$E$14+1,1))-AVERAGE(OFFSET($H$3,0,0,'Données projet'!$E$14+1,1))</f>
        <v>150.06600397498823</v>
      </c>
      <c r="DU49" s="59">
        <f t="shared" si="44"/>
        <v>170.53034305929714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>
        <f>VLOOKUP(A50,'Données projet'!$A$35:$I$55,2,0)</f>
        <v>834</v>
      </c>
      <c r="L50" s="12">
        <f>VLOOKUP(A50,'Données projet'!$A$35:$I$55,9,0)</f>
        <v>29.4</v>
      </c>
      <c r="M50" s="12">
        <f t="array" ref="M50">INDEX(L:L,MIN(IF(ISNUMBER(L50:L246),ROW(L50:L246),"")))</f>
        <v>29.4</v>
      </c>
      <c r="N50" s="13">
        <f>IF('Données projet'!$A$36&gt;35,N49+M50-V49,IF(A50&lt;'Données projet'!$A$36,$K$205^A50,IF(A50='Données projet'!$A$36,'Données projet'!$B$36,N49+M50-V49)))</f>
        <v>833.99999999999989</v>
      </c>
      <c r="O50" s="13">
        <f>N50*VLOOKUP('Données projet'!$B$9,Paramètres!$A$1:$I$89,3,0)*VLOOKUP('Données projet'!$B$9,Paramètres!$A$1:$I$89,5,0)</f>
        <v>390.31199999999995</v>
      </c>
      <c r="P50" s="13">
        <f t="shared" si="33"/>
        <v>89.809778026376492</v>
      </c>
      <c r="Q50" s="20">
        <f t="shared" si="53"/>
        <v>836.21209672927228</v>
      </c>
      <c r="R50" s="59">
        <f t="shared" si="0"/>
        <v>1129.5454300626056</v>
      </c>
      <c r="S50" s="59">
        <f ca="1">AVERAGE(OFFSET($R$3,0,0,'Données projet'!$E$9+1,1))-AVERAGE(OFFSET($H$3,0,0,'Données projet'!$E$9+1,1))</f>
        <v>294.94285920643927</v>
      </c>
      <c r="T50" s="59">
        <f t="shared" si="34"/>
        <v>399.89535338426606</v>
      </c>
      <c r="U50" s="15" t="str">
        <f>IF(ISNA(VLOOKUP(A50,'Données projet'!$A$35:$I$55,3,0)),0,VLOOKUP(A50,'Données projet'!$A$35:$I$55,3,0))</f>
        <v>CR</v>
      </c>
      <c r="V50" s="15">
        <f>IF(ISNA(VLOOKUP(A50,'Données projet'!$A$35:$I$55,4,0)),0,VLOOKUP(A50,'Données projet'!$A$35:$I$55,4,0))</f>
        <v>834</v>
      </c>
      <c r="W50" s="16">
        <f>IF(ISNA(VLOOKUP(A50,'Données projet'!$A$35:$I$55,5,0)),0%,VLOOKUP(A50,'Données projet'!$A$35:$I$55,5,0)*VLOOKUP('Données projet'!$B$9,Paramètres!$A$1:$I$89,7,0))</f>
        <v>0.27500000000000002</v>
      </c>
      <c r="X50" s="16">
        <f>IF(ISNA(VLOOKUP(A50,'Données projet'!$A$35:$I$55,6,0)),0%,VLOOKUP(A50,'Données projet'!$A$35:$I$55,6,0)*VLOOKUP('Données projet'!$B$9,Paramètres!$A$1:$I$89,7,0))</f>
        <v>0.27500000000000002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178.44919998062235</v>
      </c>
      <c r="AA50" s="21">
        <f>EXP(-LN(2)/25)*AA49+(1-EXP(-LN(2)/25))/(LN(2)/25)*Calculateur!V50*Calculateur!X50*VLOOKUP('Données projet'!$B$9,Paramètres!$A$1:$I$89,3,0)*0.475*44/12</f>
        <v>197.67180769032893</v>
      </c>
      <c r="AB50" s="21">
        <f>EXP(-LN(2)/2)*AB49+(1-EXP(-LN(2)/2))/(LN(2)/2)*V50*Y50*VLOOKUP('Données projet'!$B$9,Paramètres!$A$1:$I$89,3,0)*0.475*44/12</f>
        <v>2.3963375607800586E-2</v>
      </c>
      <c r="AC50" s="22">
        <f t="shared" si="3"/>
        <v>376.14497104655908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11.642307692307696</v>
      </c>
      <c r="AI50" s="13">
        <f>IF('Données projet'!$A$62&gt;35,AI49+AH50-AQ49,IF(A50&lt;'Données projet'!$A$62,$AF$205^A50,IF(A50='Données projet'!$A$62,'Données projet'!$B$62,AI49+AH50-AQ49)))</f>
        <v>273.60384615384612</v>
      </c>
      <c r="AJ50" s="13">
        <f>AI50*VLOOKUP('Données projet'!$B$10,Paramètres!$A$1:$I$89,3,0)*VLOOKUP('Données projet'!$B$10,Paramètres!$A$1:$I$89,5,0)</f>
        <v>163.61509999999998</v>
      </c>
      <c r="AK50" s="13">
        <f t="shared" si="35"/>
        <v>41.656847972292042</v>
      </c>
      <c r="AL50" s="20">
        <f t="shared" si="4"/>
        <v>357.51530938507523</v>
      </c>
      <c r="AM50" s="59">
        <f t="shared" si="5"/>
        <v>650.84864271840854</v>
      </c>
      <c r="AN50" s="59">
        <f ca="1">AVERAGE(OFFSET($AM$3,0,0,'Données projet'!$E$10+1,1))-AVERAGE(OFFSET($H$3,0,0,'Données projet'!$E$10+1,1))</f>
        <v>200.14675249215634</v>
      </c>
      <c r="AO50" s="59">
        <f t="shared" si="36"/>
        <v>200.55017434999968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36.494410442111757</v>
      </c>
      <c r="AV50" s="21">
        <f>EXP(-LN(2)/25)*AV49+(1-EXP(-LN(2)/25))/(LN(2)/25)*Calculateur!AQ50*Calculateur!AS50*VLOOKUP('Données projet'!$B$10,Paramètres!$A$1:$I$89,3,0)*0.475*44/12</f>
        <v>17.300446020528025</v>
      </c>
      <c r="AW50" s="21">
        <f>EXP(-LN(2)/2)*AW49+(1-EXP(-LN(2)/2))/(LN(2)/2)*AQ50*AT50*VLOOKUP('Données projet'!$B$10,Paramètres!$A$1:$I$89,3,0)*0.475*44/12</f>
        <v>2.177495003674744</v>
      </c>
      <c r="AX50" s="21">
        <f t="shared" si="6"/>
        <v>55.972351466314528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8.3442307692307622</v>
      </c>
      <c r="BD50" s="12">
        <f>IF('Données projet'!$A$88&gt;35,BD49+BC50-BL49,IF(A50&lt;'Données projet'!$A$88,$BA$205^A50,IF(A50='Données projet'!$A$88,'Données projet'!$B$88,BD49+BC50-BL49)))</f>
        <v>207.24038461538453</v>
      </c>
      <c r="BE50" s="13">
        <f>BD50*VLOOKUP('Données projet'!$B$11,Paramètres!$A$1:$I$89,3,0)*VLOOKUP('Données projet'!$B$11,Paramètres!$A$1:$I$89,5,0)</f>
        <v>118.54149999999996</v>
      </c>
      <c r="BF50" s="13">
        <f t="shared" si="37"/>
        <v>31.334586397273966</v>
      </c>
      <c r="BG50" s="20">
        <f t="shared" si="7"/>
        <v>261.0341838085854</v>
      </c>
      <c r="BH50" s="59">
        <f t="shared" si="8"/>
        <v>554.36751714191871</v>
      </c>
      <c r="BI50" s="59">
        <f ca="1">AVERAGE(OFFSET($BH$3,0,0,'Données projet'!$E$11+1,1))-AVERAGE(OFFSET($H$3,0,0,'Données projet'!$E$11+1,1))</f>
        <v>182.46132340647313</v>
      </c>
      <c r="BJ50" s="59">
        <f t="shared" si="38"/>
        <v>130.51706975490481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16.619743949771628</v>
      </c>
      <c r="BQ50" s="21">
        <f>EXP(-LN(2)/25)*BQ49+(1-EXP(-LN(2)/25))/(LN(2)/25)*Calculateur!BL50*Calculateur!BN50*VLOOKUP('Données projet'!$B$11,Paramètres!$A$1:$I$89,3,0)*0.475*44/12</f>
        <v>12.954052360142271</v>
      </c>
      <c r="BR50" s="21">
        <f>EXP(-LN(2)/2)*BR49+(1-EXP(-LN(2)/2))/(LN(2)/2)*BL50*BO50*VLOOKUP('Données projet'!$B$11,Paramètres!$A$1:$I$89,3,0)*0.475*44/12</f>
        <v>1.2708115549921306</v>
      </c>
      <c r="BS50" s="22">
        <f t="shared" si="9"/>
        <v>30.844607864906031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22.8</v>
      </c>
      <c r="BY50" s="12">
        <f>IF('Données projet'!$A$114&gt;35,BY49+BX50-CG49,IF(A50&lt;'Données projet'!$A$114,$BV$205^A50,IF(A50='Données projet'!$A$114,'Données projet'!$B$114,BY49+BX50-CG49)))</f>
        <v>480.59999999999985</v>
      </c>
      <c r="BZ50" s="13">
        <f>BY50*VLOOKUP('Données projet'!$B$12,Paramètres!$A$1:$I$89,3,0)*VLOOKUP('Données projet'!$B$12,Paramètres!$A$1:$I$89,5,0)</f>
        <v>193.68179999999995</v>
      </c>
      <c r="CA50" s="13">
        <f t="shared" si="39"/>
        <v>48.353035092357665</v>
      </c>
      <c r="CB50" s="20">
        <f t="shared" si="10"/>
        <v>421.54400445252281</v>
      </c>
      <c r="CC50" s="59">
        <f t="shared" si="11"/>
        <v>714.87733778585607</v>
      </c>
      <c r="CD50" s="59">
        <f ca="1">AVERAGE(OFFSET($CC$3,0,0,'Données projet'!$E$12+1,1))-AVERAGE(OFFSET($H$3,0,0,'Données projet'!$E$12+1,1))</f>
        <v>291.0962681460345</v>
      </c>
      <c r="CE50" s="59">
        <f t="shared" si="40"/>
        <v>240.28311826371385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4.0818656435539706</v>
      </c>
      <c r="CL50" s="21">
        <f>EXP(-LN(2)/25)*CL49+(1-EXP(-LN(2)/25))/(LN(2)/25)*Calculateur!CG50*Calculateur!CI50*VLOOKUP('Données projet'!$B$12,Paramètres!$A$1:$I$89,3,0)*0.475*44/12</f>
        <v>17.368799162998776</v>
      </c>
      <c r="CM50" s="21">
        <f>EXP(-LN(2)/2)*CM49+(1-EXP(-LN(2)/2))/(LN(2)/2)*CG50*CJ50*VLOOKUP('Données projet'!$B$12,Paramètres!$A$1:$I$89,3,0)*0.475*44/12</f>
        <v>3.8153030541724204</v>
      </c>
      <c r="CN50" s="22">
        <f t="shared" si="12"/>
        <v>25.265967860725169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15.1</v>
      </c>
      <c r="CT50" s="12">
        <f>IF('Données projet'!$A$140&gt;35,CT49+CS50-DB49,IF(A50&lt;'Données projet'!$A$140,$CQ$205^A50,IF(A50='Données projet'!$A$140,'Données projet'!$B$140,CT49+CS50-DB49)))</f>
        <v>464.29999999999984</v>
      </c>
      <c r="CU50" s="17">
        <f>CT50*VLOOKUP('Données projet'!$B$13,Paramètres!$A$1:$I$89,3,0)*VLOOKUP('Données projet'!$B$13,Paramètres!$A$1:$I$89,5,0)</f>
        <v>217.29239999999993</v>
      </c>
      <c r="CV50" s="13">
        <f t="shared" si="41"/>
        <v>53.525978774235639</v>
      </c>
      <c r="CW50" s="20">
        <f t="shared" si="13"/>
        <v>471.67534303179355</v>
      </c>
      <c r="CX50" s="59">
        <f t="shared" si="14"/>
        <v>765.0086763651268</v>
      </c>
      <c r="CY50" s="59">
        <f ca="1">AVERAGE(OFFSET($CX$3,0,0,'Données projet'!$E$13+1,1))-AVERAGE(OFFSET($H$3,0,0,'Données projet'!$E$13+1,1))</f>
        <v>225.92546546283018</v>
      </c>
      <c r="CZ50" s="59">
        <f t="shared" si="42"/>
        <v>309.38786160614563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24.181650048712388</v>
      </c>
      <c r="DG50" s="21">
        <f>EXP(-LN(2)/25)*DG49+(1-EXP(-LN(2)/25))/(LN(2)/25)*Calculateur!DB50*Calculateur!DD50*VLOOKUP('Données projet'!$B$13,Paramètres!$A$1:$I$89,3,0)*0.475*44/12</f>
        <v>31.324947371933092</v>
      </c>
      <c r="DH50" s="21">
        <f>EXP(-LN(2)/2)*DH49+(1-EXP(-LN(2)/2))/(LN(2)/2)*DB50*DE50*VLOOKUP('Données projet'!$B$13,Paramètres!$A$1:$I$89,3,0)*0.475*44/12</f>
        <v>6.6530565925042038E-3</v>
      </c>
      <c r="DI50" s="22">
        <f t="shared" si="15"/>
        <v>55.513250477237982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4.2</v>
      </c>
      <c r="DO50" s="12">
        <f>IF('Données projet'!$A$166&gt;35,DO49+DN50-DW49,IF(A50&lt;'Données projet'!$A$166,$DL$205^A50,IF(A50='Données projet'!$A$166,'Données projet'!$B$166,DO49+DN50-DW49)))</f>
        <v>111.39999999999995</v>
      </c>
      <c r="DP50" s="17">
        <f>DO50*VLOOKUP('Données projet'!$B$14,Paramètres!$A$1:$I$89,3,0)*VLOOKUP('Données projet'!$B$14,Paramètres!$A$1:$I$89,5,0)</f>
        <v>97.319039999999973</v>
      </c>
      <c r="DQ50" s="13">
        <f t="shared" si="43"/>
        <v>26.322289133542785</v>
      </c>
      <c r="DR50" s="20">
        <f t="shared" si="16"/>
        <v>215.34198157425362</v>
      </c>
      <c r="DS50" s="59">
        <f t="shared" si="17"/>
        <v>508.67531490758694</v>
      </c>
      <c r="DT50" s="59">
        <f ca="1">AVERAGE(OFFSET($DS$3,0,0,'Données projet'!$E$14+1,1))-AVERAGE(OFFSET($H$3,0,0,'Données projet'!$E$14+1,1))</f>
        <v>150.06600397498823</v>
      </c>
      <c r="DU50" s="59">
        <f t="shared" si="44"/>
        <v>170.53034305929714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-1.1368683772161603E-13</v>
      </c>
      <c r="O51" s="13">
        <f>N51*VLOOKUP('Données projet'!$B$9,Paramètres!$A$1:$I$89,3,0)*VLOOKUP('Données projet'!$B$9,Paramètres!$A$1:$I$89,5,0)</f>
        <v>-5.3205440053716299E-14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294.94285920643927</v>
      </c>
      <c r="T51" s="59">
        <f t="shared" si="34"/>
        <v>399.89535338426606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174.94992001226694</v>
      </c>
      <c r="AA51" s="21">
        <f>EXP(-LN(2)/25)*AA50+(1-EXP(-LN(2)/25))/(LN(2)/25)*Calculateur!V51*Calculateur!X51*VLOOKUP('Données projet'!$B$9,Paramètres!$A$1:$I$89,3,0)*0.475*44/12</f>
        <v>192.26646171392829</v>
      </c>
      <c r="AB51" s="21">
        <f>EXP(-LN(2)/2)*AB50+(1-EXP(-LN(2)/2))/(LN(2)/2)*V51*Y51*VLOOKUP('Données projet'!$B$9,Paramètres!$A$1:$I$89,3,0)*0.475*44/12</f>
        <v>1.6944665392396099E-2</v>
      </c>
      <c r="AC51" s="22">
        <f t="shared" si="3"/>
        <v>367.23332639158758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11.642307692307696</v>
      </c>
      <c r="AI51" s="13">
        <f>IF('Données projet'!$A$62&gt;35,AI50+AH51-AQ50,IF(A51&lt;'Données projet'!$A$62,$AF$205^A51,IF(A51='Données projet'!$A$62,'Données projet'!$B$62,AI50+AH51-AQ50)))</f>
        <v>285.24615384615379</v>
      </c>
      <c r="AJ51" s="13">
        <f>AI51*VLOOKUP('Données projet'!$B$10,Paramètres!$A$1:$I$89,3,0)*VLOOKUP('Données projet'!$B$10,Paramètres!$A$1:$I$89,5,0)</f>
        <v>170.5772</v>
      </c>
      <c r="AK51" s="13">
        <f t="shared" si="35"/>
        <v>43.219271671345155</v>
      </c>
      <c r="AL51" s="20">
        <f t="shared" si="4"/>
        <v>372.36218816092611</v>
      </c>
      <c r="AM51" s="59">
        <f t="shared" si="5"/>
        <v>665.69552149425942</v>
      </c>
      <c r="AN51" s="59">
        <f ca="1">AVERAGE(OFFSET($AM$3,0,0,'Données projet'!$E$10+1,1))-AVERAGE(OFFSET($H$3,0,0,'Données projet'!$E$10+1,1))</f>
        <v>200.14675249215634</v>
      </c>
      <c r="AO51" s="59">
        <f t="shared" si="36"/>
        <v>200.55017434999968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35.778777312734384</v>
      </c>
      <c r="AV51" s="21">
        <f>EXP(-LN(2)/25)*AV50+(1-EXP(-LN(2)/25))/(LN(2)/25)*Calculateur!AQ51*Calculateur!AS51*VLOOKUP('Données projet'!$B$10,Paramètres!$A$1:$I$89,3,0)*0.475*44/12</f>
        <v>16.827364414305769</v>
      </c>
      <c r="AW51" s="21">
        <f>EXP(-LN(2)/2)*AW50+(1-EXP(-LN(2)/2))/(LN(2)/2)*AQ51*AT51*VLOOKUP('Données projet'!$B$10,Paramètres!$A$1:$I$89,3,0)*0.475*44/12</f>
        <v>1.5397214830982378</v>
      </c>
      <c r="AX51" s="21">
        <f t="shared" si="6"/>
        <v>54.145863210138394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8.3442307692307622</v>
      </c>
      <c r="BD51" s="12">
        <f>IF('Données projet'!$A$88&gt;35,BD50+BC51-BL50,IF(A51&lt;'Données projet'!$A$88,$BA$205^A51,IF(A51='Données projet'!$A$88,'Données projet'!$B$88,BD50+BC51-BL50)))</f>
        <v>215.58461538461529</v>
      </c>
      <c r="BE51" s="13">
        <f>BD51*VLOOKUP('Données projet'!$B$11,Paramètres!$A$1:$I$89,3,0)*VLOOKUP('Données projet'!$B$11,Paramètres!$A$1:$I$89,5,0)</f>
        <v>123.31439999999995</v>
      </c>
      <c r="BF51" s="13">
        <f t="shared" si="37"/>
        <v>32.446798621830474</v>
      </c>
      <c r="BG51" s="20">
        <f t="shared" si="7"/>
        <v>271.28408759968801</v>
      </c>
      <c r="BH51" s="59">
        <f t="shared" si="8"/>
        <v>564.61742093302132</v>
      </c>
      <c r="BI51" s="59">
        <f ca="1">AVERAGE(OFFSET($BH$3,0,0,'Données projet'!$E$11+1,1))-AVERAGE(OFFSET($H$3,0,0,'Données projet'!$E$11+1,1))</f>
        <v>182.46132340647313</v>
      </c>
      <c r="BJ51" s="59">
        <f t="shared" si="38"/>
        <v>130.51706975490481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16.293840907959467</v>
      </c>
      <c r="BQ51" s="21">
        <f>EXP(-LN(2)/25)*BQ50+(1-EXP(-LN(2)/25))/(LN(2)/25)*Calculateur!BL51*Calculateur!BN51*VLOOKUP('Données projet'!$B$11,Paramètres!$A$1:$I$89,3,0)*0.475*44/12</f>
        <v>12.599823117130173</v>
      </c>
      <c r="BR51" s="21">
        <f>EXP(-LN(2)/2)*BR50+(1-EXP(-LN(2)/2))/(LN(2)/2)*BL51*BO51*VLOOKUP('Données projet'!$B$11,Paramètres!$A$1:$I$89,3,0)*0.475*44/12</f>
        <v>0.89859946814515679</v>
      </c>
      <c r="BS51" s="22">
        <f t="shared" si="9"/>
        <v>29.792263493234799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22.8</v>
      </c>
      <c r="BY51" s="12">
        <f>IF('Données projet'!$A$114&gt;35,BY50+BX51-CG50,IF(A51&lt;'Données projet'!$A$114,$BV$205^A51,IF(A51='Données projet'!$A$114,'Données projet'!$B$114,BY50+BX51-CG50)))</f>
        <v>503.39999999999986</v>
      </c>
      <c r="BZ51" s="13">
        <f>BY51*VLOOKUP('Données projet'!$B$12,Paramètres!$A$1:$I$89,3,0)*VLOOKUP('Données projet'!$B$12,Paramètres!$A$1:$I$89,5,0)</f>
        <v>202.87019999999993</v>
      </c>
      <c r="CA51" s="13">
        <f t="shared" si="39"/>
        <v>50.3744267576959</v>
      </c>
      <c r="CB51" s="20">
        <f t="shared" si="10"/>
        <v>441.06772493632019</v>
      </c>
      <c r="CC51" s="59">
        <f t="shared" si="11"/>
        <v>734.4010582696535</v>
      </c>
      <c r="CD51" s="59">
        <f ca="1">AVERAGE(OFFSET($CC$3,0,0,'Données projet'!$E$12+1,1))-AVERAGE(OFFSET($H$3,0,0,'Données projet'!$E$12+1,1))</f>
        <v>291.0962681460345</v>
      </c>
      <c r="CE51" s="59">
        <f t="shared" si="40"/>
        <v>240.28311826371385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4.0018227479760835</v>
      </c>
      <c r="CL51" s="21">
        <f>EXP(-LN(2)/25)*CL50+(1-EXP(-LN(2)/25))/(LN(2)/25)*Calculateur!CG51*Calculateur!CI51*VLOOKUP('Données projet'!$B$12,Paramètres!$A$1:$I$89,3,0)*0.475*44/12</f>
        <v>16.893848436501123</v>
      </c>
      <c r="CM51" s="21">
        <f>EXP(-LN(2)/2)*CM50+(1-EXP(-LN(2)/2))/(LN(2)/2)*CG51*CJ51*VLOOKUP('Données projet'!$B$12,Paramètres!$A$1:$I$89,3,0)*0.475*44/12</f>
        <v>2.6978266618870643</v>
      </c>
      <c r="CN51" s="22">
        <f t="shared" si="12"/>
        <v>23.593497846364272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15.1</v>
      </c>
      <c r="CT51" s="12">
        <f>IF('Données projet'!$A$140&gt;35,CT50+CS51-DB50,IF(A51&lt;'Données projet'!$A$140,$CQ$205^A51,IF(A51='Données projet'!$A$140,'Données projet'!$B$140,CT50+CS51-DB50)))</f>
        <v>479.39999999999986</v>
      </c>
      <c r="CU51" s="17">
        <f>CT51*VLOOKUP('Données projet'!$B$13,Paramètres!$A$1:$I$89,3,0)*VLOOKUP('Données projet'!$B$13,Paramètres!$A$1:$I$89,5,0)</f>
        <v>224.35919999999993</v>
      </c>
      <c r="CV51" s="13">
        <f t="shared" si="41"/>
        <v>55.061251669487255</v>
      </c>
      <c r="CW51" s="20">
        <f t="shared" si="13"/>
        <v>486.65728665769012</v>
      </c>
      <c r="CX51" s="59">
        <f t="shared" si="14"/>
        <v>779.99061999102344</v>
      </c>
      <c r="CY51" s="59">
        <f ca="1">AVERAGE(OFFSET($CX$3,0,0,'Données projet'!$E$13+1,1))-AVERAGE(OFFSET($H$3,0,0,'Données projet'!$E$13+1,1))</f>
        <v>225.92546546283018</v>
      </c>
      <c r="CZ51" s="59">
        <f t="shared" si="42"/>
        <v>309.38786160614563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23.707462640607289</v>
      </c>
      <c r="DG51" s="21">
        <f>EXP(-LN(2)/25)*DG50+(1-EXP(-LN(2)/25))/(LN(2)/25)*Calculateur!DB51*Calculateur!DD51*VLOOKUP('Données projet'!$B$13,Paramètres!$A$1:$I$89,3,0)*0.475*44/12</f>
        <v>30.468365038740195</v>
      </c>
      <c r="DH51" s="21">
        <f>EXP(-LN(2)/2)*DH50+(1-EXP(-LN(2)/2))/(LN(2)/2)*DB51*DE51*VLOOKUP('Données projet'!$B$13,Paramètres!$A$1:$I$89,3,0)*0.475*44/12</f>
        <v>4.7044214321775874E-3</v>
      </c>
      <c r="DI51" s="22">
        <f t="shared" si="15"/>
        <v>54.180532100779665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4.2</v>
      </c>
      <c r="DO51" s="12">
        <f>IF('Données projet'!$A$166&gt;35,DO50+DN51-DW50,IF(A51&lt;'Données projet'!$A$166,$DL$205^A51,IF(A51='Données projet'!$A$166,'Données projet'!$B$166,DO50+DN51-DW50)))</f>
        <v>115.59999999999995</v>
      </c>
      <c r="DP51" s="17">
        <f>DO51*VLOOKUP('Données projet'!$B$14,Paramètres!$A$1:$I$89,3,0)*VLOOKUP('Données projet'!$B$14,Paramètres!$A$1:$I$89,5,0)</f>
        <v>100.98815999999997</v>
      </c>
      <c r="DQ51" s="13">
        <f t="shared" si="43"/>
        <v>27.197278147637842</v>
      </c>
      <c r="DR51" s="20">
        <f t="shared" si="16"/>
        <v>223.2563047738025</v>
      </c>
      <c r="DS51" s="59">
        <f t="shared" si="17"/>
        <v>516.58963810713578</v>
      </c>
      <c r="DT51" s="59">
        <f ca="1">AVERAGE(OFFSET($DS$3,0,0,'Données projet'!$E$14+1,1))-AVERAGE(OFFSET($H$3,0,0,'Données projet'!$E$14+1,1))</f>
        <v>150.06600397498823</v>
      </c>
      <c r="DU51" s="59">
        <f t="shared" si="44"/>
        <v>170.53034305929714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-1.1368683772161603E-13</v>
      </c>
      <c r="O52" s="13">
        <f>N52*VLOOKUP('Données projet'!$B$9,Paramètres!$A$1:$I$89,3,0)*VLOOKUP('Données projet'!$B$9,Paramètres!$A$1:$I$89,5,0)</f>
        <v>-5.3205440053716299E-14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294.94285920643927</v>
      </c>
      <c r="T52" s="59">
        <f t="shared" si="34"/>
        <v>399.89535338426606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171.51925878974097</v>
      </c>
      <c r="AA52" s="21">
        <f>EXP(-LN(2)/25)*AA51+(1-EXP(-LN(2)/25))/(LN(2)/25)*Calculateur!V52*Calculateur!X52*VLOOKUP('Données projet'!$B$9,Paramètres!$A$1:$I$89,3,0)*0.475*44/12</f>
        <v>187.00892520750713</v>
      </c>
      <c r="AB52" s="21">
        <f>EXP(-LN(2)/2)*AB51+(1-EXP(-LN(2)/2))/(LN(2)/2)*V52*Y52*VLOOKUP('Données projet'!$B$9,Paramètres!$A$1:$I$89,3,0)*0.475*44/12</f>
        <v>1.1981687803900293E-2</v>
      </c>
      <c r="AC52" s="22">
        <f t="shared" si="3"/>
        <v>358.54016568505199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11.642307692307696</v>
      </c>
      <c r="AI52" s="13">
        <f>IF('Données projet'!$A$62&gt;35,AI51+AH52-AQ51,IF(A52&lt;'Données projet'!$A$62,$AF$205^A52,IF(A52='Données projet'!$A$62,'Données projet'!$B$62,AI51+AH52-AQ51)))</f>
        <v>296.88846153846146</v>
      </c>
      <c r="AJ52" s="13">
        <f>AI52*VLOOKUP('Données projet'!$B$10,Paramètres!$A$1:$I$89,3,0)*VLOOKUP('Données projet'!$B$10,Paramètres!$A$1:$I$89,5,0)</f>
        <v>177.53929999999997</v>
      </c>
      <c r="AK52" s="13">
        <f t="shared" si="35"/>
        <v>44.77428794630201</v>
      </c>
      <c r="AL52" s="20">
        <f t="shared" si="4"/>
        <v>387.19616567314262</v>
      </c>
      <c r="AM52" s="59">
        <f t="shared" si="5"/>
        <v>680.52949900647593</v>
      </c>
      <c r="AN52" s="59">
        <f ca="1">AVERAGE(OFFSET($AM$3,0,0,'Données projet'!$E$10+1,1))-AVERAGE(OFFSET($H$3,0,0,'Données projet'!$E$10+1,1))</f>
        <v>200.14675249215634</v>
      </c>
      <c r="AO52" s="59">
        <f t="shared" si="36"/>
        <v>200.55017434999968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35.077177312530992</v>
      </c>
      <c r="AV52" s="21">
        <f>EXP(-LN(2)/25)*AV51+(1-EXP(-LN(2)/25))/(LN(2)/25)*Calculateur!AQ52*Calculateur!AS52*VLOOKUP('Données projet'!$B$10,Paramètres!$A$1:$I$89,3,0)*0.475*44/12</f>
        <v>16.367219249483941</v>
      </c>
      <c r="AW52" s="21">
        <f>EXP(-LN(2)/2)*AW51+(1-EXP(-LN(2)/2))/(LN(2)/2)*AQ52*AT52*VLOOKUP('Données projet'!$B$10,Paramètres!$A$1:$I$89,3,0)*0.475*44/12</f>
        <v>1.088747501837372</v>
      </c>
      <c r="AX52" s="21">
        <f t="shared" si="6"/>
        <v>52.533144063852305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8.3442307692307622</v>
      </c>
      <c r="BD52" s="12">
        <f>IF('Données projet'!$A$88&gt;35,BD51+BC52-BL51,IF(A52&lt;'Données projet'!$A$88,$BA$205^A52,IF(A52='Données projet'!$A$88,'Données projet'!$B$88,BD51+BC52-BL51)))</f>
        <v>223.92884615384605</v>
      </c>
      <c r="BE52" s="13">
        <f>BD52*VLOOKUP('Données projet'!$B$11,Paramètres!$A$1:$I$89,3,0)*VLOOKUP('Données projet'!$B$11,Paramètres!$A$1:$I$89,5,0)</f>
        <v>128.08729999999994</v>
      </c>
      <c r="BF52" s="13">
        <f t="shared" si="37"/>
        <v>33.554009973808668</v>
      </c>
      <c r="BG52" s="20">
        <f t="shared" si="7"/>
        <v>281.52528153771664</v>
      </c>
      <c r="BH52" s="59">
        <f t="shared" si="8"/>
        <v>574.85861487104989</v>
      </c>
      <c r="BI52" s="59">
        <f ca="1">AVERAGE(OFFSET($BH$3,0,0,'Données projet'!$E$11+1,1))-AVERAGE(OFFSET($H$3,0,0,'Données projet'!$E$11+1,1))</f>
        <v>182.46132340647313</v>
      </c>
      <c r="BJ52" s="59">
        <f t="shared" si="38"/>
        <v>130.51706975490481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15.974328626016014</v>
      </c>
      <c r="BQ52" s="21">
        <f>EXP(-LN(2)/25)*BQ51+(1-EXP(-LN(2)/25))/(LN(2)/25)*Calculateur!BL52*Calculateur!BN52*VLOOKUP('Données projet'!$B$11,Paramètres!$A$1:$I$89,3,0)*0.475*44/12</f>
        <v>12.255280291396348</v>
      </c>
      <c r="BR52" s="21">
        <f>EXP(-LN(2)/2)*BR51+(1-EXP(-LN(2)/2))/(LN(2)/2)*BL52*BO52*VLOOKUP('Données projet'!$B$11,Paramètres!$A$1:$I$89,3,0)*0.475*44/12</f>
        <v>0.63540577749606542</v>
      </c>
      <c r="BS52" s="22">
        <f t="shared" si="9"/>
        <v>28.865014694908428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22.8</v>
      </c>
      <c r="BY52" s="12">
        <f>IF('Données projet'!$A$114&gt;35,BY51+BX52-CG51,IF(A52&lt;'Données projet'!$A$114,$BV$205^A52,IF(A52='Données projet'!$A$114,'Données projet'!$B$114,BY51+BX52-CG51)))</f>
        <v>526.19999999999982</v>
      </c>
      <c r="BZ52" s="13">
        <f>BY52*VLOOKUP('Données projet'!$B$12,Paramètres!$A$1:$I$89,3,0)*VLOOKUP('Données projet'!$B$12,Paramètres!$A$1:$I$89,5,0)</f>
        <v>212.05859999999993</v>
      </c>
      <c r="CA52" s="13">
        <f t="shared" si="39"/>
        <v>52.38518586875184</v>
      </c>
      <c r="CB52" s="20">
        <f t="shared" si="10"/>
        <v>460.57292705474265</v>
      </c>
      <c r="CC52" s="59">
        <f t="shared" si="11"/>
        <v>753.90626038807591</v>
      </c>
      <c r="CD52" s="59">
        <f ca="1">AVERAGE(OFFSET($CC$3,0,0,'Données projet'!$E$12+1,1))-AVERAGE(OFFSET($H$3,0,0,'Données projet'!$E$12+1,1))</f>
        <v>291.0962681460345</v>
      </c>
      <c r="CE52" s="59">
        <f t="shared" si="40"/>
        <v>240.28311826371385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3.9233494447591326</v>
      </c>
      <c r="CL52" s="21">
        <f>EXP(-LN(2)/25)*CL51+(1-EXP(-LN(2)/25))/(LN(2)/25)*Calculateur!CG52*Calculateur!CI52*VLOOKUP('Données projet'!$B$12,Paramètres!$A$1:$I$89,3,0)*0.475*44/12</f>
        <v>16.431885262596122</v>
      </c>
      <c r="CM52" s="21">
        <f>EXP(-LN(2)/2)*CM51+(1-EXP(-LN(2)/2))/(LN(2)/2)*CG52*CJ52*VLOOKUP('Données projet'!$B$12,Paramètres!$A$1:$I$89,3,0)*0.475*44/12</f>
        <v>1.9076515270862104</v>
      </c>
      <c r="CN52" s="22">
        <f t="shared" si="12"/>
        <v>22.262886234441464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15.1</v>
      </c>
      <c r="CT52" s="12">
        <f>IF('Données projet'!$A$140&gt;35,CT51+CS52-DB51,IF(A52&lt;'Données projet'!$A$140,$CQ$205^A52,IF(A52='Données projet'!$A$140,'Données projet'!$B$140,CT51+CS52-DB51)))</f>
        <v>494.49999999999989</v>
      </c>
      <c r="CU52" s="17">
        <f>CT52*VLOOKUP('Données projet'!$B$13,Paramètres!$A$1:$I$89,3,0)*VLOOKUP('Données projet'!$B$13,Paramètres!$A$1:$I$89,5,0)</f>
        <v>231.42599999999996</v>
      </c>
      <c r="CV52" s="13">
        <f t="shared" si="41"/>
        <v>56.590905067453221</v>
      </c>
      <c r="CW52" s="20">
        <f t="shared" si="13"/>
        <v>501.62944299248096</v>
      </c>
      <c r="CX52" s="59">
        <f t="shared" si="14"/>
        <v>794.96277632581427</v>
      </c>
      <c r="CY52" s="59">
        <f ca="1">AVERAGE(OFFSET($CX$3,0,0,'Données projet'!$E$13+1,1))-AVERAGE(OFFSET($H$3,0,0,'Données projet'!$E$13+1,1))</f>
        <v>225.92546546283018</v>
      </c>
      <c r="CZ52" s="59">
        <f t="shared" si="42"/>
        <v>309.38786160614563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23.242573758349373</v>
      </c>
      <c r="DG52" s="21">
        <f>EXP(-LN(2)/25)*DG51+(1-EXP(-LN(2)/25))/(LN(2)/25)*Calculateur!DB52*Calculateur!DD52*VLOOKUP('Données projet'!$B$13,Paramètres!$A$1:$I$89,3,0)*0.475*44/12</f>
        <v>29.635205994494164</v>
      </c>
      <c r="DH52" s="21">
        <f>EXP(-LN(2)/2)*DH51+(1-EXP(-LN(2)/2))/(LN(2)/2)*DB52*DE52*VLOOKUP('Données projet'!$B$13,Paramètres!$A$1:$I$89,3,0)*0.475*44/12</f>
        <v>3.3265282962521019E-3</v>
      </c>
      <c r="DI52" s="22">
        <f t="shared" si="15"/>
        <v>52.881106281139786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4.2</v>
      </c>
      <c r="DO52" s="12">
        <f>IF('Données projet'!$A$166&gt;35,DO51+DN52-DW51,IF(A52&lt;'Données projet'!$A$166,$DL$205^A52,IF(A52='Données projet'!$A$166,'Données projet'!$B$166,DO51+DN52-DW51)))</f>
        <v>119.79999999999995</v>
      </c>
      <c r="DP52" s="17">
        <f>DO52*VLOOKUP('Données projet'!$B$14,Paramètres!$A$1:$I$89,3,0)*VLOOKUP('Données projet'!$B$14,Paramètres!$A$1:$I$89,5,0)</f>
        <v>104.65727999999997</v>
      </c>
      <c r="DQ52" s="13">
        <f t="shared" si="43"/>
        <v>28.068573730915432</v>
      </c>
      <c r="DR52" s="20">
        <f t="shared" si="16"/>
        <v>231.16419524801097</v>
      </c>
      <c r="DS52" s="59">
        <f t="shared" si="17"/>
        <v>524.49752858134434</v>
      </c>
      <c r="DT52" s="59">
        <f ca="1">AVERAGE(OFFSET($DS$3,0,0,'Données projet'!$E$14+1,1))-AVERAGE(OFFSET($H$3,0,0,'Données projet'!$E$14+1,1))</f>
        <v>150.06600397498823</v>
      </c>
      <c r="DU52" s="59">
        <f t="shared" si="44"/>
        <v>170.53034305929714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-1.1368683772161603E-13</v>
      </c>
      <c r="O53" s="13">
        <f>N53*VLOOKUP('Données projet'!$B$9,Paramètres!$A$1:$I$89,3,0)*VLOOKUP('Données projet'!$B$9,Paramètres!$A$1:$I$89,5,0)</f>
        <v>-5.3205440053716299E-14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294.94285920643927</v>
      </c>
      <c r="T53" s="59">
        <f t="shared" si="34"/>
        <v>399.89535338426606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168.15587074129201</v>
      </c>
      <c r="AA53" s="21">
        <f>EXP(-LN(2)/25)*AA52+(1-EXP(-LN(2)/25))/(LN(2)/25)*Calculateur!V53*Calculateur!X53*VLOOKUP('Données projet'!$B$9,Paramètres!$A$1:$I$89,3,0)*0.475*44/12</f>
        <v>181.89515631333589</v>
      </c>
      <c r="AB53" s="21">
        <f>EXP(-LN(2)/2)*AB52+(1-EXP(-LN(2)/2))/(LN(2)/2)*V53*Y53*VLOOKUP('Données projet'!$B$9,Paramètres!$A$1:$I$89,3,0)*0.475*44/12</f>
        <v>8.4723326961980497E-3</v>
      </c>
      <c r="AC53" s="22">
        <f t="shared" si="3"/>
        <v>350.05949938732408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11.642307692307696</v>
      </c>
      <c r="AI53" s="13">
        <f>IF('Données projet'!$A$62&gt;35,AI52+AH53-AQ52,IF(A53&lt;'Données projet'!$A$62,$AF$205^A53,IF(A53='Données projet'!$A$62,'Données projet'!$B$62,AI52+AH53-AQ52)))</f>
        <v>308.53076923076912</v>
      </c>
      <c r="AJ53" s="13">
        <f>AI53*VLOOKUP('Données projet'!$B$10,Paramètres!$A$1:$I$89,3,0)*VLOOKUP('Données projet'!$B$10,Paramètres!$A$1:$I$89,5,0)</f>
        <v>184.50139999999996</v>
      </c>
      <c r="AK53" s="13">
        <f t="shared" si="35"/>
        <v>46.322220516606542</v>
      </c>
      <c r="AL53" s="20">
        <f t="shared" si="4"/>
        <v>402.01780573308969</v>
      </c>
      <c r="AM53" s="59">
        <f t="shared" si="5"/>
        <v>695.351139066423</v>
      </c>
      <c r="AN53" s="59">
        <f ca="1">AVERAGE(OFFSET($AM$3,0,0,'Données projet'!$E$10+1,1))-AVERAGE(OFFSET($H$3,0,0,'Données projet'!$E$10+1,1))</f>
        <v>200.14675249215634</v>
      </c>
      <c r="AO53" s="59">
        <f t="shared" si="36"/>
        <v>200.55017434999968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34.389335260397843</v>
      </c>
      <c r="AV53" s="21">
        <f>EXP(-LN(2)/25)*AV52+(1-EXP(-LN(2)/25))/(LN(2)/25)*Calculateur!AQ53*Calculateur!AS53*VLOOKUP('Données projet'!$B$10,Paramètres!$A$1:$I$89,3,0)*0.475*44/12</f>
        <v>15.919656778392151</v>
      </c>
      <c r="AW53" s="21">
        <f>EXP(-LN(2)/2)*AW52+(1-EXP(-LN(2)/2))/(LN(2)/2)*AQ53*AT53*VLOOKUP('Données projet'!$B$10,Paramètres!$A$1:$I$89,3,0)*0.475*44/12</f>
        <v>0.76986074154911888</v>
      </c>
      <c r="AX53" s="21">
        <f t="shared" si="6"/>
        <v>51.078852780339112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8.3442307692307622</v>
      </c>
      <c r="BD53" s="12">
        <f>IF('Données projet'!$A$88&gt;35,BD52+BC53-BL52,IF(A53&lt;'Données projet'!$A$88,$BA$205^A53,IF(A53='Données projet'!$A$88,'Données projet'!$B$88,BD52+BC53-BL52)))</f>
        <v>232.27307692307681</v>
      </c>
      <c r="BE53" s="13">
        <f>BD53*VLOOKUP('Données projet'!$B$11,Paramètres!$A$1:$I$89,3,0)*VLOOKUP('Données projet'!$B$11,Paramètres!$A$1:$I$89,5,0)</f>
        <v>132.86019999999994</v>
      </c>
      <c r="BF53" s="13">
        <f t="shared" si="37"/>
        <v>34.656428138122386</v>
      </c>
      <c r="BG53" s="20">
        <f t="shared" si="7"/>
        <v>291.75812734056302</v>
      </c>
      <c r="BH53" s="59">
        <f t="shared" si="8"/>
        <v>585.09146067389634</v>
      </c>
      <c r="BI53" s="59">
        <f ca="1">AVERAGE(OFFSET($BH$3,0,0,'Données projet'!$E$11+1,1))-AVERAGE(OFFSET($H$3,0,0,'Données projet'!$E$11+1,1))</f>
        <v>182.46132340647313</v>
      </c>
      <c r="BJ53" s="59">
        <f t="shared" si="38"/>
        <v>130.51706975490481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15.661081785038224</v>
      </c>
      <c r="BQ53" s="21">
        <f>EXP(-LN(2)/25)*BQ52+(1-EXP(-LN(2)/25))/(LN(2)/25)*Calculateur!BL53*Calculateur!BN53*VLOOKUP('Données projet'!$B$11,Paramètres!$A$1:$I$89,3,0)*0.475*44/12</f>
        <v>11.920159007350934</v>
      </c>
      <c r="BR53" s="21">
        <f>EXP(-LN(2)/2)*BR52+(1-EXP(-LN(2)/2))/(LN(2)/2)*BL53*BO53*VLOOKUP('Données projet'!$B$11,Paramètres!$A$1:$I$89,3,0)*0.475*44/12</f>
        <v>0.44929973407257845</v>
      </c>
      <c r="BS53" s="22">
        <f t="shared" si="9"/>
        <v>28.030540526461738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549</v>
      </c>
      <c r="BW53" s="12">
        <f>VLOOKUP(A53,'Données projet'!$A$113:$I$133,9,0)</f>
        <v>22.8</v>
      </c>
      <c r="BX53" s="12">
        <f t="array" ref="BX53">INDEX(BW:BW,MIN(IF(ISNUMBER(BW53:BW249),ROW(BW53:BW249),"")))</f>
        <v>22.8</v>
      </c>
      <c r="BY53" s="12">
        <f>IF('Données projet'!$A$114&gt;35,BY52+BX53-CG52,IF(A53&lt;'Données projet'!$A$114,$BV$205^A53,IF(A53='Données projet'!$A$114,'Données projet'!$B$114,BY52+BX53-CG52)))</f>
        <v>548.99999999999977</v>
      </c>
      <c r="BZ53" s="13">
        <f>BY53*VLOOKUP('Données projet'!$B$12,Paramètres!$A$1:$I$89,3,0)*VLOOKUP('Données projet'!$B$12,Paramètres!$A$1:$I$89,5,0)</f>
        <v>221.24699999999993</v>
      </c>
      <c r="CA53" s="13">
        <f t="shared" si="39"/>
        <v>54.3858257880811</v>
      </c>
      <c r="CB53" s="20">
        <f t="shared" si="10"/>
        <v>480.06050491424111</v>
      </c>
      <c r="CC53" s="59">
        <f t="shared" si="11"/>
        <v>773.39383824757442</v>
      </c>
      <c r="CD53" s="59">
        <f ca="1">AVERAGE(OFFSET($CC$3,0,0,'Données projet'!$E$12+1,1))-AVERAGE(OFFSET($H$3,0,0,'Données projet'!$E$12+1,1))</f>
        <v>291.0962681460345</v>
      </c>
      <c r="CE53" s="59">
        <f t="shared" si="40"/>
        <v>240.28311826371385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63</v>
      </c>
      <c r="CH53" s="16">
        <f>IF(ISNA(VLOOKUP(A53,'Données projet'!$A$113:$I$133,5,0)),0%,VLOOKUP(A53,'Données projet'!$A$113:$I$133,5,0)*VLOOKUP('Données projet'!$B$12,Paramètres!$A$1:$I$89,7,0))</f>
        <v>0.17460317460317462</v>
      </c>
      <c r="CI53" s="16">
        <f>IF(ISNA(VLOOKUP(A53,'Données projet'!$A$113:$I$133,6,0)),0%,VLOOKUP(A53,'Données projet'!$A$113:$I$133,6,0)*VLOOKUP('Données projet'!$B$12,Paramètres!$A$1:$I$89,7,0))</f>
        <v>0.22698412698412698</v>
      </c>
      <c r="CJ53" s="16">
        <f>IF(ISNA(VLOOKUP(A53,'Données projet'!$A$113:$I$133,7,0)),0%,VLOOKUP(A53,'Données projet'!$A$113:$I$133,7,0))</f>
        <v>0.13492063492063491</v>
      </c>
      <c r="CK53" s="21">
        <f>EXP(-LN(2)/35)*CK52+(1-EXP(-LN(2)/35))/(LN(2)/35)*CG53*CH53*VLOOKUP('Données projet'!$B$12,Paramètres!$A$1:$I$89,3,0)*0.475*44/12</f>
        <v>9.7270751861177605</v>
      </c>
      <c r="CL53" s="21">
        <f>EXP(-LN(2)/25)*CL52+(1-EXP(-LN(2)/25))/(LN(2)/25)*Calculateur!CG53*Calculateur!CI53*VLOOKUP('Données projet'!$B$12,Paramètres!$A$1:$I$89,3,0)*0.475*44/12</f>
        <v>23.597312076180192</v>
      </c>
      <c r="CM53" s="21">
        <f>EXP(-LN(2)/2)*CM52+(1-EXP(-LN(2)/2))/(LN(2)/2)*CG53*CJ53*VLOOKUP('Données projet'!$B$12,Paramètres!$A$1:$I$89,3,0)*0.475*44/12</f>
        <v>5.2273750661204401</v>
      </c>
      <c r="CN53" s="22">
        <f t="shared" si="12"/>
        <v>38.551762328418391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509.6</v>
      </c>
      <c r="CR53" s="12">
        <f>VLOOKUP(A53,'Données projet'!$A$139:$I$159,9,0)</f>
        <v>15.1</v>
      </c>
      <c r="CS53" s="12">
        <f t="array" ref="CS53">INDEX(CR:CR,MIN(IF(ISNUMBER(CR53:CR249),ROW(CR53:CR249),"")))</f>
        <v>15.1</v>
      </c>
      <c r="CT53" s="12">
        <f>IF('Données projet'!$A$140&gt;35,CT52+CS53-DB52,IF(A53&lt;'Données projet'!$A$140,$CQ$205^A53,IF(A53='Données projet'!$A$140,'Données projet'!$B$140,CT52+CS53-DB52)))</f>
        <v>509.59999999999991</v>
      </c>
      <c r="CU53" s="17">
        <f>CT53*VLOOKUP('Données projet'!$B$13,Paramètres!$A$1:$I$89,3,0)*VLOOKUP('Données projet'!$B$13,Paramètres!$A$1:$I$89,5,0)</f>
        <v>238.49279999999996</v>
      </c>
      <c r="CV53" s="13">
        <f t="shared" si="41"/>
        <v>58.115130258576542</v>
      </c>
      <c r="CW53" s="20">
        <f t="shared" si="13"/>
        <v>516.59214520035414</v>
      </c>
      <c r="CX53" s="59">
        <f t="shared" si="14"/>
        <v>809.92547853368751</v>
      </c>
      <c r="CY53" s="59">
        <f ca="1">AVERAGE(OFFSET($CX$3,0,0,'Données projet'!$E$13+1,1))-AVERAGE(OFFSET($H$3,0,0,'Données projet'!$E$13+1,1))</f>
        <v>225.92546546283018</v>
      </c>
      <c r="CZ53" s="59">
        <f t="shared" si="42"/>
        <v>309.38786160614563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509.6</v>
      </c>
      <c r="DC53" s="16">
        <f>IF(ISNA(VLOOKUP(A53,'Données projet'!$A$139:$I$159,5,0)),0%,VLOOKUP(A53,'Données projet'!$A$139:$I$159,5,0)*VLOOKUP('Données projet'!$B$13,Paramètres!$A$1:$I$89,7,0))</f>
        <v>0.27500000000000002</v>
      </c>
      <c r="DD53" s="16">
        <f>IF(ISNA(VLOOKUP(A53,'Données projet'!$A$139:$I$159,6,0)),0%,VLOOKUP(A53,'Données projet'!$A$139:$I$159,6,0)*VLOOKUP('Données projet'!$B$13,Paramètres!$A$1:$I$89,7,0))</f>
        <v>0.27500000000000002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109.79022068703738</v>
      </c>
      <c r="DG53" s="21">
        <f>EXP(-LN(2)/25)*DG52+(1-EXP(-LN(2)/25))/(LN(2)/25)*Calculateur!DB53*Calculateur!DD53*VLOOKUP('Données projet'!$B$13,Paramètres!$A$1:$I$89,3,0)*0.475*44/12</f>
        <v>115.4856837376864</v>
      </c>
      <c r="DH53" s="21">
        <f>EXP(-LN(2)/2)*DH52+(1-EXP(-LN(2)/2))/(LN(2)/2)*DB53*DE53*VLOOKUP('Données projet'!$B$13,Paramètres!$A$1:$I$89,3,0)*0.475*44/12</f>
        <v>2.3522107160887937E-3</v>
      </c>
      <c r="DI53" s="22">
        <f t="shared" si="15"/>
        <v>225.27825663543985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124</v>
      </c>
      <c r="DM53" s="12">
        <f>VLOOKUP(A53,'Données projet'!$A$165:$I$185,9,0)</f>
        <v>4.2</v>
      </c>
      <c r="DN53" s="12">
        <f t="array" ref="DN53">INDEX(DM:DM,MIN(IF(ISNUMBER(DM53:DM249),ROW(DM53:DM249),"")))</f>
        <v>4.2</v>
      </c>
      <c r="DO53" s="12">
        <f>IF('Données projet'!$A$166&gt;35,DO52+DN53-DW52,IF(A53&lt;'Données projet'!$A$166,$DL$205^A53,IF(A53='Données projet'!$A$166,'Données projet'!$B$166,DO52+DN53-DW52)))</f>
        <v>123.99999999999996</v>
      </c>
      <c r="DP53" s="17">
        <f>DO53*VLOOKUP('Données projet'!$B$14,Paramètres!$A$1:$I$89,3,0)*VLOOKUP('Données projet'!$B$14,Paramètres!$A$1:$I$89,5,0)</f>
        <v>108.32639999999998</v>
      </c>
      <c r="DQ53" s="13">
        <f t="shared" si="43"/>
        <v>28.936320206966883</v>
      </c>
      <c r="DR53" s="20">
        <f t="shared" si="16"/>
        <v>239.06590436046727</v>
      </c>
      <c r="DS53" s="59">
        <f t="shared" si="17"/>
        <v>532.39923769380061</v>
      </c>
      <c r="DT53" s="59">
        <f ca="1">AVERAGE(OFFSET($DS$3,0,0,'Données projet'!$E$14+1,1))-AVERAGE(OFFSET($H$3,0,0,'Données projet'!$E$14+1,1))</f>
        <v>150.06600397498823</v>
      </c>
      <c r="DU53" s="59">
        <f t="shared" si="44"/>
        <v>170.53034305929714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11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-1.1368683772161603E-13</v>
      </c>
      <c r="O54" s="13">
        <f>N54*VLOOKUP('Données projet'!$B$9,Paramètres!$A$1:$I$89,3,0)*VLOOKUP('Données projet'!$B$9,Paramètres!$A$1:$I$89,5,0)</f>
        <v>-5.3205440053716299E-14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294.94285920643927</v>
      </c>
      <c r="T54" s="59">
        <f t="shared" si="34"/>
        <v>399.89535338426606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164.85843668100898</v>
      </c>
      <c r="AA54" s="21">
        <f>EXP(-LN(2)/25)*AA53+(1-EXP(-LN(2)/25))/(LN(2)/25)*Calculateur!V54*Calculateur!X54*VLOOKUP('Données projet'!$B$9,Paramètres!$A$1:$I$89,3,0)*0.475*44/12</f>
        <v>176.92122369849719</v>
      </c>
      <c r="AB54" s="21">
        <f>EXP(-LN(2)/2)*AB53+(1-EXP(-LN(2)/2))/(LN(2)/2)*V54*Y54*VLOOKUP('Données projet'!$B$9,Paramètres!$A$1:$I$89,3,0)*0.475*44/12</f>
        <v>5.9908439019501466E-3</v>
      </c>
      <c r="AC54" s="22">
        <f t="shared" si="3"/>
        <v>341.78565122340808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11.642307692307696</v>
      </c>
      <c r="AI54" s="13">
        <f>IF('Données projet'!$A$62&gt;35,AI53+AH54-AQ53,IF(A54&lt;'Données projet'!$A$62,$AF$205^A54,IF(A54='Données projet'!$A$62,'Données projet'!$B$62,AI53+AH54-AQ53)))</f>
        <v>320.17307692307679</v>
      </c>
      <c r="AJ54" s="13">
        <f>AI54*VLOOKUP('Données projet'!$B$10,Paramètres!$A$1:$I$89,3,0)*VLOOKUP('Données projet'!$B$10,Paramètres!$A$1:$I$89,5,0)</f>
        <v>191.46349999999995</v>
      </c>
      <c r="AK54" s="13">
        <f t="shared" si="35"/>
        <v>47.863367286908087</v>
      </c>
      <c r="AL54" s="20">
        <f t="shared" si="4"/>
        <v>416.82762719136485</v>
      </c>
      <c r="AM54" s="59">
        <f t="shared" si="5"/>
        <v>710.16096052469811</v>
      </c>
      <c r="AN54" s="59">
        <f ca="1">AVERAGE(OFFSET($AM$3,0,0,'Données projet'!$E$10+1,1))-AVERAGE(OFFSET($H$3,0,0,'Données projet'!$E$10+1,1))</f>
        <v>200.14675249215634</v>
      </c>
      <c r="AO54" s="59">
        <f t="shared" si="36"/>
        <v>200.55017434999968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33.7149813713648</v>
      </c>
      <c r="AV54" s="21">
        <f>EXP(-LN(2)/25)*AV53+(1-EXP(-LN(2)/25))/(LN(2)/25)*Calculateur!AQ54*Calculateur!AS54*VLOOKUP('Données projet'!$B$10,Paramètres!$A$1:$I$89,3,0)*0.475*44/12</f>
        <v>15.484332926608651</v>
      </c>
      <c r="AW54" s="21">
        <f>EXP(-LN(2)/2)*AW53+(1-EXP(-LN(2)/2))/(LN(2)/2)*AQ54*AT54*VLOOKUP('Données projet'!$B$10,Paramètres!$A$1:$I$89,3,0)*0.475*44/12</f>
        <v>0.54437375091868601</v>
      </c>
      <c r="AX54" s="21">
        <f t="shared" si="6"/>
        <v>49.743688048892139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8.3442307692307622</v>
      </c>
      <c r="BD54" s="12">
        <f>IF('Données projet'!$A$88&gt;35,BD53+BC54-BL53,IF(A54&lt;'Données projet'!$A$88,$BA$205^A54,IF(A54='Données projet'!$A$88,'Données projet'!$B$88,BD53+BC54-BL53)))</f>
        <v>240.61730769230758</v>
      </c>
      <c r="BE54" s="13">
        <f>BD54*VLOOKUP('Données projet'!$B$11,Paramètres!$A$1:$I$89,3,0)*VLOOKUP('Données projet'!$B$11,Paramètres!$A$1:$I$89,5,0)</f>
        <v>137.63309999999996</v>
      </c>
      <c r="BF54" s="13">
        <f t="shared" si="37"/>
        <v>35.754245032021451</v>
      </c>
      <c r="BG54" s="20">
        <f t="shared" si="7"/>
        <v>301.98295926410395</v>
      </c>
      <c r="BH54" s="59">
        <f t="shared" si="8"/>
        <v>595.31629259743727</v>
      </c>
      <c r="BI54" s="59">
        <f ca="1">AVERAGE(OFFSET($BH$3,0,0,'Données projet'!$E$11+1,1))-AVERAGE(OFFSET($H$3,0,0,'Données projet'!$E$11+1,1))</f>
        <v>182.46132340647313</v>
      </c>
      <c r="BJ54" s="59">
        <f t="shared" si="38"/>
        <v>130.51706975490481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15.3539775235503</v>
      </c>
      <c r="BQ54" s="21">
        <f>EXP(-LN(2)/25)*BQ53+(1-EXP(-LN(2)/25))/(LN(2)/25)*Calculateur!BL54*Calculateur!BN54*VLOOKUP('Données projet'!$B$11,Paramètres!$A$1:$I$89,3,0)*0.475*44/12</f>
        <v>11.594201632441004</v>
      </c>
      <c r="BR54" s="21">
        <f>EXP(-LN(2)/2)*BR53+(1-EXP(-LN(2)/2))/(LN(2)/2)*BL54*BO54*VLOOKUP('Données projet'!$B$11,Paramètres!$A$1:$I$89,3,0)*0.475*44/12</f>
        <v>0.31770288874803276</v>
      </c>
      <c r="BS54" s="22">
        <f t="shared" si="9"/>
        <v>27.265882044739339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21.6</v>
      </c>
      <c r="BY54" s="12">
        <f>IF('Données projet'!$A$114&gt;35,BY53+BX54-CG53,IF(A54&lt;'Données projet'!$A$114,$BV$205^A54,IF(A54='Données projet'!$A$114,'Données projet'!$B$114,BY53+BX54-CG53)))</f>
        <v>507.5999999999998</v>
      </c>
      <c r="BZ54" s="13">
        <f>BY54*VLOOKUP('Données projet'!$B$12,Paramètres!$A$1:$I$89,3,0)*VLOOKUP('Données projet'!$B$12,Paramètres!$A$1:$I$89,5,0)</f>
        <v>204.56279999999992</v>
      </c>
      <c r="CA54" s="13">
        <f t="shared" si="39"/>
        <v>50.74561278586372</v>
      </c>
      <c r="CB54" s="20">
        <f t="shared" si="10"/>
        <v>444.66215226871253</v>
      </c>
      <c r="CC54" s="59">
        <f t="shared" si="11"/>
        <v>737.99548560204585</v>
      </c>
      <c r="CD54" s="59">
        <f ca="1">AVERAGE(OFFSET($CC$3,0,0,'Données projet'!$E$12+1,1))-AVERAGE(OFFSET($H$3,0,0,'Données projet'!$E$12+1,1))</f>
        <v>291.0962681460345</v>
      </c>
      <c r="CE54" s="59">
        <f t="shared" si="40"/>
        <v>240.28311826371385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9.5363331746480267</v>
      </c>
      <c r="CL54" s="21">
        <f>EXP(-LN(2)/25)*CL53+(1-EXP(-LN(2)/25))/(LN(2)/25)*Calculateur!CG54*Calculateur!CI54*VLOOKUP('Données projet'!$B$12,Paramètres!$A$1:$I$89,3,0)*0.475*44/12</f>
        <v>22.952042336528333</v>
      </c>
      <c r="CM54" s="21">
        <f>EXP(-LN(2)/2)*CM53+(1-EXP(-LN(2)/2))/(LN(2)/2)*CG54*CJ54*VLOOKUP('Données projet'!$B$12,Paramètres!$A$1:$I$89,3,0)*0.475*44/12</f>
        <v>3.6963123570592407</v>
      </c>
      <c r="CN54" s="22">
        <f t="shared" si="12"/>
        <v>36.184687868235599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-1.1368683772161603E-13</v>
      </c>
      <c r="CU54" s="17">
        <f>CT54*VLOOKUP('Données projet'!$B$13,Paramètres!$A$1:$I$89,3,0)*VLOOKUP('Données projet'!$B$13,Paramètres!$A$1:$I$89,5,0)</f>
        <v>-5.3205440053716299E-14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225.92546546283018</v>
      </c>
      <c r="CZ54" s="59">
        <f t="shared" si="42"/>
        <v>309.38786160614563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107.63730142478691</v>
      </c>
      <c r="DG54" s="21">
        <f>EXP(-LN(2)/25)*DG53+(1-EXP(-LN(2)/25))/(LN(2)/25)*Calculateur!DB54*Calculateur!DD54*VLOOKUP('Données projet'!$B$13,Paramètres!$A$1:$I$89,3,0)*0.475*44/12</f>
        <v>112.3277216427512</v>
      </c>
      <c r="DH54" s="21">
        <f>EXP(-LN(2)/2)*DH53+(1-EXP(-LN(2)/2))/(LN(2)/2)*DB54*DE54*VLOOKUP('Données projet'!$B$13,Paramètres!$A$1:$I$89,3,0)*0.475*44/12</f>
        <v>1.6632641481260509E-3</v>
      </c>
      <c r="DI54" s="22">
        <f t="shared" si="15"/>
        <v>219.96668633168625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</v>
      </c>
      <c r="DO54" s="12">
        <f>IF('Données projet'!$A$166&gt;35,DO53+DN54-DW53,IF(A54&lt;'Données projet'!$A$166,$DL$205^A54,IF(A54='Données projet'!$A$166,'Données projet'!$B$166,DO53+DN54-DW53)))</f>
        <v>116.99999999999996</v>
      </c>
      <c r="DP54" s="17">
        <f>DO54*VLOOKUP('Données projet'!$B$14,Paramètres!$A$1:$I$89,3,0)*VLOOKUP('Données projet'!$B$14,Paramètres!$A$1:$I$89,5,0)</f>
        <v>102.21119999999998</v>
      </c>
      <c r="DQ54" s="13">
        <f t="shared" si="43"/>
        <v>27.488113037666018</v>
      </c>
      <c r="DR54" s="20">
        <f t="shared" si="16"/>
        <v>225.89297020726829</v>
      </c>
      <c r="DS54" s="59">
        <f t="shared" si="17"/>
        <v>519.22630354060163</v>
      </c>
      <c r="DT54" s="59">
        <f ca="1">AVERAGE(OFFSET($DS$3,0,0,'Données projet'!$E$14+1,1))-AVERAGE(OFFSET($H$3,0,0,'Données projet'!$E$14+1,1))</f>
        <v>150.06600397498823</v>
      </c>
      <c r="DU54" s="59">
        <f t="shared" si="44"/>
        <v>170.53034305929714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-1.1368683772161603E-13</v>
      </c>
      <c r="O55" s="13">
        <f>N55*VLOOKUP('Données projet'!$B$9,Paramètres!$A$1:$I$89,3,0)*VLOOKUP('Données projet'!$B$9,Paramètres!$A$1:$I$89,5,0)</f>
        <v>-5.3205440053716299E-14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294.94285920643927</v>
      </c>
      <c r="T55" s="59">
        <f t="shared" si="34"/>
        <v>399.89535338426606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161.62566329141191</v>
      </c>
      <c r="AA55" s="21">
        <f>EXP(-LN(2)/25)*AA54+(1-EXP(-LN(2)/25))/(LN(2)/25)*Calculateur!V55*Calculateur!X55*VLOOKUP('Données projet'!$B$9,Paramètres!$A$1:$I$89,3,0)*0.475*44/12</f>
        <v>172.08330353257898</v>
      </c>
      <c r="AB55" s="21">
        <f>EXP(-LN(2)/2)*AB54+(1-EXP(-LN(2)/2))/(LN(2)/2)*V55*Y55*VLOOKUP('Données projet'!$B$9,Paramètres!$A$1:$I$89,3,0)*0.475*44/12</f>
        <v>4.2361663480990248E-3</v>
      </c>
      <c r="AC55" s="22">
        <f t="shared" si="3"/>
        <v>333.71320299033897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331.81538461538463</v>
      </c>
      <c r="AG55" s="12">
        <f>VLOOKUP(A55,'Données projet'!$A$61:$I$81,9,0)</f>
        <v>11.642307692307696</v>
      </c>
      <c r="AH55" s="12">
        <f t="array" ref="AH55">INDEX(AG:AG,MIN(IF(ISNUMBER(AG55:AG251),ROW(AG55:AG251),"")))</f>
        <v>11.642307692307696</v>
      </c>
      <c r="AI55" s="13">
        <f>IF('Données projet'!$A$62&gt;35,AI54+AH55-AQ54,IF(A55&lt;'Données projet'!$A$62,$AF$205^A55,IF(A55='Données projet'!$A$62,'Données projet'!$B$62,AI54+AH55-AQ54)))</f>
        <v>331.81538461538446</v>
      </c>
      <c r="AJ55" s="13">
        <f>AI55*VLOOKUP('Données projet'!$B$10,Paramètres!$A$1:$I$89,3,0)*VLOOKUP('Données projet'!$B$10,Paramètres!$A$1:$I$89,5,0)</f>
        <v>198.42559999999995</v>
      </c>
      <c r="AK55" s="13">
        <f t="shared" si="35"/>
        <v>49.398003268862659</v>
      </c>
      <c r="AL55" s="20">
        <f t="shared" si="4"/>
        <v>431.62610902660231</v>
      </c>
      <c r="AM55" s="59">
        <f t="shared" si="5"/>
        <v>724.95944235993557</v>
      </c>
      <c r="AN55" s="59">
        <f ca="1">AVERAGE(OFFSET($AM$3,0,0,'Données projet'!$E$10+1,1))-AVERAGE(OFFSET($H$3,0,0,'Données projet'!$E$10+1,1))</f>
        <v>200.14675249215634</v>
      </c>
      <c r="AO55" s="59">
        <f t="shared" si="36"/>
        <v>200.55017434999968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61.784615384615378</v>
      </c>
      <c r="AR55" s="16">
        <f>IF(ISNA(VLOOKUP(A55,'Données projet'!$A$61:$I$81,5,0)),0%,VLOOKUP(A55,'Données projet'!$A$61:$I$81,5,0)*VLOOKUP('Données projet'!$B$10,Paramètres!$A$1:$I$89,7,0))</f>
        <v>0.315</v>
      </c>
      <c r="AS55" s="16">
        <f>IF(ISNA(VLOOKUP(A55,'Données projet'!$A$61:$I$81,6,0)),0%,VLOOKUP(A55,'Données projet'!$A$61:$I$81,6,0)*VLOOKUP('Données projet'!$B$10,Paramètres!$A$1:$I$89,7,0))</f>
        <v>7.5600000000000001E-2</v>
      </c>
      <c r="AT55" s="16">
        <f>IF(ISNA(VLOOKUP(A55,'Données projet'!$A$61:$I$81,7,0)),0%,VLOOKUP(A55,'Données projet'!$A$61:$I$81,7,0))</f>
        <v>0.13200000000000001</v>
      </c>
      <c r="AU55" s="21">
        <f>EXP(-LN(2)/35)*AU54+(1-EXP(-LN(2)/35))/(LN(2)/35)*AQ55*AR55*VLOOKUP('Données projet'!$B$10,Paramètres!$A$1:$I$89,3,0)*0.475*44/12</f>
        <v>48.492896458905406</v>
      </c>
      <c r="AV55" s="21">
        <f>EXP(-LN(2)/25)*AV54+(1-EXP(-LN(2)/25))/(LN(2)/25)*Calculateur!AQ55*Calculateur!AS55*VLOOKUP('Données projet'!$B$10,Paramètres!$A$1:$I$89,3,0)*0.475*44/12</f>
        <v>18.751694445407118</v>
      </c>
      <c r="AW55" s="21">
        <f>EXP(-LN(2)/2)*AW54+(1-EXP(-LN(2)/2))/(LN(2)/2)*AQ55*AT55*VLOOKUP('Données projet'!$B$10,Paramètres!$A$1:$I$89,3,0)*0.475*44/12</f>
        <v>5.906861705672978</v>
      </c>
      <c r="AX55" s="21">
        <f t="shared" si="6"/>
        <v>73.151452609985512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248.96153846153842</v>
      </c>
      <c r="BB55" s="12">
        <f>VLOOKUP(A55,'Données projet'!$A$87:$I$107,9,0)</f>
        <v>8.3442307692307622</v>
      </c>
      <c r="BC55" s="12">
        <f t="array" ref="BC55">INDEX(BB:BB,MIN(IF(ISNUMBER(BB55:BB251),ROW(BB55:BB251),"")))</f>
        <v>8.3442307692307622</v>
      </c>
      <c r="BD55" s="12">
        <f>IF('Données projet'!$A$88&gt;35,BD54+BC55-BL54,IF(A55&lt;'Données projet'!$A$88,$BA$205^A55,IF(A55='Données projet'!$A$88,'Données projet'!$B$88,BD54+BC55-BL54)))</f>
        <v>248.96153846153834</v>
      </c>
      <c r="BE55" s="13">
        <f>BD55*VLOOKUP('Données projet'!$B$11,Paramètres!$A$1:$I$89,3,0)*VLOOKUP('Données projet'!$B$11,Paramètres!$A$1:$I$89,5,0)</f>
        <v>142.40599999999992</v>
      </c>
      <c r="BF55" s="13">
        <f t="shared" si="37"/>
        <v>36.847638507095525</v>
      </c>
      <c r="BG55" s="20">
        <f t="shared" si="7"/>
        <v>312.20008706652453</v>
      </c>
      <c r="BH55" s="59">
        <f t="shared" si="8"/>
        <v>605.53342039985785</v>
      </c>
      <c r="BI55" s="59">
        <f ca="1">AVERAGE(OFFSET($BH$3,0,0,'Données projet'!$E$11+1,1))-AVERAGE(OFFSET($H$3,0,0,'Données projet'!$E$11+1,1))</f>
        <v>182.46132340647313</v>
      </c>
      <c r="BJ55" s="59">
        <f t="shared" si="38"/>
        <v>130.51706975490481</v>
      </c>
      <c r="BK55" s="15">
        <f>IF(ISNA(VLOOKUP(A55,'Données projet'!$A$87:$I$107,3,0)),0,VLOOKUP(A55,'Données projet'!$A$87:$I$107,3,0))</f>
        <v>5</v>
      </c>
      <c r="BL55" s="15">
        <f>IF(ISNA(VLOOKUP(A55,'Données projet'!$A$87:$I$107,4,0)),0,VLOOKUP(A55,'Données projet'!$A$87:$I$107,4,0))</f>
        <v>42.030769230769231</v>
      </c>
      <c r="BM55" s="16">
        <f>IF(ISNA(VLOOKUP(A55,'Données projet'!$A$87:$I$107,5,0)),0%,VLOOKUP(A55,'Données projet'!$A$87:$I$107,5,0)*VLOOKUP('Données projet'!$B$11,Paramètres!$A$1:$I$89,7,0))</f>
        <v>0.315</v>
      </c>
      <c r="BN55" s="16">
        <f>IF(ISNA(VLOOKUP(A55,'Données projet'!$A$87:$I$107,6,0)),0%,VLOOKUP(A55,'Données projet'!$A$87:$I$107,6,0)*VLOOKUP('Données projet'!$B$11,Paramètres!$A$1:$I$89,7,0))</f>
        <v>7.6500000000000012E-2</v>
      </c>
      <c r="BO55" s="16">
        <f>IF(ISNA(VLOOKUP(A55,'Données projet'!$A$87:$I$107,7,0)),0%,VLOOKUP(A55,'Données projet'!$A$87:$I$107,7,0))</f>
        <v>0.13</v>
      </c>
      <c r="BP55" s="21">
        <f>EXP(-LN(2)/35)*BP54+(1-EXP(-LN(2)/35))/(LN(2)/35)*BL55*BM55*VLOOKUP('Données projet'!$B$11,Paramètres!$A$1:$I$89,3,0)*0.475*44/12</f>
        <v>25.099105973062056</v>
      </c>
      <c r="BQ55" s="21">
        <f>EXP(-LN(2)/25)*BQ54+(1-EXP(-LN(2)/25))/(LN(2)/25)*Calculateur!BL55*Calculateur!BN55*VLOOKUP('Données projet'!$B$11,Paramètres!$A$1:$I$89,3,0)*0.475*44/12</f>
        <v>13.707345179391224</v>
      </c>
      <c r="BR55" s="21">
        <f>EXP(-LN(2)/2)*BR54+(1-EXP(-LN(2)/2))/(LN(2)/2)*BL55*BO55*VLOOKUP('Données projet'!$B$11,Paramètres!$A$1:$I$89,3,0)*0.475*44/12</f>
        <v>3.7633377475838863</v>
      </c>
      <c r="BS55" s="22">
        <f t="shared" si="9"/>
        <v>42.569788900037167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21.6</v>
      </c>
      <c r="BY55" s="12">
        <f>IF('Données projet'!$A$114&gt;35,BY54+BX55-CG54,IF(A55&lt;'Données projet'!$A$114,$BV$205^A55,IF(A55='Données projet'!$A$114,'Données projet'!$B$114,BY54+BX55-CG54)))</f>
        <v>529.19999999999982</v>
      </c>
      <c r="BZ55" s="13">
        <f>BY55*VLOOKUP('Données projet'!$B$12,Paramètres!$A$1:$I$89,3,0)*VLOOKUP('Données projet'!$B$12,Paramètres!$A$1:$I$89,5,0)</f>
        <v>213.26759999999993</v>
      </c>
      <c r="CA55" s="13">
        <f t="shared" si="39"/>
        <v>52.648995583178795</v>
      </c>
      <c r="CB55" s="20">
        <f t="shared" si="10"/>
        <v>463.13807064070289</v>
      </c>
      <c r="CC55" s="59">
        <f t="shared" si="11"/>
        <v>756.47140397403621</v>
      </c>
      <c r="CD55" s="59">
        <f ca="1">AVERAGE(OFFSET($CC$3,0,0,'Données projet'!$E$12+1,1))-AVERAGE(OFFSET($H$3,0,0,'Données projet'!$E$12+1,1))</f>
        <v>291.0962681460345</v>
      </c>
      <c r="CE55" s="59">
        <f t="shared" si="40"/>
        <v>240.28311826371385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9.3493314976820745</v>
      </c>
      <c r="CL55" s="21">
        <f>EXP(-LN(2)/25)*CL54+(1-EXP(-LN(2)/25))/(LN(2)/25)*Calculateur!CG55*Calculateur!CI55*VLOOKUP('Données projet'!$B$12,Paramètres!$A$1:$I$89,3,0)*0.475*44/12</f>
        <v>22.324417531840517</v>
      </c>
      <c r="CM55" s="21">
        <f>EXP(-LN(2)/2)*CM54+(1-EXP(-LN(2)/2))/(LN(2)/2)*CG55*CJ55*VLOOKUP('Données projet'!$B$12,Paramètres!$A$1:$I$89,3,0)*0.475*44/12</f>
        <v>2.6136875330602205</v>
      </c>
      <c r="CN55" s="22">
        <f t="shared" si="12"/>
        <v>34.287436562582812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-1.1368683772161603E-13</v>
      </c>
      <c r="CU55" s="17">
        <f>CT55*VLOOKUP('Données projet'!$B$13,Paramètres!$A$1:$I$89,3,0)*VLOOKUP('Données projet'!$B$13,Paramètres!$A$1:$I$89,5,0)</f>
        <v>-5.3205440053716299E-14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225.92546546283018</v>
      </c>
      <c r="CZ55" s="59">
        <f t="shared" si="42"/>
        <v>309.38786160614563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105.52659959611809</v>
      </c>
      <c r="DG55" s="21">
        <f>EXP(-LN(2)/25)*DG54+(1-EXP(-LN(2)/25))/(LN(2)/25)*Calculateur!DB55*Calculateur!DD55*VLOOKUP('Données projet'!$B$13,Paramètres!$A$1:$I$89,3,0)*0.475*44/12</f>
        <v>109.25611418737202</v>
      </c>
      <c r="DH55" s="21">
        <f>EXP(-LN(2)/2)*DH54+(1-EXP(-LN(2)/2))/(LN(2)/2)*DB55*DE55*VLOOKUP('Données projet'!$B$13,Paramètres!$A$1:$I$89,3,0)*0.475*44/12</f>
        <v>1.1761053580443969E-3</v>
      </c>
      <c r="DI55" s="22">
        <f t="shared" si="15"/>
        <v>214.78388988884817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</v>
      </c>
      <c r="DO55" s="12">
        <f>IF('Données projet'!$A$166&gt;35,DO54+DN55-DW54,IF(A55&lt;'Données projet'!$A$166,$DL$205^A55,IF(A55='Données projet'!$A$166,'Données projet'!$B$166,DO54+DN55-DW54)))</f>
        <v>120.99999999999996</v>
      </c>
      <c r="DP55" s="17">
        <f>DO55*VLOOKUP('Données projet'!$B$14,Paramètres!$A$1:$I$89,3,0)*VLOOKUP('Données projet'!$B$14,Paramètres!$A$1:$I$89,5,0)</f>
        <v>105.70559999999996</v>
      </c>
      <c r="DQ55" s="13">
        <f t="shared" si="43"/>
        <v>28.316857405559993</v>
      </c>
      <c r="DR55" s="20">
        <f t="shared" si="16"/>
        <v>233.42244664801692</v>
      </c>
      <c r="DS55" s="59">
        <f t="shared" si="17"/>
        <v>526.7557799813502</v>
      </c>
      <c r="DT55" s="59">
        <f ca="1">AVERAGE(OFFSET($DS$3,0,0,'Données projet'!$E$14+1,1))-AVERAGE(OFFSET($H$3,0,0,'Données projet'!$E$14+1,1))</f>
        <v>150.06600397498823</v>
      </c>
      <c r="DU55" s="59">
        <f t="shared" si="44"/>
        <v>170.53034305929714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-1.1368683772161603E-13</v>
      </c>
      <c r="O56" s="13">
        <f>N56*VLOOKUP('Données projet'!$B$9,Paramètres!$A$1:$I$89,3,0)*VLOOKUP('Données projet'!$B$9,Paramètres!$A$1:$I$89,5,0)</f>
        <v>-5.3205440053716299E-14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294.94285920643927</v>
      </c>
      <c r="T56" s="59">
        <f t="shared" si="34"/>
        <v>399.89535338426606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158.45628261618776</v>
      </c>
      <c r="AA56" s="21">
        <f>EXP(-LN(2)/25)*AA55+(1-EXP(-LN(2)/25))/(LN(2)/25)*Calculateur!V56*Calculateur!X56*VLOOKUP('Données projet'!$B$9,Paramètres!$A$1:$I$89,3,0)*0.475*44/12</f>
        <v>167.37767654801297</v>
      </c>
      <c r="AB56" s="21">
        <f>EXP(-LN(2)/2)*AB55+(1-EXP(-LN(2)/2))/(LN(2)/2)*V56*Y56*VLOOKUP('Données projet'!$B$9,Paramètres!$A$1:$I$89,3,0)*0.475*44/12</f>
        <v>2.9954219509750733E-3</v>
      </c>
      <c r="AC56" s="22">
        <f t="shared" si="3"/>
        <v>325.83695458615171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10.433653846153845</v>
      </c>
      <c r="AI56" s="13">
        <f>IF('Données projet'!$A$62&gt;35,AI55+AH56-AQ55,IF(A56&lt;'Données projet'!$A$62,$AF$205^A56,IF(A56='Données projet'!$A$62,'Données projet'!$B$62,AI55+AH56-AQ55)))</f>
        <v>280.46442307692291</v>
      </c>
      <c r="AJ56" s="13">
        <f>AI56*VLOOKUP('Données projet'!$B$10,Paramètres!$A$1:$I$89,3,0)*VLOOKUP('Données projet'!$B$10,Paramètres!$A$1:$I$89,5,0)</f>
        <v>167.71772499999992</v>
      </c>
      <c r="AK56" s="13">
        <f t="shared" si="35"/>
        <v>42.578468510426184</v>
      </c>
      <c r="AL56" s="20">
        <f t="shared" si="4"/>
        <v>366.26587036399206</v>
      </c>
      <c r="AM56" s="59">
        <f t="shared" si="5"/>
        <v>659.59920369732538</v>
      </c>
      <c r="AN56" s="59">
        <f ca="1">AVERAGE(OFFSET($AM$3,0,0,'Données projet'!$E$10+1,1))-AVERAGE(OFFSET($H$3,0,0,'Données projet'!$E$10+1,1))</f>
        <v>200.14675249215634</v>
      </c>
      <c r="AO56" s="59">
        <f t="shared" si="36"/>
        <v>200.55017434999968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47.541980337092554</v>
      </c>
      <c r="AV56" s="21">
        <f>EXP(-LN(2)/25)*AV55+(1-EXP(-LN(2)/25))/(LN(2)/25)*Calculateur!AQ56*Calculateur!AS56*VLOOKUP('Données projet'!$B$10,Paramètres!$A$1:$I$89,3,0)*0.475*44/12</f>
        <v>18.238928374688708</v>
      </c>
      <c r="AW56" s="21">
        <f>EXP(-LN(2)/2)*AW55+(1-EXP(-LN(2)/2))/(LN(2)/2)*AQ56*AT56*VLOOKUP('Données projet'!$B$10,Paramètres!$A$1:$I$89,3,0)*0.475*44/12</f>
        <v>4.1767819676124995</v>
      </c>
      <c r="AX56" s="21">
        <f t="shared" si="6"/>
        <v>69.957690679393764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7.3615384615384691</v>
      </c>
      <c r="BD56" s="12">
        <f>IF('Données projet'!$A$88&gt;35,BD55+BC56-BL55,IF(A56&lt;'Données projet'!$A$88,$BA$205^A56,IF(A56='Données projet'!$A$88,'Données projet'!$B$88,BD55+BC56-BL55)))</f>
        <v>214.29230769230759</v>
      </c>
      <c r="BE56" s="13">
        <f>BD56*VLOOKUP('Données projet'!$B$11,Paramètres!$A$1:$I$89,3,0)*VLOOKUP('Données projet'!$B$11,Paramètres!$A$1:$I$89,5,0)</f>
        <v>122.57519999999995</v>
      </c>
      <c r="BF56" s="13">
        <f t="shared" si="37"/>
        <v>32.274878166740493</v>
      </c>
      <c r="BG56" s="20">
        <f t="shared" si="7"/>
        <v>269.69721947373961</v>
      </c>
      <c r="BH56" s="59">
        <f t="shared" si="8"/>
        <v>563.03055280707292</v>
      </c>
      <c r="BI56" s="59">
        <f ca="1">AVERAGE(OFFSET($BH$3,0,0,'Données projet'!$E$11+1,1))-AVERAGE(OFFSET($H$3,0,0,'Données projet'!$E$11+1,1))</f>
        <v>182.46132340647313</v>
      </c>
      <c r="BJ56" s="59">
        <f t="shared" si="38"/>
        <v>130.51706975490481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24.60692781387332</v>
      </c>
      <c r="BQ56" s="21">
        <f>EXP(-LN(2)/25)*BQ55+(1-EXP(-LN(2)/25))/(LN(2)/25)*Calculateur!BL56*Calculateur!BN56*VLOOKUP('Données projet'!$B$11,Paramètres!$A$1:$I$89,3,0)*0.475*44/12</f>
        <v>13.332517104622816</v>
      </c>
      <c r="BR56" s="21">
        <f>EXP(-LN(2)/2)*BR55+(1-EXP(-LN(2)/2))/(LN(2)/2)*BL56*BO56*VLOOKUP('Données projet'!$B$11,Paramètres!$A$1:$I$89,3,0)*0.475*44/12</f>
        <v>2.6610816412118741</v>
      </c>
      <c r="BS56" s="22">
        <f t="shared" si="9"/>
        <v>40.600526559708008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21.6</v>
      </c>
      <c r="BY56" s="12">
        <f>IF('Données projet'!$A$114&gt;35,BY55+BX56-CG55,IF(A56&lt;'Données projet'!$A$114,$BV$205^A56,IF(A56='Données projet'!$A$114,'Données projet'!$B$114,BY55+BX56-CG55)))</f>
        <v>550.79999999999984</v>
      </c>
      <c r="BZ56" s="13">
        <f>BY56*VLOOKUP('Données projet'!$B$12,Paramètres!$A$1:$I$89,3,0)*VLOOKUP('Données projet'!$B$12,Paramètres!$A$1:$I$89,5,0)</f>
        <v>221.97239999999996</v>
      </c>
      <c r="CA56" s="13">
        <f t="shared" si="39"/>
        <v>54.543354171476821</v>
      </c>
      <c r="CB56" s="20">
        <f t="shared" si="10"/>
        <v>481.59827184865543</v>
      </c>
      <c r="CC56" s="59">
        <f t="shared" si="11"/>
        <v>774.93160518198874</v>
      </c>
      <c r="CD56" s="59">
        <f ca="1">AVERAGE(OFFSET($CC$3,0,0,'Données projet'!$E$12+1,1))-AVERAGE(OFFSET($H$3,0,0,'Données projet'!$E$12+1,1))</f>
        <v>291.0962681460345</v>
      </c>
      <c r="CE56" s="59">
        <f t="shared" si="40"/>
        <v>240.28311826371385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9.1659968095416637</v>
      </c>
      <c r="CL56" s="21">
        <f>EXP(-LN(2)/25)*CL55+(1-EXP(-LN(2)/25))/(LN(2)/25)*Calculateur!CG56*Calculateur!CI56*VLOOKUP('Données projet'!$B$12,Paramètres!$A$1:$I$89,3,0)*0.475*44/12</f>
        <v>21.713955160442243</v>
      </c>
      <c r="CM56" s="21">
        <f>EXP(-LN(2)/2)*CM55+(1-EXP(-LN(2)/2))/(LN(2)/2)*CG56*CJ56*VLOOKUP('Données projet'!$B$12,Paramètres!$A$1:$I$89,3,0)*0.475*44/12</f>
        <v>1.8481561785296208</v>
      </c>
      <c r="CN56" s="22">
        <f t="shared" si="12"/>
        <v>32.728108148513527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-1.1368683772161603E-13</v>
      </c>
      <c r="CU56" s="17">
        <f>CT56*VLOOKUP('Données projet'!$B$13,Paramètres!$A$1:$I$89,3,0)*VLOOKUP('Données projet'!$B$13,Paramètres!$A$1:$I$89,5,0)</f>
        <v>-5.3205440053716299E-14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225.92546546283018</v>
      </c>
      <c r="CZ56" s="59">
        <f t="shared" si="42"/>
        <v>309.38786160614563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103.45728734290846</v>
      </c>
      <c r="DG56" s="21">
        <f>EXP(-LN(2)/25)*DG55+(1-EXP(-LN(2)/25))/(LN(2)/25)*Calculateur!DB56*Calculateur!DD56*VLOOKUP('Données projet'!$B$13,Paramètres!$A$1:$I$89,3,0)*0.475*44/12</f>
        <v>106.26849999938899</v>
      </c>
      <c r="DH56" s="21">
        <f>EXP(-LN(2)/2)*DH55+(1-EXP(-LN(2)/2))/(LN(2)/2)*DB56*DE56*VLOOKUP('Données projet'!$B$13,Paramètres!$A$1:$I$89,3,0)*0.475*44/12</f>
        <v>8.3163207406302547E-4</v>
      </c>
      <c r="DI56" s="22">
        <f t="shared" si="15"/>
        <v>209.72661897437152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</v>
      </c>
      <c r="DO56" s="12">
        <f>IF('Données projet'!$A$166&gt;35,DO55+DN56-DW55,IF(A56&lt;'Données projet'!$A$166,$DL$205^A56,IF(A56='Données projet'!$A$166,'Données projet'!$B$166,DO55+DN56-DW55)))</f>
        <v>124.99999999999996</v>
      </c>
      <c r="DP56" s="17">
        <f>DO56*VLOOKUP('Données projet'!$B$14,Paramètres!$A$1:$I$89,3,0)*VLOOKUP('Données projet'!$B$14,Paramètres!$A$1:$I$89,5,0)</f>
        <v>109.19999999999999</v>
      </c>
      <c r="DQ56" s="13">
        <f t="shared" si="43"/>
        <v>29.142418334948612</v>
      </c>
      <c r="DR56" s="20">
        <f t="shared" si="16"/>
        <v>240.94637860003544</v>
      </c>
      <c r="DS56" s="59">
        <f t="shared" si="17"/>
        <v>534.27971193336873</v>
      </c>
      <c r="DT56" s="59">
        <f ca="1">AVERAGE(OFFSET($DS$3,0,0,'Données projet'!$E$14+1,1))-AVERAGE(OFFSET($H$3,0,0,'Données projet'!$E$14+1,1))</f>
        <v>150.06600397498823</v>
      </c>
      <c r="DU56" s="59">
        <f t="shared" si="44"/>
        <v>170.53034305929714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-1.1368683772161603E-13</v>
      </c>
      <c r="O57" s="13">
        <f>N57*VLOOKUP('Données projet'!$B$9,Paramètres!$A$1:$I$89,3,0)*VLOOKUP('Données projet'!$B$9,Paramètres!$A$1:$I$89,5,0)</f>
        <v>-5.3205440053716299E-14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294.94285920643927</v>
      </c>
      <c r="T57" s="59">
        <f t="shared" si="34"/>
        <v>399.89535338426606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155.34905156287346</v>
      </c>
      <c r="AA57" s="21">
        <f>EXP(-LN(2)/25)*AA56+(1-EXP(-LN(2)/25))/(LN(2)/25)*Calculateur!V57*Calculateur!X57*VLOOKUP('Données projet'!$B$9,Paramètres!$A$1:$I$89,3,0)*0.475*44/12</f>
        <v>162.80072518079808</v>
      </c>
      <c r="AB57" s="21">
        <f>EXP(-LN(2)/2)*AB56+(1-EXP(-LN(2)/2))/(LN(2)/2)*V57*Y57*VLOOKUP('Données projet'!$B$9,Paramètres!$A$1:$I$89,3,0)*0.475*44/12</f>
        <v>2.1180831740495124E-3</v>
      </c>
      <c r="AC57" s="22">
        <f t="shared" si="3"/>
        <v>318.15189482684553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10.433653846153845</v>
      </c>
      <c r="AI57" s="13">
        <f>IF('Données projet'!$A$62&gt;35,AI56+AH57-AQ56,IF(A57&lt;'Données projet'!$A$62,$AF$205^A57,IF(A57='Données projet'!$A$62,'Données projet'!$B$62,AI56+AH57-AQ56)))</f>
        <v>290.89807692307676</v>
      </c>
      <c r="AJ57" s="13">
        <f>AI57*VLOOKUP('Données projet'!$B$10,Paramètres!$A$1:$I$89,3,0)*VLOOKUP('Données projet'!$B$10,Paramètres!$A$1:$I$89,5,0)</f>
        <v>173.95704999999992</v>
      </c>
      <c r="AK57" s="13">
        <f t="shared" si="35"/>
        <v>43.975080818549294</v>
      </c>
      <c r="AL57" s="20">
        <f t="shared" si="4"/>
        <v>379.56512784230654</v>
      </c>
      <c r="AM57" s="59">
        <f t="shared" si="5"/>
        <v>672.8984611756398</v>
      </c>
      <c r="AN57" s="59">
        <f ca="1">AVERAGE(OFFSET($AM$3,0,0,'Données projet'!$E$10+1,1))-AVERAGE(OFFSET($H$3,0,0,'Données projet'!$E$10+1,1))</f>
        <v>200.14675249215634</v>
      </c>
      <c r="AO57" s="59">
        <f t="shared" si="36"/>
        <v>200.55017434999968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46.609711100426885</v>
      </c>
      <c r="AV57" s="21">
        <f>EXP(-LN(2)/25)*AV56+(1-EXP(-LN(2)/25))/(LN(2)/25)*Calculateur!AQ57*Calculateur!AS57*VLOOKUP('Données projet'!$B$10,Paramètres!$A$1:$I$89,3,0)*0.475*44/12</f>
        <v>17.740183919139287</v>
      </c>
      <c r="AW57" s="21">
        <f>EXP(-LN(2)/2)*AW56+(1-EXP(-LN(2)/2))/(LN(2)/2)*AQ57*AT57*VLOOKUP('Données projet'!$B$10,Paramètres!$A$1:$I$89,3,0)*0.475*44/12</f>
        <v>2.9534308528364894</v>
      </c>
      <c r="AX57" s="21">
        <f t="shared" si="6"/>
        <v>67.303325872402667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7.3615384615384691</v>
      </c>
      <c r="BD57" s="12">
        <f>IF('Données projet'!$A$88&gt;35,BD56+BC57-BL56,IF(A57&lt;'Données projet'!$A$88,$BA$205^A57,IF(A57='Données projet'!$A$88,'Données projet'!$B$88,BD56+BC57-BL56)))</f>
        <v>221.65384615384605</v>
      </c>
      <c r="BE57" s="13">
        <f>BD57*VLOOKUP('Données projet'!$B$11,Paramètres!$A$1:$I$89,3,0)*VLOOKUP('Données projet'!$B$11,Paramètres!$A$1:$I$89,5,0)</f>
        <v>126.78599999999994</v>
      </c>
      <c r="BF57" s="13">
        <f t="shared" si="37"/>
        <v>33.252619733254313</v>
      </c>
      <c r="BG57" s="20">
        <f t="shared" si="7"/>
        <v>278.73392936875115</v>
      </c>
      <c r="BH57" s="59">
        <f t="shared" si="8"/>
        <v>572.06726270208446</v>
      </c>
      <c r="BI57" s="59">
        <f ca="1">AVERAGE(OFFSET($BH$3,0,0,'Données projet'!$E$11+1,1))-AVERAGE(OFFSET($H$3,0,0,'Données projet'!$E$11+1,1))</f>
        <v>182.46132340647313</v>
      </c>
      <c r="BJ57" s="59">
        <f t="shared" si="38"/>
        <v>130.51706975490481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24.124400968187238</v>
      </c>
      <c r="BQ57" s="21">
        <f>EXP(-LN(2)/25)*BQ56+(1-EXP(-LN(2)/25))/(LN(2)/25)*Calculateur!BL57*Calculateur!BN57*VLOOKUP('Données projet'!$B$11,Paramètres!$A$1:$I$89,3,0)*0.475*44/12</f>
        <v>12.967938723270303</v>
      </c>
      <c r="BR57" s="21">
        <f>EXP(-LN(2)/2)*BR56+(1-EXP(-LN(2)/2))/(LN(2)/2)*BL57*BO57*VLOOKUP('Données projet'!$B$11,Paramètres!$A$1:$I$89,3,0)*0.475*44/12</f>
        <v>1.8816688737919436</v>
      </c>
      <c r="BS57" s="22">
        <f t="shared" si="9"/>
        <v>38.974008565249484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21.6</v>
      </c>
      <c r="BY57" s="12">
        <f>IF('Données projet'!$A$114&gt;35,BY56+BX57-CG56,IF(A57&lt;'Données projet'!$A$114,$BV$205^A57,IF(A57='Données projet'!$A$114,'Données projet'!$B$114,BY56+BX57-CG56)))</f>
        <v>572.39999999999986</v>
      </c>
      <c r="BZ57" s="13">
        <f>BY57*VLOOKUP('Données projet'!$B$12,Paramètres!$A$1:$I$89,3,0)*VLOOKUP('Données projet'!$B$12,Paramètres!$A$1:$I$89,5,0)</f>
        <v>230.67719999999994</v>
      </c>
      <c r="CA57" s="13">
        <f t="shared" si="39"/>
        <v>56.42908293973656</v>
      </c>
      <c r="CB57" s="20">
        <f t="shared" si="10"/>
        <v>500.04344278670777</v>
      </c>
      <c r="CC57" s="59">
        <f t="shared" si="11"/>
        <v>793.37677612004109</v>
      </c>
      <c r="CD57" s="59">
        <f ca="1">AVERAGE(OFFSET($CC$3,0,0,'Données projet'!$E$12+1,1))-AVERAGE(OFFSET($H$3,0,0,'Données projet'!$E$12+1,1))</f>
        <v>291.0962681460345</v>
      </c>
      <c r="CE57" s="59">
        <f t="shared" si="40"/>
        <v>240.28311826371385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8.9862572028125687</v>
      </c>
      <c r="CL57" s="21">
        <f>EXP(-LN(2)/25)*CL56+(1-EXP(-LN(2)/25))/(LN(2)/25)*Calculateur!CG57*Calculateur!CI57*VLOOKUP('Données projet'!$B$12,Paramètres!$A$1:$I$89,3,0)*0.475*44/12</f>
        <v>21.120185914692676</v>
      </c>
      <c r="CM57" s="21">
        <f>EXP(-LN(2)/2)*CM56+(1-EXP(-LN(2)/2))/(LN(2)/2)*CG57*CJ57*VLOOKUP('Données projet'!$B$12,Paramètres!$A$1:$I$89,3,0)*0.475*44/12</f>
        <v>1.3068437665301105</v>
      </c>
      <c r="CN57" s="22">
        <f t="shared" si="12"/>
        <v>31.413286884035355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-1.1368683772161603E-13</v>
      </c>
      <c r="CU57" s="17">
        <f>CT57*VLOOKUP('Données projet'!$B$13,Paramètres!$A$1:$I$89,3,0)*VLOOKUP('Données projet'!$B$13,Paramètres!$A$1:$I$89,5,0)</f>
        <v>-5.3205440053716299E-14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225.92546546283018</v>
      </c>
      <c r="CZ57" s="59">
        <f t="shared" si="42"/>
        <v>309.38786160614563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101.42855304082843</v>
      </c>
      <c r="DG57" s="21">
        <f>EXP(-LN(2)/25)*DG56+(1-EXP(-LN(2)/25))/(LN(2)/25)*Calculateur!DB57*Calculateur!DD57*VLOOKUP('Données projet'!$B$13,Paramètres!$A$1:$I$89,3,0)*0.475*44/12</f>
        <v>103.36258227848816</v>
      </c>
      <c r="DH57" s="21">
        <f>EXP(-LN(2)/2)*DH56+(1-EXP(-LN(2)/2))/(LN(2)/2)*DB57*DE57*VLOOKUP('Données projet'!$B$13,Paramètres!$A$1:$I$89,3,0)*0.475*44/12</f>
        <v>5.8805267902219843E-4</v>
      </c>
      <c r="DI57" s="22">
        <f t="shared" si="15"/>
        <v>204.79172337199563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</v>
      </c>
      <c r="DO57" s="12">
        <f>IF('Données projet'!$A$166&gt;35,DO56+DN57-DW56,IF(A57&lt;'Données projet'!$A$166,$DL$205^A57,IF(A57='Données projet'!$A$166,'Données projet'!$B$166,DO56+DN57-DW56)))</f>
        <v>128.99999999999994</v>
      </c>
      <c r="DP57" s="17">
        <f>DO57*VLOOKUP('Données projet'!$B$14,Paramètres!$A$1:$I$89,3,0)*VLOOKUP('Données projet'!$B$14,Paramètres!$A$1:$I$89,5,0)</f>
        <v>112.69439999999997</v>
      </c>
      <c r="DQ57" s="13">
        <f t="shared" si="43"/>
        <v>29.964909381330607</v>
      </c>
      <c r="DR57" s="20">
        <f t="shared" si="16"/>
        <v>248.46496383915076</v>
      </c>
      <c r="DS57" s="59">
        <f t="shared" si="17"/>
        <v>541.79829717248413</v>
      </c>
      <c r="DT57" s="59">
        <f ca="1">AVERAGE(OFFSET($DS$3,0,0,'Données projet'!$E$14+1,1))-AVERAGE(OFFSET($H$3,0,0,'Données projet'!$E$14+1,1))</f>
        <v>150.06600397498823</v>
      </c>
      <c r="DU57" s="59">
        <f t="shared" si="44"/>
        <v>170.53034305929714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-5.3205440053716299E-14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294.94285920643927</v>
      </c>
      <c r="T58" s="59">
        <f t="shared" si="34"/>
        <v>399.89535338426606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152.30275141529083</v>
      </c>
      <c r="AA58" s="21">
        <f>EXP(-LN(2)/25)*AA57+(1-EXP(-LN(2)/25))/(LN(2)/25)*Calculateur!V58*Calculateur!X58*VLOOKUP('Données projet'!$B$9,Paramètres!$A$1:$I$89,3,0)*0.475*44/12</f>
        <v>158.3489307894111</v>
      </c>
      <c r="AB58" s="21">
        <f>EXP(-LN(2)/2)*AB57+(1-EXP(-LN(2)/2))/(LN(2)/2)*V58*Y58*VLOOKUP('Données projet'!$B$9,Paramètres!$A$1:$I$89,3,0)*0.475*44/12</f>
        <v>1.4977109754875366E-3</v>
      </c>
      <c r="AC58" s="22">
        <f t="shared" si="3"/>
        <v>310.65317991567747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10.433653846153845</v>
      </c>
      <c r="AI58" s="13">
        <f>IF('Données projet'!$A$62&gt;35,AI57+AH58-AQ57,IF(A58&lt;'Données projet'!$A$62,$AF$205^A58,IF(A58='Données projet'!$A$62,'Données projet'!$B$62,AI57+AH58-AQ57)))</f>
        <v>301.3317307692306</v>
      </c>
      <c r="AJ58" s="13">
        <f>AI58*VLOOKUP('Données projet'!$B$10,Paramètres!$A$1:$I$89,3,0)*VLOOKUP('Données projet'!$B$10,Paramètres!$A$1:$I$89,5,0)</f>
        <v>180.1963749999999</v>
      </c>
      <c r="AK58" s="13">
        <f t="shared" si="35"/>
        <v>45.365873213127998</v>
      </c>
      <c r="AL58" s="20">
        <f t="shared" si="4"/>
        <v>392.85424897119771</v>
      </c>
      <c r="AM58" s="59">
        <f t="shared" si="5"/>
        <v>686.18758230453102</v>
      </c>
      <c r="AN58" s="59">
        <f ca="1">AVERAGE(OFFSET($AM$3,0,0,'Données projet'!$E$10+1,1))-AVERAGE(OFFSET($H$3,0,0,'Données projet'!$E$10+1,1))</f>
        <v>200.14675249215634</v>
      </c>
      <c r="AO58" s="59">
        <f t="shared" si="36"/>
        <v>200.55017434999968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45.695723094864142</v>
      </c>
      <c r="AV58" s="21">
        <f>EXP(-LN(2)/25)*AV57+(1-EXP(-LN(2)/25))/(LN(2)/25)*Calculateur!AQ58*Calculateur!AS58*VLOOKUP('Données projet'!$B$10,Paramètres!$A$1:$I$89,3,0)*0.475*44/12</f>
        <v>17.255077656954697</v>
      </c>
      <c r="AW58" s="21">
        <f>EXP(-LN(2)/2)*AW57+(1-EXP(-LN(2)/2))/(LN(2)/2)*AQ58*AT58*VLOOKUP('Données projet'!$B$10,Paramètres!$A$1:$I$89,3,0)*0.475*44/12</f>
        <v>2.0883909838062502</v>
      </c>
      <c r="AX58" s="21">
        <f t="shared" si="6"/>
        <v>65.039191735625096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7.3615384615384691</v>
      </c>
      <c r="BD58" s="12">
        <f>IF('Données projet'!$A$88&gt;35,BD57+BC58-BL57,IF(A58&lt;'Données projet'!$A$88,$BA$205^A58,IF(A58='Données projet'!$A$88,'Données projet'!$B$88,BD57+BC58-BL57)))</f>
        <v>229.01538461538451</v>
      </c>
      <c r="BE58" s="13">
        <f>BD58*VLOOKUP('Données projet'!$B$11,Paramètres!$A$1:$I$89,3,0)*VLOOKUP('Données projet'!$B$11,Paramètres!$A$1:$I$89,5,0)</f>
        <v>130.99679999999995</v>
      </c>
      <c r="BF58" s="13">
        <f t="shared" si="37"/>
        <v>34.226588050155257</v>
      </c>
      <c r="BG58" s="20">
        <f t="shared" si="7"/>
        <v>287.76406752068698</v>
      </c>
      <c r="BH58" s="59">
        <f t="shared" si="8"/>
        <v>581.09740085402029</v>
      </c>
      <c r="BI58" s="59">
        <f ca="1">AVERAGE(OFFSET($BH$3,0,0,'Données projet'!$E$11+1,1))-AVERAGE(OFFSET($H$3,0,0,'Données projet'!$E$11+1,1))</f>
        <v>182.46132340647313</v>
      </c>
      <c r="BJ58" s="59">
        <f t="shared" si="38"/>
        <v>130.51706975490481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23.651336179632747</v>
      </c>
      <c r="BQ58" s="21">
        <f>EXP(-LN(2)/25)*BQ57+(1-EXP(-LN(2)/25))/(LN(2)/25)*Calculateur!BL58*Calculateur!BN58*VLOOKUP('Données projet'!$B$11,Paramètres!$A$1:$I$89,3,0)*0.475*44/12</f>
        <v>12.613329756928218</v>
      </c>
      <c r="BR58" s="21">
        <f>EXP(-LN(2)/2)*BR57+(1-EXP(-LN(2)/2))/(LN(2)/2)*BL58*BO58*VLOOKUP('Données projet'!$B$11,Paramètres!$A$1:$I$89,3,0)*0.475*44/12</f>
        <v>1.3305408206059373</v>
      </c>
      <c r="BS58" s="22">
        <f t="shared" si="9"/>
        <v>37.595206757166906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594</v>
      </c>
      <c r="BW58" s="12">
        <f>VLOOKUP(A58,'Données projet'!$A$113:$I$133,9,0)</f>
        <v>21.6</v>
      </c>
      <c r="BX58" s="12">
        <f t="array" ref="BX58">INDEX(BW:BW,MIN(IF(ISNUMBER(BW58:BW254),ROW(BW58:BW254),"")))</f>
        <v>21.6</v>
      </c>
      <c r="BY58" s="12">
        <f>IF('Données projet'!$A$114&gt;35,BY57+BX58-CG57,IF(A58&lt;'Données projet'!$A$114,$BV$205^A58,IF(A58='Données projet'!$A$114,'Données projet'!$B$114,BY57+BX58-CG57)))</f>
        <v>593.99999999999989</v>
      </c>
      <c r="BZ58" s="13">
        <f>BY58*VLOOKUP('Données projet'!$B$12,Paramètres!$A$1:$I$89,3,0)*VLOOKUP('Données projet'!$B$12,Paramètres!$A$1:$I$89,5,0)</f>
        <v>239.38199999999995</v>
      </c>
      <c r="CA58" s="13">
        <f t="shared" si="39"/>
        <v>58.306544825667189</v>
      </c>
      <c r="CB58" s="20">
        <f t="shared" si="10"/>
        <v>518.47421557137011</v>
      </c>
      <c r="CC58" s="59">
        <f t="shared" si="11"/>
        <v>811.80754890470348</v>
      </c>
      <c r="CD58" s="59">
        <f ca="1">AVERAGE(OFFSET($CC$3,0,0,'Données projet'!$E$12+1,1))-AVERAGE(OFFSET($H$3,0,0,'Données projet'!$E$12+1,1))</f>
        <v>291.0962681460345</v>
      </c>
      <c r="CE58" s="59">
        <f t="shared" si="40"/>
        <v>240.28311826371385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60</v>
      </c>
      <c r="CH58" s="16">
        <f>IF(ISNA(VLOOKUP(A58,'Données projet'!$A$113:$I$133,5,0)),0%,VLOOKUP(A58,'Données projet'!$A$113:$I$133,5,0)*VLOOKUP('Données projet'!$B$12,Paramètres!$A$1:$I$89,7,0))</f>
        <v>0.25666666666666671</v>
      </c>
      <c r="CI58" s="16">
        <f>IF(ISNA(VLOOKUP(A58,'Données projet'!$A$113:$I$133,6,0)),0%,VLOOKUP(A58,'Données projet'!$A$113:$I$133,6,0)*VLOOKUP('Données projet'!$B$12,Paramètres!$A$1:$I$89,7,0))</f>
        <v>0.1925</v>
      </c>
      <c r="CJ58" s="16">
        <f>IF(ISNA(VLOOKUP(A58,'Données projet'!$A$113:$I$133,7,0)),0%,VLOOKUP(A58,'Données projet'!$A$113:$I$133,7,0))</f>
        <v>9.166666666666666E-2</v>
      </c>
      <c r="CK58" s="21">
        <f>EXP(-LN(2)/35)*CK57+(1-EXP(-LN(2)/35))/(LN(2)/35)*CG58*CH58*VLOOKUP('Données projet'!$B$12,Paramètres!$A$1:$I$89,3,0)*0.475*44/12</f>
        <v>17.042966503489971</v>
      </c>
      <c r="CL58" s="21">
        <f>EXP(-LN(2)/25)*CL57+(1-EXP(-LN(2)/25))/(LN(2)/25)*Calculateur!CG58*Calculateur!CI58*VLOOKUP('Données projet'!$B$12,Paramètres!$A$1:$I$89,3,0)*0.475*44/12</f>
        <v>26.693034442666409</v>
      </c>
      <c r="CM58" s="21">
        <f>EXP(-LN(2)/2)*CM57+(1-EXP(-LN(2)/2))/(LN(2)/2)*CG58*CJ58*VLOOKUP('Données projet'!$B$12,Paramètres!$A$1:$I$89,3,0)*0.475*44/12</f>
        <v>3.433670976732222</v>
      </c>
      <c r="CN58" s="22">
        <f t="shared" si="12"/>
        <v>47.169671922888604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-1.1368683772161603E-13</v>
      </c>
      <c r="CU58" s="17">
        <f>CT58*VLOOKUP('Données projet'!$B$13,Paramètres!$A$1:$I$89,3,0)*VLOOKUP('Données projet'!$B$13,Paramètres!$A$1:$I$89,5,0)</f>
        <v>-5.3205440053716299E-14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225.92546546283018</v>
      </c>
      <c r="CZ58" s="59">
        <f t="shared" si="42"/>
        <v>309.38786160614563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99.43960098100645</v>
      </c>
      <c r="DG58" s="21">
        <f>EXP(-LN(2)/25)*DG57+(1-EXP(-LN(2)/25))/(LN(2)/25)*Calculateur!DB58*Calculateur!DD58*VLOOKUP('Données projet'!$B$13,Paramètres!$A$1:$I$89,3,0)*0.475*44/12</f>
        <v>100.53612703048094</v>
      </c>
      <c r="DH58" s="21">
        <f>EXP(-LN(2)/2)*DH57+(1-EXP(-LN(2)/2))/(LN(2)/2)*DB58*DE58*VLOOKUP('Données projet'!$B$13,Paramètres!$A$1:$I$89,3,0)*0.475*44/12</f>
        <v>4.1581603703151274E-4</v>
      </c>
      <c r="DI58" s="22">
        <f t="shared" si="15"/>
        <v>199.9761438275244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133</v>
      </c>
      <c r="DM58" s="12">
        <f>VLOOKUP(A58,'Données projet'!$A$165:$I$185,9,0)</f>
        <v>4</v>
      </c>
      <c r="DN58" s="12">
        <f t="array" ref="DN58">INDEX(DM:DM,MIN(IF(ISNUMBER(DM58:DM254),ROW(DM58:DM254),"")))</f>
        <v>4</v>
      </c>
      <c r="DO58" s="12">
        <f>IF('Données projet'!$A$166&gt;35,DO57+DN58-DW57,IF(A58&lt;'Données projet'!$A$166,$DL$205^A58,IF(A58='Données projet'!$A$166,'Données projet'!$B$166,DO57+DN58-DW57)))</f>
        <v>132.99999999999994</v>
      </c>
      <c r="DP58" s="17">
        <f>DO58*VLOOKUP('Données projet'!$B$14,Paramètres!$A$1:$I$89,3,0)*VLOOKUP('Données projet'!$B$14,Paramètres!$A$1:$I$89,5,0)</f>
        <v>116.18879999999997</v>
      </c>
      <c r="DQ58" s="13">
        <f t="shared" si="43"/>
        <v>30.784436657961702</v>
      </c>
      <c r="DR58" s="20">
        <f t="shared" si="16"/>
        <v>255.97838717928323</v>
      </c>
      <c r="DS58" s="59">
        <f t="shared" si="17"/>
        <v>549.3117205126166</v>
      </c>
      <c r="DT58" s="59">
        <f ca="1">AVERAGE(OFFSET($DS$3,0,0,'Données projet'!$E$14+1,1))-AVERAGE(OFFSET($H$3,0,0,'Données projet'!$E$14+1,1))</f>
        <v>150.06600397498823</v>
      </c>
      <c r="DU58" s="59">
        <f t="shared" si="44"/>
        <v>170.53034305929714</v>
      </c>
      <c r="DV58" s="15">
        <f>IF(ISNA(VLOOKUP(A58,'Données projet'!$A$165:$I$185,3,0)),0,VLOOKUP(A58,'Données projet'!$A$165:$I$185,3,0))</f>
        <v>6</v>
      </c>
      <c r="DW58" s="15">
        <f>IF(ISNA(VLOOKUP(A58,'Données projet'!$A$165:$I$185,4,0)),0,VLOOKUP(A58,'Données projet'!$A$165:$I$185,4,0))</f>
        <v>11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-5.3205440053716299E-14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294.94285920643927</v>
      </c>
      <c r="T59" s="59">
        <f t="shared" si="34"/>
        <v>399.89535338426606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149.31618735554267</v>
      </c>
      <c r="AA59" s="21">
        <f>EXP(-LN(2)/25)*AA58+(1-EXP(-LN(2)/25))/(LN(2)/25)*Calculateur!V59*Calculateur!X59*VLOOKUP('Données projet'!$B$9,Paramètres!$A$1:$I$89,3,0)*0.475*44/12</f>
        <v>154.0188709497663</v>
      </c>
      <c r="AB59" s="21">
        <f>EXP(-LN(2)/2)*AB58+(1-EXP(-LN(2)/2))/(LN(2)/2)*V59*Y59*VLOOKUP('Données projet'!$B$9,Paramètres!$A$1:$I$89,3,0)*0.475*44/12</f>
        <v>1.0590415870247562E-3</v>
      </c>
      <c r="AC59" s="22">
        <f t="shared" si="3"/>
        <v>303.336117346896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10.433653846153845</v>
      </c>
      <c r="AI59" s="13">
        <f>IF('Données projet'!$A$62&gt;35,AI58+AH59-AQ58,IF(A59&lt;'Données projet'!$A$62,$AF$205^A59,IF(A59='Données projet'!$A$62,'Données projet'!$B$62,AI58+AH59-AQ58)))</f>
        <v>311.76538461538445</v>
      </c>
      <c r="AJ59" s="13">
        <f>AI59*VLOOKUP('Données projet'!$B$10,Paramètres!$A$1:$I$89,3,0)*VLOOKUP('Données projet'!$B$10,Paramètres!$A$1:$I$89,5,0)</f>
        <v>186.43569999999991</v>
      </c>
      <c r="AK59" s="13">
        <f t="shared" si="35"/>
        <v>46.751070304344388</v>
      </c>
      <c r="AL59" s="20">
        <f t="shared" si="4"/>
        <v>406.13362494673294</v>
      </c>
      <c r="AM59" s="59">
        <f t="shared" si="5"/>
        <v>699.46695828006625</v>
      </c>
      <c r="AN59" s="59">
        <f ca="1">AVERAGE(OFFSET($AM$3,0,0,'Données projet'!$E$10+1,1))-AVERAGE(OFFSET($H$3,0,0,'Données projet'!$E$10+1,1))</f>
        <v>200.14675249215634</v>
      </c>
      <c r="AO59" s="59">
        <f t="shared" si="36"/>
        <v>200.55017434999968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44.799657836612852</v>
      </c>
      <c r="AV59" s="21">
        <f>EXP(-LN(2)/25)*AV58+(1-EXP(-LN(2)/25))/(LN(2)/25)*Calculateur!AQ59*Calculateur!AS59*VLOOKUP('Données projet'!$B$10,Paramètres!$A$1:$I$89,3,0)*0.475*44/12</f>
        <v>16.783236651020175</v>
      </c>
      <c r="AW59" s="21">
        <f>EXP(-LN(2)/2)*AW58+(1-EXP(-LN(2)/2))/(LN(2)/2)*AQ59*AT59*VLOOKUP('Données projet'!$B$10,Paramètres!$A$1:$I$89,3,0)*0.475*44/12</f>
        <v>1.4767154264182449</v>
      </c>
      <c r="AX59" s="21">
        <f t="shared" si="6"/>
        <v>63.059609914051272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7.3615384615384691</v>
      </c>
      <c r="BD59" s="12">
        <f>IF('Données projet'!$A$88&gt;35,BD58+BC59-BL58,IF(A59&lt;'Données projet'!$A$88,$BA$205^A59,IF(A59='Données projet'!$A$88,'Données projet'!$B$88,BD58+BC59-BL58)))</f>
        <v>236.37692307692296</v>
      </c>
      <c r="BE59" s="13">
        <f>BD59*VLOOKUP('Données projet'!$B$11,Paramètres!$A$1:$I$89,3,0)*VLOOKUP('Données projet'!$B$11,Paramètres!$A$1:$I$89,5,0)</f>
        <v>135.20759999999996</v>
      </c>
      <c r="BF59" s="13">
        <f t="shared" si="37"/>
        <v>35.196918318135666</v>
      </c>
      <c r="BG59" s="20">
        <f t="shared" si="7"/>
        <v>296.78786940408617</v>
      </c>
      <c r="BH59" s="59">
        <f t="shared" si="8"/>
        <v>590.12120273741948</v>
      </c>
      <c r="BI59" s="59">
        <f ca="1">AVERAGE(OFFSET($BH$3,0,0,'Données projet'!$E$11+1,1))-AVERAGE(OFFSET($H$3,0,0,'Données projet'!$E$11+1,1))</f>
        <v>182.46132340647313</v>
      </c>
      <c r="BJ59" s="59">
        <f t="shared" si="38"/>
        <v>130.51706975490481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23.18754790304078</v>
      </c>
      <c r="BQ59" s="21">
        <f>EXP(-LN(2)/25)*BQ58+(1-EXP(-LN(2)/25))/(LN(2)/25)*Calculateur!BL59*Calculateur!BN59*VLOOKUP('Données projet'!$B$11,Paramètres!$A$1:$I$89,3,0)*0.475*44/12</f>
        <v>12.268417591418832</v>
      </c>
      <c r="BR59" s="21">
        <f>EXP(-LN(2)/2)*BR58+(1-EXP(-LN(2)/2))/(LN(2)/2)*BL59*BO59*VLOOKUP('Données projet'!$B$11,Paramètres!$A$1:$I$89,3,0)*0.475*44/12</f>
        <v>0.9408344368959719</v>
      </c>
      <c r="BS59" s="22">
        <f t="shared" si="9"/>
        <v>36.396799931355581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20</v>
      </c>
      <c r="BY59" s="12">
        <f>IF('Données projet'!$A$114&gt;35,BY58+BX59-CG58,IF(A59&lt;'Données projet'!$A$114,$BV$205^A59,IF(A59='Données projet'!$A$114,'Données projet'!$B$114,BY58+BX59-CG58)))</f>
        <v>553.99999999999989</v>
      </c>
      <c r="BZ59" s="13">
        <f>BY59*VLOOKUP('Données projet'!$B$12,Paramètres!$A$1:$I$89,3,0)*VLOOKUP('Données projet'!$B$12,Paramètres!$A$1:$I$89,5,0)</f>
        <v>223.26199999999994</v>
      </c>
      <c r="CA59" s="13">
        <f t="shared" si="39"/>
        <v>54.823256841257212</v>
      </c>
      <c r="CB59" s="20">
        <f t="shared" si="10"/>
        <v>484.33182233185624</v>
      </c>
      <c r="CC59" s="59">
        <f t="shared" si="11"/>
        <v>777.66515566518956</v>
      </c>
      <c r="CD59" s="59">
        <f ca="1">AVERAGE(OFFSET($CC$3,0,0,'Données projet'!$E$12+1,1))-AVERAGE(OFFSET($H$3,0,0,'Données projet'!$E$12+1,1))</f>
        <v>291.0962681460345</v>
      </c>
      <c r="CE59" s="59">
        <f t="shared" si="40"/>
        <v>240.28311826371385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16.708764325539661</v>
      </c>
      <c r="CL59" s="21">
        <f>EXP(-LN(2)/25)*CL58+(1-EXP(-LN(2)/25))/(LN(2)/25)*Calculateur!CG59*Calculateur!CI59*VLOOKUP('Données projet'!$B$12,Paramètres!$A$1:$I$89,3,0)*0.475*44/12</f>
        <v>25.963112012106023</v>
      </c>
      <c r="CM59" s="21">
        <f>EXP(-LN(2)/2)*CM58+(1-EXP(-LN(2)/2))/(LN(2)/2)*CG59*CJ59*VLOOKUP('Données projet'!$B$12,Paramètres!$A$1:$I$89,3,0)*0.475*44/12</f>
        <v>2.4279720320107905</v>
      </c>
      <c r="CN59" s="22">
        <f t="shared" si="12"/>
        <v>45.099848369656478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-1.1368683772161603E-13</v>
      </c>
      <c r="CU59" s="17">
        <f>CT59*VLOOKUP('Données projet'!$B$13,Paramètres!$A$1:$I$89,3,0)*VLOOKUP('Données projet'!$B$13,Paramètres!$A$1:$I$89,5,0)</f>
        <v>-5.3205440053716299E-14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225.92546546283018</v>
      </c>
      <c r="CZ59" s="59">
        <f t="shared" si="42"/>
        <v>309.38786160614563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97.489651057936612</v>
      </c>
      <c r="DG59" s="21">
        <f>EXP(-LN(2)/25)*DG58+(1-EXP(-LN(2)/25))/(LN(2)/25)*Calculateur!DB59*Calculateur!DD59*VLOOKUP('Données projet'!$B$13,Paramètres!$A$1:$I$89,3,0)*0.475*44/12</f>
        <v>97.786961349867298</v>
      </c>
      <c r="DH59" s="21">
        <f>EXP(-LN(2)/2)*DH58+(1-EXP(-LN(2)/2))/(LN(2)/2)*DB59*DE59*VLOOKUP('Données projet'!$B$13,Paramètres!$A$1:$I$89,3,0)*0.475*44/12</f>
        <v>2.9402633951109921E-4</v>
      </c>
      <c r="DI59" s="22">
        <f t="shared" si="15"/>
        <v>195.2769064341434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3.6</v>
      </c>
      <c r="DO59" s="12">
        <f>IF('Données projet'!$A$166&gt;35,DO58+DN59-DW58,IF(A59&lt;'Données projet'!$A$166,$DL$205^A59,IF(A59='Données projet'!$A$166,'Données projet'!$B$166,DO58+DN59-DW58)))</f>
        <v>125.59999999999994</v>
      </c>
      <c r="DP59" s="17">
        <f>DO59*VLOOKUP('Données projet'!$B$14,Paramètres!$A$1:$I$89,3,0)*VLOOKUP('Données projet'!$B$14,Paramètres!$A$1:$I$89,5,0)</f>
        <v>109.72415999999996</v>
      </c>
      <c r="DQ59" s="13">
        <f t="shared" si="43"/>
        <v>29.2659850232866</v>
      </c>
      <c r="DR59" s="20">
        <f t="shared" si="16"/>
        <v>242.07450258222403</v>
      </c>
      <c r="DS59" s="59">
        <f t="shared" si="17"/>
        <v>535.40783591555737</v>
      </c>
      <c r="DT59" s="59">
        <f ca="1">AVERAGE(OFFSET($DS$3,0,0,'Données projet'!$E$14+1,1))-AVERAGE(OFFSET($H$3,0,0,'Données projet'!$E$14+1,1))</f>
        <v>150.06600397498823</v>
      </c>
      <c r="DU59" s="59">
        <f t="shared" si="44"/>
        <v>170.53034305929714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-5.3205440053716299E-14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294.94285920643927</v>
      </c>
      <c r="T60" s="59">
        <f t="shared" si="34"/>
        <v>399.89535338426606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146.38818799538197</v>
      </c>
      <c r="AA60" s="21">
        <f>EXP(-LN(2)/25)*AA59+(1-EXP(-LN(2)/25))/(LN(2)/25)*Calculateur!V60*Calculateur!X60*VLOOKUP('Données projet'!$B$9,Paramètres!$A$1:$I$89,3,0)*0.475*44/12</f>
        <v>149.80721682414452</v>
      </c>
      <c r="AB60" s="21">
        <f>EXP(-LN(2)/2)*AB59+(1-EXP(-LN(2)/2))/(LN(2)/2)*V60*Y60*VLOOKUP('Données projet'!$B$9,Paramètres!$A$1:$I$89,3,0)*0.475*44/12</f>
        <v>7.4885548774376832E-4</v>
      </c>
      <c r="AC60" s="22">
        <f t="shared" si="3"/>
        <v>296.19615367501427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10.433653846153845</v>
      </c>
      <c r="AI60" s="13">
        <f>IF('Données projet'!$A$62&gt;35,AI59+AH60-AQ59,IF(A60&lt;'Données projet'!$A$62,$AF$205^A60,IF(A60='Données projet'!$A$62,'Données projet'!$B$62,AI59+AH60-AQ59)))</f>
        <v>322.19903846153829</v>
      </c>
      <c r="AJ60" s="13">
        <f>AI60*VLOOKUP('Données projet'!$B$10,Paramètres!$A$1:$I$89,3,0)*VLOOKUP('Données projet'!$B$10,Paramètres!$A$1:$I$89,5,0)</f>
        <v>192.67502499999992</v>
      </c>
      <c r="AK60" s="13">
        <f t="shared" si="35"/>
        <v>48.130880815569739</v>
      </c>
      <c r="AL60" s="20">
        <f t="shared" si="4"/>
        <v>419.40361929545043</v>
      </c>
      <c r="AM60" s="59">
        <f t="shared" si="5"/>
        <v>712.73695262878368</v>
      </c>
      <c r="AN60" s="59">
        <f ca="1">AVERAGE(OFFSET($AM$3,0,0,'Données projet'!$E$10+1,1))-AVERAGE(OFFSET($H$3,0,0,'Données projet'!$E$10+1,1))</f>
        <v>200.14675249215634</v>
      </c>
      <c r="AO60" s="59">
        <f t="shared" si="36"/>
        <v>200.55017434999968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43.921163871530027</v>
      </c>
      <c r="AV60" s="21">
        <f>EXP(-LN(2)/25)*AV59+(1-EXP(-LN(2)/25))/(LN(2)/25)*Calculateur!AQ60*Calculateur!AS60*VLOOKUP('Données projet'!$B$10,Paramètres!$A$1:$I$89,3,0)*0.475*44/12</f>
        <v>16.32429816220597</v>
      </c>
      <c r="AW60" s="21">
        <f>EXP(-LN(2)/2)*AW59+(1-EXP(-LN(2)/2))/(LN(2)/2)*AQ60*AT60*VLOOKUP('Données projet'!$B$10,Paramètres!$A$1:$I$89,3,0)*0.475*44/12</f>
        <v>1.0441954919031251</v>
      </c>
      <c r="AX60" s="21">
        <f t="shared" si="6"/>
        <v>61.289657525639122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7.3615384615384691</v>
      </c>
      <c r="BD60" s="12">
        <f>IF('Données projet'!$A$88&gt;35,BD59+BC60-BL59,IF(A60&lt;'Données projet'!$A$88,$BA$205^A60,IF(A60='Données projet'!$A$88,'Données projet'!$B$88,BD59+BC60-BL59)))</f>
        <v>243.73846153846142</v>
      </c>
      <c r="BE60" s="13">
        <f>BD60*VLOOKUP('Données projet'!$B$11,Paramètres!$A$1:$I$89,3,0)*VLOOKUP('Données projet'!$B$11,Paramètres!$A$1:$I$89,5,0)</f>
        <v>139.41839999999993</v>
      </c>
      <c r="BF60" s="13">
        <f t="shared" si="37"/>
        <v>36.163736838374014</v>
      </c>
      <c r="BG60" s="20">
        <f t="shared" si="7"/>
        <v>305.80555499350123</v>
      </c>
      <c r="BH60" s="59">
        <f t="shared" si="8"/>
        <v>599.1388883268346</v>
      </c>
      <c r="BI60" s="59">
        <f ca="1">AVERAGE(OFFSET($BH$3,0,0,'Données projet'!$E$11+1,1))-AVERAGE(OFFSET($H$3,0,0,'Données projet'!$E$11+1,1))</f>
        <v>182.46132340647313</v>
      </c>
      <c r="BJ60" s="59">
        <f t="shared" si="38"/>
        <v>130.51706975490481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22.732854231669865</v>
      </c>
      <c r="BQ60" s="21">
        <f>EXP(-LN(2)/25)*BQ59+(1-EXP(-LN(2)/25))/(LN(2)/25)*Calculateur!BL60*Calculateur!BN60*VLOOKUP('Données projet'!$B$11,Paramètres!$A$1:$I$89,3,0)*0.475*44/12</f>
        <v>11.932937067213443</v>
      </c>
      <c r="BR60" s="21">
        <f>EXP(-LN(2)/2)*BR59+(1-EXP(-LN(2)/2))/(LN(2)/2)*BL60*BO60*VLOOKUP('Données projet'!$B$11,Paramètres!$A$1:$I$89,3,0)*0.475*44/12</f>
        <v>0.66527041030296874</v>
      </c>
      <c r="BS60" s="22">
        <f t="shared" si="9"/>
        <v>35.331061709186272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20</v>
      </c>
      <c r="BY60" s="12">
        <f>IF('Données projet'!$A$114&gt;35,BY59+BX60-CG59,IF(A60&lt;'Données projet'!$A$114,$BV$205^A60,IF(A60='Données projet'!$A$114,'Données projet'!$B$114,BY59+BX60-CG59)))</f>
        <v>573.99999999999989</v>
      </c>
      <c r="BZ60" s="13">
        <f>BY60*VLOOKUP('Données projet'!$B$12,Paramètres!$A$1:$I$89,3,0)*VLOOKUP('Données projet'!$B$12,Paramètres!$A$1:$I$89,5,0)</f>
        <v>231.32199999999997</v>
      </c>
      <c r="CA60" s="13">
        <f t="shared" si="39"/>
        <v>56.568433420783407</v>
      </c>
      <c r="CB60" s="20">
        <f t="shared" si="10"/>
        <v>501.40917154119774</v>
      </c>
      <c r="CC60" s="59">
        <f t="shared" si="11"/>
        <v>794.74250487453105</v>
      </c>
      <c r="CD60" s="59">
        <f ca="1">AVERAGE(OFFSET($CC$3,0,0,'Données projet'!$E$12+1,1))-AVERAGE(OFFSET($H$3,0,0,'Données projet'!$E$12+1,1))</f>
        <v>291.0962681460345</v>
      </c>
      <c r="CE60" s="59">
        <f t="shared" si="40"/>
        <v>240.28311826371385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16.381115648455754</v>
      </c>
      <c r="CL60" s="21">
        <f>EXP(-LN(2)/25)*CL59+(1-EXP(-LN(2)/25))/(LN(2)/25)*Calculateur!CG60*Calculateur!CI60*VLOOKUP('Données projet'!$B$12,Paramètres!$A$1:$I$89,3,0)*0.475*44/12</f>
        <v>25.253149348794263</v>
      </c>
      <c r="CM60" s="21">
        <f>EXP(-LN(2)/2)*CM59+(1-EXP(-LN(2)/2))/(LN(2)/2)*CG60*CJ60*VLOOKUP('Données projet'!$B$12,Paramètres!$A$1:$I$89,3,0)*0.475*44/12</f>
        <v>1.7168354883661112</v>
      </c>
      <c r="CN60" s="22">
        <f t="shared" si="12"/>
        <v>43.351100485616122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-1.1368683772161603E-13</v>
      </c>
      <c r="CU60" s="17">
        <f>CT60*VLOOKUP('Données projet'!$B$13,Paramètres!$A$1:$I$89,3,0)*VLOOKUP('Données projet'!$B$13,Paramètres!$A$1:$I$89,5,0)</f>
        <v>-5.3205440053716299E-14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225.92546546283018</v>
      </c>
      <c r="CZ60" s="59">
        <f t="shared" si="42"/>
        <v>309.38786160614563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95.577938463506158</v>
      </c>
      <c r="DG60" s="21">
        <f>EXP(-LN(2)/25)*DG59+(1-EXP(-LN(2)/25))/(LN(2)/25)*Calculateur!DB60*Calculateur!DD60*VLOOKUP('Données projet'!$B$13,Paramètres!$A$1:$I$89,3,0)*0.475*44/12</f>
        <v>95.112971749362373</v>
      </c>
      <c r="DH60" s="21">
        <f>EXP(-LN(2)/2)*DH59+(1-EXP(-LN(2)/2))/(LN(2)/2)*DB60*DE60*VLOOKUP('Données projet'!$B$13,Paramètres!$A$1:$I$89,3,0)*0.475*44/12</f>
        <v>2.0790801851575637E-4</v>
      </c>
      <c r="DI60" s="22">
        <f t="shared" si="15"/>
        <v>190.69111812088704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3.6</v>
      </c>
      <c r="DO60" s="12">
        <f>IF('Données projet'!$A$166&gt;35,DO59+DN60-DW59,IF(A60&lt;'Données projet'!$A$166,$DL$205^A60,IF(A60='Données projet'!$A$166,'Données projet'!$B$166,DO59+DN60-DW59)))</f>
        <v>129.19999999999993</v>
      </c>
      <c r="DP60" s="17">
        <f>DO60*VLOOKUP('Données projet'!$B$14,Paramètres!$A$1:$I$89,3,0)*VLOOKUP('Données projet'!$B$14,Paramètres!$A$1:$I$89,5,0)</f>
        <v>112.86911999999997</v>
      </c>
      <c r="DQ60" s="13">
        <f t="shared" si="43"/>
        <v>30.005955282446411</v>
      </c>
      <c r="DR60" s="20">
        <f t="shared" si="16"/>
        <v>248.84075611692742</v>
      </c>
      <c r="DS60" s="59">
        <f t="shared" si="17"/>
        <v>542.17408945026068</v>
      </c>
      <c r="DT60" s="59">
        <f ca="1">AVERAGE(OFFSET($DS$3,0,0,'Données projet'!$E$14+1,1))-AVERAGE(OFFSET($H$3,0,0,'Données projet'!$E$14+1,1))</f>
        <v>150.06600397498823</v>
      </c>
      <c r="DU60" s="59">
        <f t="shared" si="44"/>
        <v>170.53034305929714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-5.3205440053716299E-14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294.94285920643927</v>
      </c>
      <c r="T61" s="59">
        <f t="shared" si="34"/>
        <v>399.89535338426606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143.51760491677075</v>
      </c>
      <c r="AA61" s="21">
        <f>EXP(-LN(2)/25)*AA60+(1-EXP(-LN(2)/25))/(LN(2)/25)*Calculateur!V61*Calculateur!X61*VLOOKUP('Données projet'!$B$9,Paramètres!$A$1:$I$89,3,0)*0.475*44/12</f>
        <v>145.71073060206913</v>
      </c>
      <c r="AB61" s="21">
        <f>EXP(-LN(2)/2)*AB60+(1-EXP(-LN(2)/2))/(LN(2)/2)*V61*Y61*VLOOKUP('Données projet'!$B$9,Paramètres!$A$1:$I$89,3,0)*0.475*44/12</f>
        <v>5.2952079351237811E-4</v>
      </c>
      <c r="AC61" s="22">
        <f t="shared" si="3"/>
        <v>289.22886503963343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10.433653846153845</v>
      </c>
      <c r="AI61" s="13">
        <f>IF('Données projet'!$A$62&gt;35,AI60+AH61-AQ60,IF(A61&lt;'Données projet'!$A$62,$AF$205^A61,IF(A61='Données projet'!$A$62,'Données projet'!$B$62,AI60+AH61-AQ60)))</f>
        <v>332.63269230769214</v>
      </c>
      <c r="AJ61" s="13">
        <f>AI61*VLOOKUP('Données projet'!$B$10,Paramètres!$A$1:$I$89,3,0)*VLOOKUP('Données projet'!$B$10,Paramètres!$A$1:$I$89,5,0)</f>
        <v>198.91434999999993</v>
      </c>
      <c r="AK61" s="13">
        <f t="shared" si="35"/>
        <v>49.50549918474259</v>
      </c>
      <c r="AL61" s="20">
        <f t="shared" si="4"/>
        <v>432.66457066342656</v>
      </c>
      <c r="AM61" s="59">
        <f t="shared" si="5"/>
        <v>725.99790399675987</v>
      </c>
      <c r="AN61" s="59">
        <f ca="1">AVERAGE(OFFSET($AM$3,0,0,'Données projet'!$E$10+1,1))-AVERAGE(OFFSET($H$3,0,0,'Données projet'!$E$10+1,1))</f>
        <v>200.14675249215634</v>
      </c>
      <c r="AO61" s="59">
        <f t="shared" si="36"/>
        <v>200.55017434999968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43.059896637274065</v>
      </c>
      <c r="AV61" s="21">
        <f>EXP(-LN(2)/25)*AV60+(1-EXP(-LN(2)/25))/(LN(2)/25)*Calculateur!AQ61*Calculateur!AS61*VLOOKUP('Données projet'!$B$10,Paramètres!$A$1:$I$89,3,0)*0.475*44/12</f>
        <v>15.877909370502918</v>
      </c>
      <c r="AW61" s="21">
        <f>EXP(-LN(2)/2)*AW60+(1-EXP(-LN(2)/2))/(LN(2)/2)*AQ61*AT61*VLOOKUP('Données projet'!$B$10,Paramètres!$A$1:$I$89,3,0)*0.475*44/12</f>
        <v>0.73835771320912247</v>
      </c>
      <c r="AX61" s="21">
        <f t="shared" si="6"/>
        <v>59.676163720986104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7.3615384615384691</v>
      </c>
      <c r="BD61" s="12">
        <f>IF('Données projet'!$A$88&gt;35,BD60+BC61-BL60,IF(A61&lt;'Données projet'!$A$88,$BA$205^A61,IF(A61='Données projet'!$A$88,'Données projet'!$B$88,BD60+BC61-BL60)))</f>
        <v>251.09999999999988</v>
      </c>
      <c r="BE61" s="13">
        <f>BD61*VLOOKUP('Données projet'!$B$11,Paramètres!$A$1:$I$89,3,0)*VLOOKUP('Données projet'!$B$11,Paramètres!$A$1:$I$89,5,0)</f>
        <v>143.62919999999994</v>
      </c>
      <c r="BF61" s="13">
        <f t="shared" si="37"/>
        <v>37.127161849234348</v>
      </c>
      <c r="BG61" s="20">
        <f t="shared" si="7"/>
        <v>314.81733022074968</v>
      </c>
      <c r="BH61" s="59">
        <f t="shared" si="8"/>
        <v>608.15066355408294</v>
      </c>
      <c r="BI61" s="59">
        <f ca="1">AVERAGE(OFFSET($BH$3,0,0,'Données projet'!$E$11+1,1))-AVERAGE(OFFSET($H$3,0,0,'Données projet'!$E$11+1,1))</f>
        <v>182.46132340647313</v>
      </c>
      <c r="BJ61" s="59">
        <f t="shared" si="38"/>
        <v>130.51706975490481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22.287076825858779</v>
      </c>
      <c r="BQ61" s="21">
        <f>EXP(-LN(2)/25)*BQ60+(1-EXP(-LN(2)/25))/(LN(2)/25)*Calculateur!BL61*Calculateur!BN61*VLOOKUP('Données projet'!$B$11,Paramètres!$A$1:$I$89,3,0)*0.475*44/12</f>
        <v>11.606630275584603</v>
      </c>
      <c r="BR61" s="21">
        <f>EXP(-LN(2)/2)*BR60+(1-EXP(-LN(2)/2))/(LN(2)/2)*BL61*BO61*VLOOKUP('Données projet'!$B$11,Paramètres!$A$1:$I$89,3,0)*0.475*44/12</f>
        <v>0.47041721844798606</v>
      </c>
      <c r="BS61" s="22">
        <f t="shared" si="9"/>
        <v>34.364124319891367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20</v>
      </c>
      <c r="BY61" s="12">
        <f>IF('Données projet'!$A$114&gt;35,BY60+BX61-CG60,IF(A61&lt;'Données projet'!$A$114,$BV$205^A61,IF(A61='Données projet'!$A$114,'Données projet'!$B$114,BY60+BX61-CG60)))</f>
        <v>593.99999999999989</v>
      </c>
      <c r="BZ61" s="13">
        <f>BY61*VLOOKUP('Données projet'!$B$12,Paramètres!$A$1:$I$89,3,0)*VLOOKUP('Données projet'!$B$12,Paramètres!$A$1:$I$89,5,0)</f>
        <v>239.38199999999995</v>
      </c>
      <c r="CA61" s="13">
        <f t="shared" si="39"/>
        <v>58.306544825667189</v>
      </c>
      <c r="CB61" s="20">
        <f t="shared" si="10"/>
        <v>518.47421557137011</v>
      </c>
      <c r="CC61" s="59">
        <f t="shared" si="11"/>
        <v>811.80754890470348</v>
      </c>
      <c r="CD61" s="59">
        <f ca="1">AVERAGE(OFFSET($CC$3,0,0,'Données projet'!$E$12+1,1))-AVERAGE(OFFSET($H$3,0,0,'Données projet'!$E$12+1,1))</f>
        <v>291.0962681460345</v>
      </c>
      <c r="CE61" s="59">
        <f t="shared" si="40"/>
        <v>240.28311826371385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16.059891962083505</v>
      </c>
      <c r="CL61" s="21">
        <f>EXP(-LN(2)/25)*CL60+(1-EXP(-LN(2)/25))/(LN(2)/25)*Calculateur!CG61*Calculateur!CI61*VLOOKUP('Données projet'!$B$12,Paramètres!$A$1:$I$89,3,0)*0.475*44/12</f>
        <v>24.562600651846076</v>
      </c>
      <c r="CM61" s="21">
        <f>EXP(-LN(2)/2)*CM60+(1-EXP(-LN(2)/2))/(LN(2)/2)*CG61*CJ61*VLOOKUP('Données projet'!$B$12,Paramètres!$A$1:$I$89,3,0)*0.475*44/12</f>
        <v>1.2139860160053952</v>
      </c>
      <c r="CN61" s="22">
        <f t="shared" si="12"/>
        <v>41.836478629934973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-1.1368683772161603E-13</v>
      </c>
      <c r="CU61" s="17">
        <f>CT61*VLOOKUP('Données projet'!$B$13,Paramètres!$A$1:$I$89,3,0)*VLOOKUP('Données projet'!$B$13,Paramètres!$A$1:$I$89,5,0)</f>
        <v>-5.3205440053716299E-14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225.92546546283018</v>
      </c>
      <c r="CZ61" s="59">
        <f t="shared" si="42"/>
        <v>309.38786160614563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93.70371338702293</v>
      </c>
      <c r="DG61" s="21">
        <f>EXP(-LN(2)/25)*DG60+(1-EXP(-LN(2)/25))/(LN(2)/25)*Calculateur!DB61*Calculateur!DD61*VLOOKUP('Données projet'!$B$13,Paramètres!$A$1:$I$89,3,0)*0.475*44/12</f>
        <v>92.512102535102258</v>
      </c>
      <c r="DH61" s="21">
        <f>EXP(-LN(2)/2)*DH60+(1-EXP(-LN(2)/2))/(LN(2)/2)*DB61*DE61*VLOOKUP('Données projet'!$B$13,Paramètres!$A$1:$I$89,3,0)*0.475*44/12</f>
        <v>1.4701316975554961E-4</v>
      </c>
      <c r="DI61" s="22">
        <f t="shared" si="15"/>
        <v>186.21596293529495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3.6</v>
      </c>
      <c r="DO61" s="12">
        <f>IF('Données projet'!$A$166&gt;35,DO60+DN61-DW60,IF(A61&lt;'Données projet'!$A$166,$DL$205^A61,IF(A61='Données projet'!$A$166,'Données projet'!$B$166,DO60+DN61-DW60)))</f>
        <v>132.79999999999993</v>
      </c>
      <c r="DP61" s="17">
        <f>DO61*VLOOKUP('Données projet'!$B$14,Paramètres!$A$1:$I$89,3,0)*VLOOKUP('Données projet'!$B$14,Paramètres!$A$1:$I$89,5,0)</f>
        <v>116.01407999999995</v>
      </c>
      <c r="DQ61" s="13">
        <f t="shared" si="43"/>
        <v>30.743529123865095</v>
      </c>
      <c r="DR61" s="20">
        <f t="shared" si="16"/>
        <v>255.60283589073163</v>
      </c>
      <c r="DS61" s="59">
        <f t="shared" si="17"/>
        <v>548.936169224065</v>
      </c>
      <c r="DT61" s="59">
        <f ca="1">AVERAGE(OFFSET($DS$3,0,0,'Données projet'!$E$14+1,1))-AVERAGE(OFFSET($H$3,0,0,'Données projet'!$E$14+1,1))</f>
        <v>150.06600397498823</v>
      </c>
      <c r="DU61" s="59">
        <f t="shared" si="44"/>
        <v>170.53034305929714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-5.3205440053716299E-14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294.94285920643927</v>
      </c>
      <c r="T62" s="59">
        <f t="shared" si="34"/>
        <v>399.89535338426606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140.7033122214483</v>
      </c>
      <c r="AA62" s="21">
        <f>EXP(-LN(2)/25)*AA61+(1-EXP(-LN(2)/25))/(LN(2)/25)*Calculateur!V62*Calculateur!X62*VLOOKUP('Données projet'!$B$9,Paramètres!$A$1:$I$89,3,0)*0.475*44/12</f>
        <v>141.72626301116125</v>
      </c>
      <c r="AB62" s="21">
        <f>EXP(-LN(2)/2)*AB61+(1-EXP(-LN(2)/2))/(LN(2)/2)*V62*Y62*VLOOKUP('Données projet'!$B$9,Paramètres!$A$1:$I$89,3,0)*0.475*44/12</f>
        <v>3.7442774387188416E-4</v>
      </c>
      <c r="AC62" s="22">
        <f t="shared" si="3"/>
        <v>282.42994966035337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10.433653846153845</v>
      </c>
      <c r="AI62" s="13">
        <f>IF('Données projet'!$A$62&gt;35,AI61+AH62-AQ61,IF(A62&lt;'Données projet'!$A$62,$AF$205^A62,IF(A62='Données projet'!$A$62,'Données projet'!$B$62,AI61+AH62-AQ61)))</f>
        <v>343.06634615384598</v>
      </c>
      <c r="AJ62" s="13">
        <f>AI62*VLOOKUP('Données projet'!$B$10,Paramètres!$A$1:$I$89,3,0)*VLOOKUP('Données projet'!$B$10,Paramètres!$A$1:$I$89,5,0)</f>
        <v>205.15367499999991</v>
      </c>
      <c r="AK62" s="13">
        <f t="shared" si="35"/>
        <v>50.875106959180371</v>
      </c>
      <c r="AL62" s="20">
        <f t="shared" si="4"/>
        <v>445.9167952455723</v>
      </c>
      <c r="AM62" s="59">
        <f t="shared" si="5"/>
        <v>739.25012857890556</v>
      </c>
      <c r="AN62" s="59">
        <f ca="1">AVERAGE(OFFSET($AM$3,0,0,'Données projet'!$E$10+1,1))-AVERAGE(OFFSET($H$3,0,0,'Données projet'!$E$10+1,1))</f>
        <v>200.14675249215634</v>
      </c>
      <c r="AO62" s="59">
        <f t="shared" si="36"/>
        <v>200.55017434999968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42.215518328160719</v>
      </c>
      <c r="AV62" s="21">
        <f>EXP(-LN(2)/25)*AV61+(1-EXP(-LN(2)/25))/(LN(2)/25)*Calculateur!AQ62*Calculateur!AS62*VLOOKUP('Données projet'!$B$10,Paramètres!$A$1:$I$89,3,0)*0.475*44/12</f>
        <v>15.443727103783552</v>
      </c>
      <c r="AW62" s="21">
        <f>EXP(-LN(2)/2)*AW61+(1-EXP(-LN(2)/2))/(LN(2)/2)*AQ62*AT62*VLOOKUP('Données projet'!$B$10,Paramètres!$A$1:$I$89,3,0)*0.475*44/12</f>
        <v>0.52209774595156255</v>
      </c>
      <c r="AX62" s="21">
        <f t="shared" si="6"/>
        <v>58.181343177895833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7.3615384615384691</v>
      </c>
      <c r="BD62" s="12">
        <f>IF('Données projet'!$A$88&gt;35,BD61+BC62-BL61,IF(A62&lt;'Données projet'!$A$88,$BA$205^A62,IF(A62='Données projet'!$A$88,'Données projet'!$B$88,BD61+BC62-BL61)))</f>
        <v>258.46153846153834</v>
      </c>
      <c r="BE62" s="13">
        <f>BD62*VLOOKUP('Données projet'!$B$11,Paramètres!$A$1:$I$89,3,0)*VLOOKUP('Données projet'!$B$11,Paramètres!$A$1:$I$89,5,0)</f>
        <v>147.83999999999995</v>
      </c>
      <c r="BF62" s="13">
        <f t="shared" si="37"/>
        <v>38.087304262089752</v>
      </c>
      <c r="BG62" s="20">
        <f t="shared" si="7"/>
        <v>323.82338825647292</v>
      </c>
      <c r="BH62" s="59">
        <f t="shared" si="8"/>
        <v>617.15672158980624</v>
      </c>
      <c r="BI62" s="59">
        <f ca="1">AVERAGE(OFFSET($BH$3,0,0,'Données projet'!$E$11+1,1))-AVERAGE(OFFSET($H$3,0,0,'Données projet'!$E$11+1,1))</f>
        <v>182.46132340647313</v>
      </c>
      <c r="BJ62" s="59">
        <f t="shared" si="38"/>
        <v>130.51706975490481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21.850040843078279</v>
      </c>
      <c r="BQ62" s="21">
        <f>EXP(-LN(2)/25)*BQ61+(1-EXP(-LN(2)/25))/(LN(2)/25)*Calculateur!BL62*Calculateur!BN62*VLOOKUP('Données projet'!$B$11,Paramètres!$A$1:$I$89,3,0)*0.475*44/12</f>
        <v>11.289246360332584</v>
      </c>
      <c r="BR62" s="21">
        <f>EXP(-LN(2)/2)*BR61+(1-EXP(-LN(2)/2))/(LN(2)/2)*BL62*BO62*VLOOKUP('Données projet'!$B$11,Paramètres!$A$1:$I$89,3,0)*0.475*44/12</f>
        <v>0.33263520515148443</v>
      </c>
      <c r="BS62" s="22">
        <f t="shared" si="9"/>
        <v>33.471922408562342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20</v>
      </c>
      <c r="BY62" s="12">
        <f>IF('Données projet'!$A$114&gt;35,BY61+BX62-CG61,IF(A62&lt;'Données projet'!$A$114,$BV$205^A62,IF(A62='Données projet'!$A$114,'Données projet'!$B$114,BY61+BX62-CG61)))</f>
        <v>613.99999999999989</v>
      </c>
      <c r="BZ62" s="13">
        <f>BY62*VLOOKUP('Données projet'!$B$12,Paramètres!$A$1:$I$89,3,0)*VLOOKUP('Données projet'!$B$12,Paramètres!$A$1:$I$89,5,0)</f>
        <v>247.44199999999998</v>
      </c>
      <c r="CA62" s="13">
        <f t="shared" si="39"/>
        <v>60.03785621239043</v>
      </c>
      <c r="CB62" s="20">
        <f t="shared" si="10"/>
        <v>535.52741623657994</v>
      </c>
      <c r="CC62" s="59">
        <f t="shared" si="11"/>
        <v>828.8607495699132</v>
      </c>
      <c r="CD62" s="59">
        <f ca="1">AVERAGE(OFFSET($CC$3,0,0,'Données projet'!$E$12+1,1))-AVERAGE(OFFSET($H$3,0,0,'Données projet'!$E$12+1,1))</f>
        <v>291.0962681460345</v>
      </c>
      <c r="CE62" s="59">
        <f t="shared" si="40"/>
        <v>240.28311826371385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15.744967276273913</v>
      </c>
      <c r="CL62" s="21">
        <f>EXP(-LN(2)/25)*CL61+(1-EXP(-LN(2)/25))/(LN(2)/25)*Calculateur!CG62*Calculateur!CI62*VLOOKUP('Données projet'!$B$12,Paramètres!$A$1:$I$89,3,0)*0.475*44/12</f>
        <v>23.890935045330316</v>
      </c>
      <c r="CM62" s="21">
        <f>EXP(-LN(2)/2)*CM61+(1-EXP(-LN(2)/2))/(LN(2)/2)*CG62*CJ62*VLOOKUP('Données projet'!$B$12,Paramètres!$A$1:$I$89,3,0)*0.475*44/12</f>
        <v>0.85841774418305561</v>
      </c>
      <c r="CN62" s="22">
        <f t="shared" si="12"/>
        <v>40.494320065787285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-1.1368683772161603E-13</v>
      </c>
      <c r="CU62" s="17">
        <f>CT62*VLOOKUP('Données projet'!$B$13,Paramètres!$A$1:$I$89,3,0)*VLOOKUP('Données projet'!$B$13,Paramètres!$A$1:$I$89,5,0)</f>
        <v>-5.3205440053716299E-14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225.92546546283018</v>
      </c>
      <c r="CZ62" s="59">
        <f t="shared" si="42"/>
        <v>309.38786160614563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91.866240721125124</v>
      </c>
      <c r="DG62" s="21">
        <f>EXP(-LN(2)/25)*DG61+(1-EXP(-LN(2)/25))/(LN(2)/25)*Calculateur!DB62*Calculateur!DD62*VLOOKUP('Données projet'!$B$13,Paramètres!$A$1:$I$89,3,0)*0.475*44/12</f>
        <v>89.982354226279853</v>
      </c>
      <c r="DH62" s="21">
        <f>EXP(-LN(2)/2)*DH61+(1-EXP(-LN(2)/2))/(LN(2)/2)*DB62*DE62*VLOOKUP('Données projet'!$B$13,Paramètres!$A$1:$I$89,3,0)*0.475*44/12</f>
        <v>1.0395400925787818E-4</v>
      </c>
      <c r="DI62" s="22">
        <f t="shared" si="15"/>
        <v>181.84869890141425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3.6</v>
      </c>
      <c r="DO62" s="12">
        <f>IF('Données projet'!$A$166&gt;35,DO61+DN62-DW61,IF(A62&lt;'Données projet'!$A$166,$DL$205^A62,IF(A62='Données projet'!$A$166,'Données projet'!$B$166,DO61+DN62-DW61)))</f>
        <v>136.39999999999992</v>
      </c>
      <c r="DP62" s="17">
        <f>DO62*VLOOKUP('Données projet'!$B$14,Paramètres!$A$1:$I$89,3,0)*VLOOKUP('Données projet'!$B$14,Paramètres!$A$1:$I$89,5,0)</f>
        <v>119.15903999999993</v>
      </c>
      <c r="DQ62" s="13">
        <f t="shared" si="43"/>
        <v>31.478778976043738</v>
      </c>
      <c r="DR62" s="20">
        <f t="shared" si="16"/>
        <v>262.36086804994267</v>
      </c>
      <c r="DS62" s="59">
        <f t="shared" si="17"/>
        <v>555.69420138327598</v>
      </c>
      <c r="DT62" s="59">
        <f ca="1">AVERAGE(OFFSET($DS$3,0,0,'Données projet'!$E$14+1,1))-AVERAGE(OFFSET($H$3,0,0,'Données projet'!$E$14+1,1))</f>
        <v>150.06600397498823</v>
      </c>
      <c r="DU62" s="59">
        <f t="shared" si="44"/>
        <v>170.53034305929714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-5.3205440053716299E-14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294.94285920643927</v>
      </c>
      <c r="T63" s="59">
        <f t="shared" si="34"/>
        <v>399.89535338426606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137.94420608933208</v>
      </c>
      <c r="AA63" s="21">
        <f>EXP(-LN(2)/25)*AA62+(1-EXP(-LN(2)/25))/(LN(2)/25)*Calculateur!V63*Calculateur!X63*VLOOKUP('Données projet'!$B$9,Paramètres!$A$1:$I$89,3,0)*0.475*44/12</f>
        <v>137.85075089606079</v>
      </c>
      <c r="AB63" s="21">
        <f>EXP(-LN(2)/2)*AB62+(1-EXP(-LN(2)/2))/(LN(2)/2)*V63*Y63*VLOOKUP('Données projet'!$B$9,Paramètres!$A$1:$I$89,3,0)*0.475*44/12</f>
        <v>2.6476039675618905E-4</v>
      </c>
      <c r="AC63" s="22">
        <f t="shared" si="3"/>
        <v>275.79522174578966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353.5</v>
      </c>
      <c r="AG63" s="12">
        <f>VLOOKUP(A63,'Données projet'!$A$61:$I$81,9,0)</f>
        <v>10.433653846153845</v>
      </c>
      <c r="AH63" s="12">
        <f t="array" ref="AH63">INDEX(AG:AG,MIN(IF(ISNUMBER(AG63:AG259),ROW(AG63:AG259),"")))</f>
        <v>10.433653846153845</v>
      </c>
      <c r="AI63" s="13">
        <f>IF('Données projet'!$A$62&gt;35,AI62+AH63-AQ62,IF(A63&lt;'Données projet'!$A$62,$AF$205^A63,IF(A63='Données projet'!$A$62,'Données projet'!$B$62,AI62+AH63-AQ62)))</f>
        <v>353.49999999999983</v>
      </c>
      <c r="AJ63" s="13">
        <f>AI63*VLOOKUP('Données projet'!$B$10,Paramètres!$A$1:$I$89,3,0)*VLOOKUP('Données projet'!$B$10,Paramètres!$A$1:$I$89,5,0)</f>
        <v>211.39299999999992</v>
      </c>
      <c r="AK63" s="13">
        <f t="shared" si="35"/>
        <v>52.239874015944039</v>
      </c>
      <c r="AL63" s="20">
        <f t="shared" si="4"/>
        <v>459.16058891110237</v>
      </c>
      <c r="AM63" s="59">
        <f t="shared" si="5"/>
        <v>752.49392224443568</v>
      </c>
      <c r="AN63" s="59">
        <f ca="1">AVERAGE(OFFSET($AM$3,0,0,'Données projet'!$E$10+1,1))-AVERAGE(OFFSET($H$3,0,0,'Données projet'!$E$10+1,1))</f>
        <v>200.14675249215634</v>
      </c>
      <c r="AO63" s="59">
        <f t="shared" si="36"/>
        <v>200.55017434999968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353.5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7.5600000000000001E-2</v>
      </c>
      <c r="AT63" s="16">
        <f>IF(ISNA(VLOOKUP(A63,'Données projet'!$A$61:$I$81,7,0)),0%,VLOOKUP(A63,'Données projet'!$A$61:$I$81,7,0))</f>
        <v>0.13200000000000001</v>
      </c>
      <c r="AU63" s="21">
        <f>EXP(-LN(2)/35)*AU62+(1-EXP(-LN(2)/35))/(LN(2)/35)*AQ63*AR63*VLOOKUP('Données projet'!$B$10,Paramètres!$A$1:$I$89,3,0)*0.475*44/12</f>
        <v>129.72202634021937</v>
      </c>
      <c r="AV63" s="21">
        <f>EXP(-LN(2)/25)*AV62+(1-EXP(-LN(2)/25))/(LN(2)/25)*Calculateur!AQ63*Calculateur!AS63*VLOOKUP('Données projet'!$B$10,Paramètres!$A$1:$I$89,3,0)*0.475*44/12</f>
        <v>36.138183014281665</v>
      </c>
      <c r="AW63" s="21">
        <f>EXP(-LN(2)/2)*AW62+(1-EXP(-LN(2)/2))/(LN(2)/2)*AQ63*AT63*VLOOKUP('Données projet'!$B$10,Paramètres!$A$1:$I$89,3,0)*0.475*44/12</f>
        <v>31.962848489978171</v>
      </c>
      <c r="AX63" s="21">
        <f t="shared" si="6"/>
        <v>197.82305784447919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265.82307692307694</v>
      </c>
      <c r="BB63" s="12">
        <f>VLOOKUP(A63,'Données projet'!$A$87:$I$107,9,0)</f>
        <v>7.3615384615384691</v>
      </c>
      <c r="BC63" s="12">
        <f t="array" ref="BC63">INDEX(BB:BB,MIN(IF(ISNUMBER(BB63:BB259),ROW(BB63:BB259),"")))</f>
        <v>7.3615384615384691</v>
      </c>
      <c r="BD63" s="12">
        <f>IF('Données projet'!$A$88&gt;35,BD62+BC63-BL62,IF(A63&lt;'Données projet'!$A$88,$BA$205^A63,IF(A63='Données projet'!$A$88,'Données projet'!$B$88,BD62+BC63-BL62)))</f>
        <v>265.82307692307683</v>
      </c>
      <c r="BE63" s="13">
        <f>BD63*VLOOKUP('Données projet'!$B$11,Paramètres!$A$1:$I$89,3,0)*VLOOKUP('Données projet'!$B$11,Paramètres!$A$1:$I$89,5,0)</f>
        <v>152.05079999999995</v>
      </c>
      <c r="BF63" s="13">
        <f t="shared" si="37"/>
        <v>39.044268310958195</v>
      </c>
      <c r="BG63" s="20">
        <f t="shared" si="7"/>
        <v>332.82391064158543</v>
      </c>
      <c r="BH63" s="59">
        <f t="shared" si="8"/>
        <v>626.15724397491874</v>
      </c>
      <c r="BI63" s="59">
        <f ca="1">AVERAGE(OFFSET($BH$3,0,0,'Données projet'!$E$11+1,1))-AVERAGE(OFFSET($H$3,0,0,'Données projet'!$E$11+1,1))</f>
        <v>182.46132340647313</v>
      </c>
      <c r="BJ63" s="59">
        <f t="shared" si="38"/>
        <v>130.51706975490481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37.138461538461542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7.6500000000000012E-2</v>
      </c>
      <c r="BO63" s="16">
        <f>IF(ISNA(VLOOKUP(A63,'Données projet'!$A$87:$I$107,7,0)),0%,VLOOKUP(A63,'Données projet'!$A$87:$I$107,7,0))</f>
        <v>0.13</v>
      </c>
      <c r="BP63" s="21">
        <f>EXP(-LN(2)/35)*BP62+(1-EXP(-LN(2)/35))/(LN(2)/35)*BL63*BM63*VLOOKUP('Données projet'!$B$11,Paramètres!$A$1:$I$89,3,0)*0.475*44/12</f>
        <v>30.298424191889346</v>
      </c>
      <c r="BQ63" s="21">
        <f>EXP(-LN(2)/25)*BQ62+(1-EXP(-LN(2)/25))/(LN(2)/25)*Calculateur!BL63*Calculateur!BN63*VLOOKUP('Données projet'!$B$11,Paramètres!$A$1:$I$89,3,0)*0.475*44/12</f>
        <v>13.127859358289681</v>
      </c>
      <c r="BR63" s="21">
        <f>EXP(-LN(2)/2)*BR62+(1-EXP(-LN(2)/2))/(LN(2)/2)*BL63*BO63*VLOOKUP('Données projet'!$B$11,Paramètres!$A$1:$I$89,3,0)*0.475*44/12</f>
        <v>3.3619994377898421</v>
      </c>
      <c r="BS63" s="22">
        <f t="shared" si="9"/>
        <v>46.78828298796887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634</v>
      </c>
      <c r="BW63" s="12">
        <f>VLOOKUP(A63,'Données projet'!$A$113:$I$133,9,0)</f>
        <v>20</v>
      </c>
      <c r="BX63" s="12">
        <f t="array" ref="BX63">INDEX(BW:BW,MIN(IF(ISNUMBER(BW63:BW259),ROW(BW63:BW259),"")))</f>
        <v>20</v>
      </c>
      <c r="BY63" s="12">
        <f>IF('Données projet'!$A$114&gt;35,BY62+BX63-CG62,IF(A63&lt;'Données projet'!$A$114,$BV$205^A63,IF(A63='Données projet'!$A$114,'Données projet'!$B$114,BY62+BX63-CG62)))</f>
        <v>633.99999999999989</v>
      </c>
      <c r="BZ63" s="13">
        <f>BY63*VLOOKUP('Données projet'!$B$12,Paramètres!$A$1:$I$89,3,0)*VLOOKUP('Données projet'!$B$12,Paramètres!$A$1:$I$89,5,0)</f>
        <v>255.50199999999995</v>
      </c>
      <c r="CA63" s="13">
        <f t="shared" si="39"/>
        <v>61.762614482849855</v>
      </c>
      <c r="CB63" s="20">
        <f t="shared" si="10"/>
        <v>552.56920355763009</v>
      </c>
      <c r="CC63" s="59">
        <f t="shared" si="11"/>
        <v>845.90253689096335</v>
      </c>
      <c r="CD63" s="59">
        <f ca="1">AVERAGE(OFFSET($CC$3,0,0,'Données projet'!$E$12+1,1))-AVERAGE(OFFSET($H$3,0,0,'Données projet'!$E$12+1,1))</f>
        <v>291.0962681460345</v>
      </c>
      <c r="CE63" s="59">
        <f t="shared" si="40"/>
        <v>240.28311826371385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53</v>
      </c>
      <c r="CH63" s="16">
        <f>IF(ISNA(VLOOKUP(A63,'Données projet'!$A$113:$I$133,5,0)),0%,VLOOKUP(A63,'Données projet'!$A$113:$I$133,5,0)*VLOOKUP('Données projet'!$B$12,Paramètres!$A$1:$I$89,7,0))</f>
        <v>0.33207547169811324</v>
      </c>
      <c r="CI63" s="16">
        <f>IF(ISNA(VLOOKUP(A63,'Données projet'!$A$113:$I$133,6,0)),0%,VLOOKUP(A63,'Données projet'!$A$113:$I$133,6,0)*VLOOKUP('Données projet'!$B$12,Paramètres!$A$1:$I$89,7,0))</f>
        <v>0.14528301886792455</v>
      </c>
      <c r="CJ63" s="16">
        <f>IF(ISNA(VLOOKUP(A63,'Données projet'!$A$113:$I$133,7,0)),0%,VLOOKUP(A63,'Données projet'!$A$113:$I$133,7,0))</f>
        <v>6.6037735849056603E-2</v>
      </c>
      <c r="CK63" s="21">
        <f>EXP(-LN(2)/35)*CK62+(1-EXP(-LN(2)/35))/(LN(2)/35)*CG63*CH63*VLOOKUP('Données projet'!$B$12,Paramètres!$A$1:$I$89,3,0)*0.475*44/12</f>
        <v>24.845274441009526</v>
      </c>
      <c r="CL63" s="21">
        <f>EXP(-LN(2)/25)*CL62+(1-EXP(-LN(2)/25))/(LN(2)/25)*Calculateur!CG63*Calculateur!CI63*VLOOKUP('Données projet'!$B$12,Paramètres!$A$1:$I$89,3,0)*0.475*44/12</f>
        <v>27.337890251794963</v>
      </c>
      <c r="CM63" s="21">
        <f>EXP(-LN(2)/2)*CM62+(1-EXP(-LN(2)/2))/(LN(2)/2)*CG63*CJ63*VLOOKUP('Données projet'!$B$12,Paramètres!$A$1:$I$89,3,0)*0.475*44/12</f>
        <v>2.2040066636637774</v>
      </c>
      <c r="CN63" s="22">
        <f t="shared" si="12"/>
        <v>54.387171356468265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-1.1368683772161603E-13</v>
      </c>
      <c r="CU63" s="17">
        <f>CT63*VLOOKUP('Données projet'!$B$13,Paramètres!$A$1:$I$89,3,0)*VLOOKUP('Données projet'!$B$13,Paramètres!$A$1:$I$89,5,0)</f>
        <v>-5.3205440053716299E-14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225.92546546283018</v>
      </c>
      <c r="CZ63" s="59">
        <f t="shared" si="42"/>
        <v>309.38786160614563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90.064799773457906</v>
      </c>
      <c r="DG63" s="21">
        <f>EXP(-LN(2)/25)*DG62+(1-EXP(-LN(2)/25))/(LN(2)/25)*Calculateur!DB63*Calculateur!DD63*VLOOKUP('Données projet'!$B$13,Paramètres!$A$1:$I$89,3,0)*0.475*44/12</f>
        <v>87.521782017995875</v>
      </c>
      <c r="DH63" s="21">
        <f>EXP(-LN(2)/2)*DH62+(1-EXP(-LN(2)/2))/(LN(2)/2)*DB63*DE63*VLOOKUP('Données projet'!$B$13,Paramètres!$A$1:$I$89,3,0)*0.475*44/12</f>
        <v>7.3506584877774803E-5</v>
      </c>
      <c r="DI63" s="22">
        <f t="shared" si="15"/>
        <v>177.58665529803866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140</v>
      </c>
      <c r="DM63" s="12">
        <f>VLOOKUP(A63,'Données projet'!$A$165:$I$185,9,0)</f>
        <v>3.6</v>
      </c>
      <c r="DN63" s="12">
        <f t="array" ref="DN63">INDEX(DM:DM,MIN(IF(ISNUMBER(DM63:DM259),ROW(DM63:DM259),"")))</f>
        <v>3.6</v>
      </c>
      <c r="DO63" s="12">
        <f>IF('Données projet'!$A$166&gt;35,DO62+DN63-DW62,IF(A63&lt;'Données projet'!$A$166,$DL$205^A63,IF(A63='Données projet'!$A$166,'Données projet'!$B$166,DO62+DN63-DW62)))</f>
        <v>139.99999999999991</v>
      </c>
      <c r="DP63" s="17">
        <f>DO63*VLOOKUP('Données projet'!$B$14,Paramètres!$A$1:$I$89,3,0)*VLOOKUP('Données projet'!$B$14,Paramètres!$A$1:$I$89,5,0)</f>
        <v>122.30399999999995</v>
      </c>
      <c r="DQ63" s="13">
        <f t="shared" si="43"/>
        <v>32.211773226559345</v>
      </c>
      <c r="DR63" s="20">
        <f t="shared" si="16"/>
        <v>269.11497170292409</v>
      </c>
      <c r="DS63" s="59">
        <f t="shared" si="17"/>
        <v>562.44830503625735</v>
      </c>
      <c r="DT63" s="59">
        <f ca="1">AVERAGE(OFFSET($DS$3,0,0,'Données projet'!$E$14+1,1))-AVERAGE(OFFSET($H$3,0,0,'Données projet'!$E$14+1,1))</f>
        <v>150.06600397498823</v>
      </c>
      <c r="DU63" s="59">
        <f t="shared" si="44"/>
        <v>170.53034305929714</v>
      </c>
      <c r="DV63" s="15">
        <f>IF(ISNA(VLOOKUP(A63,'Données projet'!$A$165:$I$185,3,0)),0,VLOOKUP(A63,'Données projet'!$A$165:$I$185,3,0))</f>
        <v>7</v>
      </c>
      <c r="DW63" s="15">
        <f>IF(ISNA(VLOOKUP(A63,'Données projet'!$A$165:$I$185,4,0)),0,VLOOKUP(A63,'Données projet'!$A$165:$I$185,4,0))</f>
        <v>10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2.0681633491014844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2.0681633491014844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-5.3205440053716299E-14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294.94285920643927</v>
      </c>
      <c r="T64" s="59">
        <f t="shared" si="34"/>
        <v>399.89535338426606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135.23920434557809</v>
      </c>
      <c r="AA64" s="21">
        <f>EXP(-LN(2)/25)*AA63+(1-EXP(-LN(2)/25))/(LN(2)/25)*Calculateur!V64*Calculateur!X64*VLOOKUP('Données projet'!$B$9,Paramètres!$A$1:$I$89,3,0)*0.475*44/12</f>
        <v>134.08121486355208</v>
      </c>
      <c r="AB64" s="21">
        <f>EXP(-LN(2)/2)*AB63+(1-EXP(-LN(2)/2))/(LN(2)/2)*V64*Y64*VLOOKUP('Données projet'!$B$9,Paramètres!$A$1:$I$89,3,0)*0.475*44/12</f>
        <v>1.8721387193594208E-4</v>
      </c>
      <c r="AC64" s="22">
        <f t="shared" si="3"/>
        <v>269.32060642300206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-1.0197709343628959E-13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200.14675249215634</v>
      </c>
      <c r="AO64" s="59">
        <f t="shared" si="36"/>
        <v>200.55017434999968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127.17825652631103</v>
      </c>
      <c r="AV64" s="21">
        <f>EXP(-LN(2)/25)*AV63+(1-EXP(-LN(2)/25))/(LN(2)/25)*Calculateur!AQ64*Calculateur!AS64*VLOOKUP('Données projet'!$B$10,Paramètres!$A$1:$I$89,3,0)*0.475*44/12</f>
        <v>35.149982499331685</v>
      </c>
      <c r="AW64" s="21">
        <f>EXP(-LN(2)/2)*AW63+(1-EXP(-LN(2)/2))/(LN(2)/2)*AQ64*AT64*VLOOKUP('Données projet'!$B$10,Paramètres!$A$1:$I$89,3,0)*0.475*44/12</f>
        <v>22.601146913301768</v>
      </c>
      <c r="AX64" s="21">
        <f t="shared" si="6"/>
        <v>184.92938593894448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6.4615384615384617</v>
      </c>
      <c r="BD64" s="12">
        <f>IF('Données projet'!$A$88&gt;35,BD63+BC64-BL63,IF(A64&lt;'Données projet'!$A$88,$BA$205^A64,IF(A64='Données projet'!$A$88,'Données projet'!$B$88,BD63+BC64-BL63)))</f>
        <v>235.14615384615374</v>
      </c>
      <c r="BE64" s="13">
        <f>BD64*VLOOKUP('Données projet'!$B$11,Paramètres!$A$1:$I$89,3,0)*VLOOKUP('Données projet'!$B$11,Paramètres!$A$1:$I$89,5,0)</f>
        <v>134.50359999999995</v>
      </c>
      <c r="BF64" s="13">
        <f t="shared" si="37"/>
        <v>35.034937441372058</v>
      </c>
      <c r="BG64" s="20">
        <f t="shared" si="7"/>
        <v>295.27961937705624</v>
      </c>
      <c r="BH64" s="59">
        <f t="shared" si="8"/>
        <v>588.61295271038955</v>
      </c>
      <c r="BI64" s="59">
        <f ca="1">AVERAGE(OFFSET($BH$3,0,0,'Données projet'!$E$11+1,1))-AVERAGE(OFFSET($H$3,0,0,'Données projet'!$E$11+1,1))</f>
        <v>182.46132340647313</v>
      </c>
      <c r="BJ64" s="59">
        <f t="shared" si="38"/>
        <v>130.51706975490481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29.704290573700384</v>
      </c>
      <c r="BQ64" s="21">
        <f>EXP(-LN(2)/25)*BQ63+(1-EXP(-LN(2)/25))/(LN(2)/25)*Calculateur!BL64*Calculateur!BN64*VLOOKUP('Données projet'!$B$11,Paramètres!$A$1:$I$89,3,0)*0.475*44/12</f>
        <v>12.76887735377313</v>
      </c>
      <c r="BR64" s="21">
        <f>EXP(-LN(2)/2)*BR63+(1-EXP(-LN(2)/2))/(LN(2)/2)*BL64*BO64*VLOOKUP('Données projet'!$B$11,Paramètres!$A$1:$I$89,3,0)*0.475*44/12</f>
        <v>2.377292600806558</v>
      </c>
      <c r="BS64" s="22">
        <f t="shared" si="9"/>
        <v>44.850460528280067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18.600000000000001</v>
      </c>
      <c r="BY64" s="12">
        <f>IF('Données projet'!$A$114&gt;35,BY63+BX64-CG63,IF(A64&lt;'Données projet'!$A$114,$BV$205^A64,IF(A64='Données projet'!$A$114,'Données projet'!$B$114,BY63+BX64-CG63)))</f>
        <v>599.59999999999991</v>
      </c>
      <c r="BZ64" s="13">
        <f>BY64*VLOOKUP('Données projet'!$B$12,Paramètres!$A$1:$I$89,3,0)*VLOOKUP('Données projet'!$B$12,Paramètres!$A$1:$I$89,5,0)</f>
        <v>241.63879999999997</v>
      </c>
      <c r="CA64" s="13">
        <f t="shared" si="39"/>
        <v>58.791986515489242</v>
      </c>
      <c r="CB64" s="20">
        <f t="shared" si="10"/>
        <v>523.25028651447701</v>
      </c>
      <c r="CC64" s="59">
        <f t="shared" si="11"/>
        <v>816.58361984781027</v>
      </c>
      <c r="CD64" s="59">
        <f ca="1">AVERAGE(OFFSET($CC$3,0,0,'Données projet'!$E$12+1,1))-AVERAGE(OFFSET($H$3,0,0,'Données projet'!$E$12+1,1))</f>
        <v>291.0962681460345</v>
      </c>
      <c r="CE64" s="59">
        <f t="shared" si="40"/>
        <v>240.28311826371385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24.358073763342393</v>
      </c>
      <c r="CL64" s="21">
        <f>EXP(-LN(2)/25)*CL63+(1-EXP(-LN(2)/25))/(LN(2)/25)*Calculateur!CG64*Calculateur!CI64*VLOOKUP('Données projet'!$B$12,Paramètres!$A$1:$I$89,3,0)*0.475*44/12</f>
        <v>26.590334205222462</v>
      </c>
      <c r="CM64" s="21">
        <f>EXP(-LN(2)/2)*CM63+(1-EXP(-LN(2)/2))/(LN(2)/2)*CG64*CJ64*VLOOKUP('Données projet'!$B$12,Paramètres!$A$1:$I$89,3,0)*0.475*44/12</f>
        <v>1.5584680576569954</v>
      </c>
      <c r="CN64" s="22">
        <f t="shared" si="12"/>
        <v>52.506876026221846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-1.1368683772161603E-13</v>
      </c>
      <c r="CU64" s="17">
        <f>CT64*VLOOKUP('Données projet'!$B$13,Paramètres!$A$1:$I$89,3,0)*VLOOKUP('Données projet'!$B$13,Paramètres!$A$1:$I$89,5,0)</f>
        <v>-5.3205440053716299E-14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225.92546546283018</v>
      </c>
      <c r="CZ64" s="59">
        <f t="shared" si="42"/>
        <v>309.38786160614563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88.298683984003972</v>
      </c>
      <c r="DG64" s="21">
        <f>EXP(-LN(2)/25)*DG63+(1-EXP(-LN(2)/25))/(LN(2)/25)*Calculateur!DB64*Calculateur!DD64*VLOOKUP('Données projet'!$B$13,Paramètres!$A$1:$I$89,3,0)*0.475*44/12</f>
        <v>85.128494286143294</v>
      </c>
      <c r="DH64" s="21">
        <f>EXP(-LN(2)/2)*DH63+(1-EXP(-LN(2)/2))/(LN(2)/2)*DB64*DE64*VLOOKUP('Données projet'!$B$13,Paramètres!$A$1:$I$89,3,0)*0.475*44/12</f>
        <v>5.1977004628939092E-5</v>
      </c>
      <c r="DI64" s="22">
        <f t="shared" si="15"/>
        <v>173.4272302471519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</v>
      </c>
      <c r="DO64" s="12">
        <f>IF('Données projet'!$A$166&gt;35,DO63+DN64-DW63,IF(A64&lt;'Données projet'!$A$166,$DL$205^A64,IF(A64='Données projet'!$A$166,'Données projet'!$B$166,DO63+DN64-DW63)))</f>
        <v>132.99999999999991</v>
      </c>
      <c r="DP64" s="17">
        <f>DO64*VLOOKUP('Données projet'!$B$14,Paramètres!$A$1:$I$89,3,0)*VLOOKUP('Données projet'!$B$14,Paramètres!$A$1:$I$89,5,0)</f>
        <v>116.18879999999994</v>
      </c>
      <c r="DQ64" s="13">
        <f t="shared" si="43"/>
        <v>30.784436657961702</v>
      </c>
      <c r="DR64" s="20">
        <f t="shared" si="16"/>
        <v>255.97838717928315</v>
      </c>
      <c r="DS64" s="59">
        <f t="shared" si="17"/>
        <v>549.31172051261649</v>
      </c>
      <c r="DT64" s="59">
        <f ca="1">AVERAGE(OFFSET($DS$3,0,0,'Données projet'!$E$14+1,1))-AVERAGE(OFFSET($H$3,0,0,'Données projet'!$E$14+1,1))</f>
        <v>150.06600397498823</v>
      </c>
      <c r="DU64" s="59">
        <f t="shared" si="44"/>
        <v>170.53034305929714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2.0116093135603208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2.0116093135603208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-5.3205440053716299E-14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294.94285920643927</v>
      </c>
      <c r="T65" s="59">
        <f t="shared" si="34"/>
        <v>399.89535338426606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132.58724603613095</v>
      </c>
      <c r="AA65" s="21">
        <f>EXP(-LN(2)/25)*AA64+(1-EXP(-LN(2)/25))/(LN(2)/25)*Calculateur!V65*Calculateur!X65*VLOOKUP('Données projet'!$B$9,Paramètres!$A$1:$I$89,3,0)*0.475*44/12</f>
        <v>130.4147569920836</v>
      </c>
      <c r="AB65" s="21">
        <f>EXP(-LN(2)/2)*AB64+(1-EXP(-LN(2)/2))/(LN(2)/2)*V65*Y65*VLOOKUP('Données projet'!$B$9,Paramètres!$A$1:$I$89,3,0)*0.475*44/12</f>
        <v>1.3238019837809453E-4</v>
      </c>
      <c r="AC65" s="22">
        <f t="shared" si="3"/>
        <v>263.00213540841287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-1.0197709343628959E-13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200.14675249215634</v>
      </c>
      <c r="AO65" s="59">
        <f t="shared" si="36"/>
        <v>200.55017434999968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124.68436848690705</v>
      </c>
      <c r="AV65" s="21">
        <f>EXP(-LN(2)/25)*AV64+(1-EXP(-LN(2)/25))/(LN(2)/25)*Calculateur!AQ65*Calculateur!AS65*VLOOKUP('Données projet'!$B$10,Paramètres!$A$1:$I$89,3,0)*0.475*44/12</f>
        <v>34.188804379430216</v>
      </c>
      <c r="AW65" s="21">
        <f>EXP(-LN(2)/2)*AW64+(1-EXP(-LN(2)/2))/(LN(2)/2)*AQ65*AT65*VLOOKUP('Données projet'!$B$10,Paramètres!$A$1:$I$89,3,0)*0.475*44/12</f>
        <v>15.981424244989089</v>
      </c>
      <c r="AX65" s="21">
        <f t="shared" si="6"/>
        <v>174.85459711132634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6.4615384615384617</v>
      </c>
      <c r="BD65" s="12">
        <f>IF('Données projet'!$A$88&gt;35,BD64+BC65-BL64,IF(A65&lt;'Données projet'!$A$88,$BA$205^A65,IF(A65='Données projet'!$A$88,'Données projet'!$B$88,BD64+BC65-BL64)))</f>
        <v>241.60769230769219</v>
      </c>
      <c r="BE65" s="13">
        <f>BD65*VLOOKUP('Données projet'!$B$11,Paramètres!$A$1:$I$89,3,0)*VLOOKUP('Données projet'!$B$11,Paramètres!$A$1:$I$89,5,0)</f>
        <v>138.19959999999995</v>
      </c>
      <c r="BF65" s="13">
        <f t="shared" si="37"/>
        <v>35.884248953313232</v>
      </c>
      <c r="BG65" s="20">
        <f t="shared" si="7"/>
        <v>303.19603692702043</v>
      </c>
      <c r="BH65" s="59">
        <f t="shared" si="8"/>
        <v>596.52937026035374</v>
      </c>
      <c r="BI65" s="59">
        <f ca="1">AVERAGE(OFFSET($BH$3,0,0,'Données projet'!$E$11+1,1))-AVERAGE(OFFSET($H$3,0,0,'Données projet'!$E$11+1,1))</f>
        <v>182.46132340647313</v>
      </c>
      <c r="BJ65" s="59">
        <f t="shared" si="38"/>
        <v>130.51706975490481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29.121807553378382</v>
      </c>
      <c r="BQ65" s="21">
        <f>EXP(-LN(2)/25)*BQ64+(1-EXP(-LN(2)/25))/(LN(2)/25)*Calculateur!BL65*Calculateur!BN65*VLOOKUP('Données projet'!$B$11,Paramètres!$A$1:$I$89,3,0)*0.475*44/12</f>
        <v>12.419711731048126</v>
      </c>
      <c r="BR65" s="21">
        <f>EXP(-LN(2)/2)*BR64+(1-EXP(-LN(2)/2))/(LN(2)/2)*BL65*BO65*VLOOKUP('Données projet'!$B$11,Paramètres!$A$1:$I$89,3,0)*0.475*44/12</f>
        <v>1.6809997188949215</v>
      </c>
      <c r="BS65" s="22">
        <f t="shared" si="9"/>
        <v>43.22251900332143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18.600000000000001</v>
      </c>
      <c r="BY65" s="12">
        <f>IF('Données projet'!$A$114&gt;35,BY64+BX65-CG64,IF(A65&lt;'Données projet'!$A$114,$BV$205^A65,IF(A65='Données projet'!$A$114,'Données projet'!$B$114,BY64+BX65-CG64)))</f>
        <v>618.19999999999993</v>
      </c>
      <c r="BZ65" s="13">
        <f>BY65*VLOOKUP('Données projet'!$B$12,Paramètres!$A$1:$I$89,3,0)*VLOOKUP('Données projet'!$B$12,Paramètres!$A$1:$I$89,5,0)</f>
        <v>249.13459999999998</v>
      </c>
      <c r="CA65" s="13">
        <f t="shared" si="39"/>
        <v>60.400591085015598</v>
      </c>
      <c r="CB65" s="20">
        <f t="shared" si="10"/>
        <v>539.10712447306878</v>
      </c>
      <c r="CC65" s="59">
        <f t="shared" si="11"/>
        <v>832.44045780640204</v>
      </c>
      <c r="CD65" s="59">
        <f ca="1">AVERAGE(OFFSET($CC$3,0,0,'Données projet'!$E$12+1,1))-AVERAGE(OFFSET($H$3,0,0,'Données projet'!$E$12+1,1))</f>
        <v>291.0962681460345</v>
      </c>
      <c r="CE65" s="59">
        <f t="shared" si="40"/>
        <v>240.28311826371385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23.880426793801242</v>
      </c>
      <c r="CL65" s="21">
        <f>EXP(-LN(2)/25)*CL64+(1-EXP(-LN(2)/25))/(LN(2)/25)*Calculateur!CG65*Calculateur!CI65*VLOOKUP('Données projet'!$B$12,Paramètres!$A$1:$I$89,3,0)*0.475*44/12</f>
        <v>25.86322011805575</v>
      </c>
      <c r="CM65" s="21">
        <f>EXP(-LN(2)/2)*CM64+(1-EXP(-LN(2)/2))/(LN(2)/2)*CG65*CJ65*VLOOKUP('Données projet'!$B$12,Paramètres!$A$1:$I$89,3,0)*0.475*44/12</f>
        <v>1.1020033318318889</v>
      </c>
      <c r="CN65" s="22">
        <f t="shared" si="12"/>
        <v>50.84565024368888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-1.1368683772161603E-13</v>
      </c>
      <c r="CU65" s="17">
        <f>CT65*VLOOKUP('Données projet'!$B$13,Paramètres!$A$1:$I$89,3,0)*VLOOKUP('Données projet'!$B$13,Paramètres!$A$1:$I$89,5,0)</f>
        <v>-5.3205440053716299E-14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225.92546546283018</v>
      </c>
      <c r="CZ65" s="59">
        <f t="shared" si="42"/>
        <v>309.38786160614563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86.567200647956966</v>
      </c>
      <c r="DG65" s="21">
        <f>EXP(-LN(2)/25)*DG64+(1-EXP(-LN(2)/25))/(LN(2)/25)*Calculateur!DB65*Calculateur!DD65*VLOOKUP('Données projet'!$B$13,Paramètres!$A$1:$I$89,3,0)*0.475*44/12</f>
        <v>82.800651133175748</v>
      </c>
      <c r="DH65" s="21">
        <f>EXP(-LN(2)/2)*DH64+(1-EXP(-LN(2)/2))/(LN(2)/2)*DB65*DE65*VLOOKUP('Données projet'!$B$13,Paramètres!$A$1:$I$89,3,0)*0.475*44/12</f>
        <v>3.6753292438887402E-5</v>
      </c>
      <c r="DI65" s="22">
        <f t="shared" si="15"/>
        <v>169.36788853442516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</v>
      </c>
      <c r="DO65" s="12">
        <f>IF('Données projet'!$A$166&gt;35,DO64+DN65-DW64,IF(A65&lt;'Données projet'!$A$166,$DL$205^A65,IF(A65='Données projet'!$A$166,'Données projet'!$B$166,DO64+DN65-DW64)))</f>
        <v>135.99999999999991</v>
      </c>
      <c r="DP65" s="17">
        <f>DO65*VLOOKUP('Données projet'!$B$14,Paramètres!$A$1:$I$89,3,0)*VLOOKUP('Données projet'!$B$14,Paramètres!$A$1:$I$89,5,0)</f>
        <v>118.80959999999993</v>
      </c>
      <c r="DQ65" s="13">
        <f t="shared" si="43"/>
        <v>31.397197153337192</v>
      </c>
      <c r="DR65" s="20">
        <f t="shared" si="16"/>
        <v>261.61017170872884</v>
      </c>
      <c r="DS65" s="59">
        <f t="shared" si="17"/>
        <v>554.94350504206216</v>
      </c>
      <c r="DT65" s="59">
        <f ca="1">AVERAGE(OFFSET($DS$3,0,0,'Données projet'!$E$14+1,1))-AVERAGE(OFFSET($H$3,0,0,'Données projet'!$E$14+1,1))</f>
        <v>150.06600397498823</v>
      </c>
      <c r="DU65" s="59">
        <f t="shared" si="44"/>
        <v>170.53034305929714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1.9566017510950777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1.9566017510950777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-5.3205440053716299E-14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294.94285920643927</v>
      </c>
      <c r="T66" s="59">
        <f t="shared" si="34"/>
        <v>399.89535338426606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129.98729101159722</v>
      </c>
      <c r="AA66" s="21">
        <f>EXP(-LN(2)/25)*AA65+(1-EXP(-LN(2)/25))/(LN(2)/25)*Calculateur!V66*Calculateur!X66*VLOOKUP('Données projet'!$B$9,Paramètres!$A$1:$I$89,3,0)*0.475*44/12</f>
        <v>126.84855860392106</v>
      </c>
      <c r="AB66" s="21">
        <f>EXP(-LN(2)/2)*AB65+(1-EXP(-LN(2)/2))/(LN(2)/2)*V66*Y66*VLOOKUP('Données projet'!$B$9,Paramètres!$A$1:$I$89,3,0)*0.475*44/12</f>
        <v>9.360693596797104E-5</v>
      </c>
      <c r="AC66" s="22">
        <f t="shared" si="3"/>
        <v>256.83594322245426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-1.0197709343628959E-13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200.14675249215634</v>
      </c>
      <c r="AO66" s="59">
        <f t="shared" si="36"/>
        <v>200.55017434999968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122.23938407083426</v>
      </c>
      <c r="AV66" s="21">
        <f>EXP(-LN(2)/25)*AV65+(1-EXP(-LN(2)/25))/(LN(2)/25)*Calculateur!AQ66*Calculateur!AS66*VLOOKUP('Données projet'!$B$10,Paramètres!$A$1:$I$89,3,0)*0.475*44/12</f>
        <v>33.253909725763613</v>
      </c>
      <c r="AW66" s="21">
        <f>EXP(-LN(2)/2)*AW65+(1-EXP(-LN(2)/2))/(LN(2)/2)*AQ66*AT66*VLOOKUP('Données projet'!$B$10,Paramètres!$A$1:$I$89,3,0)*0.475*44/12</f>
        <v>11.300573456650886</v>
      </c>
      <c r="AX66" s="21">
        <f t="shared" si="6"/>
        <v>166.79386725324875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6.4615384615384617</v>
      </c>
      <c r="BD66" s="12">
        <f>IF('Données projet'!$A$88&gt;35,BD65+BC66-BL65,IF(A66&lt;'Données projet'!$A$88,$BA$205^A66,IF(A66='Données projet'!$A$88,'Données projet'!$B$88,BD65+BC66-BL65)))</f>
        <v>248.06923076923064</v>
      </c>
      <c r="BE66" s="13">
        <f>BD66*VLOOKUP('Données projet'!$B$11,Paramètres!$A$1:$I$89,3,0)*VLOOKUP('Données projet'!$B$11,Paramètres!$A$1:$I$89,5,0)</f>
        <v>141.89559999999994</v>
      </c>
      <c r="BF66" s="13">
        <f t="shared" si="37"/>
        <v>36.730920342765799</v>
      </c>
      <c r="BG66" s="20">
        <f t="shared" si="7"/>
        <v>311.10785626365026</v>
      </c>
      <c r="BH66" s="59">
        <f t="shared" si="8"/>
        <v>604.44118959698358</v>
      </c>
      <c r="BI66" s="59">
        <f ca="1">AVERAGE(OFFSET($BH$3,0,0,'Données projet'!$E$11+1,1))-AVERAGE(OFFSET($H$3,0,0,'Données projet'!$E$11+1,1))</f>
        <v>182.46132340647313</v>
      </c>
      <c r="BJ66" s="59">
        <f t="shared" si="38"/>
        <v>130.51706975490481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28.550746669805335</v>
      </c>
      <c r="BQ66" s="21">
        <f>EXP(-LN(2)/25)*BQ65+(1-EXP(-LN(2)/25))/(LN(2)/25)*Calculateur!BL66*Calculateur!BN66*VLOOKUP('Données projet'!$B$11,Paramètres!$A$1:$I$89,3,0)*0.475*44/12</f>
        <v>12.080094060638361</v>
      </c>
      <c r="BR66" s="21">
        <f>EXP(-LN(2)/2)*BR65+(1-EXP(-LN(2)/2))/(LN(2)/2)*BL66*BO66*VLOOKUP('Données projet'!$B$11,Paramètres!$A$1:$I$89,3,0)*0.475*44/12</f>
        <v>1.1886463004032792</v>
      </c>
      <c r="BS66" s="22">
        <f t="shared" si="9"/>
        <v>41.819487030846972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18.600000000000001</v>
      </c>
      <c r="BY66" s="12">
        <f>IF('Données projet'!$A$114&gt;35,BY65+BX66-CG65,IF(A66&lt;'Données projet'!$A$114,$BV$205^A66,IF(A66='Données projet'!$A$114,'Données projet'!$B$114,BY65+BX66-CG65)))</f>
        <v>636.79999999999995</v>
      </c>
      <c r="BZ66" s="13">
        <f>BY66*VLOOKUP('Données projet'!$B$12,Paramètres!$A$1:$I$89,3,0)*VLOOKUP('Données projet'!$B$12,Paramètres!$A$1:$I$89,5,0)</f>
        <v>256.63040000000001</v>
      </c>
      <c r="CA66" s="13">
        <f t="shared" si="39"/>
        <v>62.003571008536611</v>
      </c>
      <c r="CB66" s="20">
        <f t="shared" si="10"/>
        <v>554.9541661732012</v>
      </c>
      <c r="CC66" s="59">
        <f t="shared" si="11"/>
        <v>848.28749950653446</v>
      </c>
      <c r="CD66" s="59">
        <f ca="1">AVERAGE(OFFSET($CC$3,0,0,'Données projet'!$E$12+1,1))-AVERAGE(OFFSET($H$3,0,0,'Données projet'!$E$12+1,1))</f>
        <v>291.0962681460345</v>
      </c>
      <c r="CE66" s="59">
        <f t="shared" si="40"/>
        <v>240.28311826371385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23.412146189996907</v>
      </c>
      <c r="CL66" s="21">
        <f>EXP(-LN(2)/25)*CL65+(1-EXP(-LN(2)/25))/(LN(2)/25)*Calculateur!CG66*Calculateur!CI66*VLOOKUP('Données projet'!$B$12,Paramètres!$A$1:$I$89,3,0)*0.475*44/12</f>
        <v>25.155989003839881</v>
      </c>
      <c r="CM66" s="21">
        <f>EXP(-LN(2)/2)*CM65+(1-EXP(-LN(2)/2))/(LN(2)/2)*CG66*CJ66*VLOOKUP('Données projet'!$B$12,Paramètres!$A$1:$I$89,3,0)*0.475*44/12</f>
        <v>0.7792340288284979</v>
      </c>
      <c r="CN66" s="22">
        <f t="shared" si="12"/>
        <v>49.347369222665286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-1.1368683772161603E-13</v>
      </c>
      <c r="CU66" s="17">
        <f>CT66*VLOOKUP('Données projet'!$B$13,Paramètres!$A$1:$I$89,3,0)*VLOOKUP('Données projet'!$B$13,Paramètres!$A$1:$I$89,5,0)</f>
        <v>-5.3205440053716299E-14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225.92546546283018</v>
      </c>
      <c r="CZ66" s="59">
        <f t="shared" si="42"/>
        <v>309.38786160614563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84.869670644029284</v>
      </c>
      <c r="DG66" s="21">
        <f>EXP(-LN(2)/25)*DG65+(1-EXP(-LN(2)/25))/(LN(2)/25)*Calculateur!DB66*Calculateur!DD66*VLOOKUP('Données projet'!$B$13,Paramètres!$A$1:$I$89,3,0)*0.475*44/12</f>
        <v>80.53646297364206</v>
      </c>
      <c r="DH66" s="21">
        <f>EXP(-LN(2)/2)*DH65+(1-EXP(-LN(2)/2))/(LN(2)/2)*DB66*DE66*VLOOKUP('Données projet'!$B$13,Paramètres!$A$1:$I$89,3,0)*0.475*44/12</f>
        <v>2.5988502314469546E-5</v>
      </c>
      <c r="DI66" s="22">
        <f t="shared" si="15"/>
        <v>165.40615960617365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</v>
      </c>
      <c r="DO66" s="12">
        <f>IF('Données projet'!$A$166&gt;35,DO65+DN66-DW65,IF(A66&lt;'Données projet'!$A$166,$DL$205^A66,IF(A66='Données projet'!$A$166,'Données projet'!$B$166,DO65+DN66-DW65)))</f>
        <v>138.99999999999991</v>
      </c>
      <c r="DP66" s="17">
        <f>DO66*VLOOKUP('Données projet'!$B$14,Paramètres!$A$1:$I$89,3,0)*VLOOKUP('Données projet'!$B$14,Paramètres!$A$1:$I$89,5,0)</f>
        <v>121.43039999999995</v>
      </c>
      <c r="DQ66" s="13">
        <f t="shared" si="43"/>
        <v>32.008386179504456</v>
      </c>
      <c r="DR66" s="20">
        <f t="shared" si="16"/>
        <v>267.23921926263682</v>
      </c>
      <c r="DS66" s="59">
        <f t="shared" si="17"/>
        <v>560.57255259597014</v>
      </c>
      <c r="DT66" s="59">
        <f ca="1">AVERAGE(OFFSET($DS$3,0,0,'Données projet'!$E$14+1,1))-AVERAGE(OFFSET($H$3,0,0,'Données projet'!$E$14+1,1))</f>
        <v>150.06600397498823</v>
      </c>
      <c r="DU66" s="59">
        <f t="shared" si="44"/>
        <v>170.53034305929714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1.9030983733181686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1.9030983733181686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-5.3205440053716299E-14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294.94285920643927</v>
      </c>
      <c r="T67" s="59">
        <f t="shared" si="34"/>
        <v>399.89535338426606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127.43831951927864</v>
      </c>
      <c r="AA67" s="21">
        <f>EXP(-LN(2)/25)*AA66+(1-EXP(-LN(2)/25))/(LN(2)/25)*Calculateur!V67*Calculateur!X67*VLOOKUP('Données projet'!$B$9,Paramètres!$A$1:$I$89,3,0)*0.475*44/12</f>
        <v>123.37987809822106</v>
      </c>
      <c r="AB67" s="21">
        <f>EXP(-LN(2)/2)*AB66+(1-EXP(-LN(2)/2))/(LN(2)/2)*V67*Y67*VLOOKUP('Données projet'!$B$9,Paramètres!$A$1:$I$89,3,0)*0.475*44/12</f>
        <v>6.6190099189047263E-5</v>
      </c>
      <c r="AC67" s="22">
        <f t="shared" si="3"/>
        <v>250.81826380759887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-1.0197709343628959E-13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200.14675249215634</v>
      </c>
      <c r="AO67" s="59">
        <f t="shared" si="36"/>
        <v>200.55017434999968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119.84234430786744</v>
      </c>
      <c r="AV67" s="21">
        <f>EXP(-LN(2)/25)*AV66+(1-EXP(-LN(2)/25))/(LN(2)/25)*Calculateur!AQ67*Calculateur!AS67*VLOOKUP('Données projet'!$B$10,Paramètres!$A$1:$I$89,3,0)*0.475*44/12</f>
        <v>32.344579815565496</v>
      </c>
      <c r="AW67" s="21">
        <f>EXP(-LN(2)/2)*AW66+(1-EXP(-LN(2)/2))/(LN(2)/2)*AQ67*AT67*VLOOKUP('Données projet'!$B$10,Paramètres!$A$1:$I$89,3,0)*0.475*44/12</f>
        <v>7.9907121224945454</v>
      </c>
      <c r="AX67" s="21">
        <f t="shared" si="6"/>
        <v>160.17763624592749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6.4615384615384617</v>
      </c>
      <c r="BD67" s="12">
        <f>IF('Données projet'!$A$88&gt;35,BD66+BC67-BL66,IF(A67&lt;'Données projet'!$A$88,$BA$205^A67,IF(A67='Données projet'!$A$88,'Données projet'!$B$88,BD66+BC67-BL66)))</f>
        <v>254.5307692307691</v>
      </c>
      <c r="BE67" s="13">
        <f>BD67*VLOOKUP('Données projet'!$B$11,Paramètres!$A$1:$I$89,3,0)*VLOOKUP('Données projet'!$B$11,Paramètres!$A$1:$I$89,5,0)</f>
        <v>145.59159999999994</v>
      </c>
      <c r="BF67" s="13">
        <f t="shared" si="37"/>
        <v>37.575028283733694</v>
      </c>
      <c r="BG67" s="20">
        <f t="shared" si="7"/>
        <v>319.01521092750278</v>
      </c>
      <c r="BH67" s="59">
        <f t="shared" si="8"/>
        <v>612.34854426083609</v>
      </c>
      <c r="BI67" s="59">
        <f ca="1">AVERAGE(OFFSET($BH$3,0,0,'Données projet'!$E$11+1,1))-AVERAGE(OFFSET($H$3,0,0,'Données projet'!$E$11+1,1))</f>
        <v>182.46132340647313</v>
      </c>
      <c r="BJ67" s="59">
        <f t="shared" si="38"/>
        <v>130.51706975490481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27.990883941846409</v>
      </c>
      <c r="BQ67" s="21">
        <f>EXP(-LN(2)/25)*BQ66+(1-EXP(-LN(2)/25))/(LN(2)/25)*Calculateur!BL67*Calculateur!BN67*VLOOKUP('Données projet'!$B$11,Paramètres!$A$1:$I$89,3,0)*0.475*44/12</f>
        <v>11.749763253285668</v>
      </c>
      <c r="BR67" s="21">
        <f>EXP(-LN(2)/2)*BR66+(1-EXP(-LN(2)/2))/(LN(2)/2)*BL67*BO67*VLOOKUP('Données projet'!$B$11,Paramètres!$A$1:$I$89,3,0)*0.475*44/12</f>
        <v>0.84049985944746086</v>
      </c>
      <c r="BS67" s="22">
        <f t="shared" si="9"/>
        <v>40.581147054579539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18.600000000000001</v>
      </c>
      <c r="BY67" s="12">
        <f>IF('Données projet'!$A$114&gt;35,BY66+BX67-CG66,IF(A67&lt;'Données projet'!$A$114,$BV$205^A67,IF(A67='Données projet'!$A$114,'Données projet'!$B$114,BY66+BX67-CG66)))</f>
        <v>655.4</v>
      </c>
      <c r="BZ67" s="13">
        <f>BY67*VLOOKUP('Données projet'!$B$12,Paramètres!$A$1:$I$89,3,0)*VLOOKUP('Données projet'!$B$12,Paramètres!$A$1:$I$89,5,0)</f>
        <v>264.12619999999998</v>
      </c>
      <c r="CA67" s="13">
        <f t="shared" si="39"/>
        <v>63.601109438211878</v>
      </c>
      <c r="CB67" s="20">
        <f t="shared" si="10"/>
        <v>570.79173060488563</v>
      </c>
      <c r="CC67" s="59">
        <f t="shared" si="11"/>
        <v>864.125063938219</v>
      </c>
      <c r="CD67" s="59">
        <f ca="1">AVERAGE(OFFSET($CC$3,0,0,'Données projet'!$E$12+1,1))-AVERAGE(OFFSET($H$3,0,0,'Données projet'!$E$12+1,1))</f>
        <v>291.0962681460345</v>
      </c>
      <c r="CE67" s="59">
        <f t="shared" si="40"/>
        <v>240.28311826371385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22.953048283210212</v>
      </c>
      <c r="CL67" s="21">
        <f>EXP(-LN(2)/25)*CL66+(1-EXP(-LN(2)/25))/(LN(2)/25)*Calculateur!CG67*Calculateur!CI67*VLOOKUP('Données projet'!$B$12,Paramètres!$A$1:$I$89,3,0)*0.475*44/12</f>
        <v>24.468097161633914</v>
      </c>
      <c r="CM67" s="21">
        <f>EXP(-LN(2)/2)*CM66+(1-EXP(-LN(2)/2))/(LN(2)/2)*CG67*CJ67*VLOOKUP('Données projet'!$B$12,Paramètres!$A$1:$I$89,3,0)*0.475*44/12</f>
        <v>0.55100166591594457</v>
      </c>
      <c r="CN67" s="22">
        <f t="shared" si="12"/>
        <v>47.972147110760076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-1.1368683772161603E-13</v>
      </c>
      <c r="CU67" s="17">
        <f>CT67*VLOOKUP('Données projet'!$B$13,Paramètres!$A$1:$I$89,3,0)*VLOOKUP('Données projet'!$B$13,Paramètres!$A$1:$I$89,5,0)</f>
        <v>-5.3205440053716299E-14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225.92546546283018</v>
      </c>
      <c r="CZ67" s="59">
        <f t="shared" si="42"/>
        <v>309.38786160614563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83.20542816808755</v>
      </c>
      <c r="DG67" s="21">
        <f>EXP(-LN(2)/25)*DG66+(1-EXP(-LN(2)/25))/(LN(2)/25)*Calculateur!DB67*Calculateur!DD67*VLOOKUP('Données projet'!$B$13,Paramètres!$A$1:$I$89,3,0)*0.475*44/12</f>
        <v>78.334189158399298</v>
      </c>
      <c r="DH67" s="21">
        <f>EXP(-LN(2)/2)*DH66+(1-EXP(-LN(2)/2))/(LN(2)/2)*DB67*DE67*VLOOKUP('Données projet'!$B$13,Paramètres!$A$1:$I$89,3,0)*0.475*44/12</f>
        <v>1.8376646219443701E-5</v>
      </c>
      <c r="DI67" s="22">
        <f t="shared" si="15"/>
        <v>161.53963570313306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</v>
      </c>
      <c r="DO67" s="12">
        <f>IF('Données projet'!$A$166&gt;35,DO66+DN67-DW66,IF(A67&lt;'Données projet'!$A$166,$DL$205^A67,IF(A67='Données projet'!$A$166,'Données projet'!$B$166,DO66+DN67-DW66)))</f>
        <v>141.99999999999991</v>
      </c>
      <c r="DP67" s="17">
        <f>DO67*VLOOKUP('Données projet'!$B$14,Paramètres!$A$1:$I$89,3,0)*VLOOKUP('Données projet'!$B$14,Paramètres!$A$1:$I$89,5,0)</f>
        <v>124.05119999999994</v>
      </c>
      <c r="DQ67" s="13">
        <f t="shared" si="43"/>
        <v>32.618041559365977</v>
      </c>
      <c r="DR67" s="20">
        <f t="shared" si="16"/>
        <v>272.86559571589561</v>
      </c>
      <c r="DS67" s="59">
        <f t="shared" si="17"/>
        <v>566.19892904922892</v>
      </c>
      <c r="DT67" s="59">
        <f ca="1">AVERAGE(OFFSET($DS$3,0,0,'Données projet'!$E$14+1,1))-AVERAGE(OFFSET($H$3,0,0,'Données projet'!$E$14+1,1))</f>
        <v>150.06600397498823</v>
      </c>
      <c r="DU67" s="59">
        <f t="shared" si="44"/>
        <v>170.53034305929714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1.8510580482201893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1.8510580482201893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-5.3205440053716299E-14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294.94285920643927</v>
      </c>
      <c r="T68" s="59">
        <f t="shared" si="34"/>
        <v>399.89535338426606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124.93933180320532</v>
      </c>
      <c r="AA68" s="21">
        <f>EXP(-LN(2)/25)*AA67+(1-EXP(-LN(2)/25))/(LN(2)/25)*Calculateur!V68*Calculateur!X68*VLOOKUP('Données projet'!$B$9,Paramètres!$A$1:$I$89,3,0)*0.475*44/12</f>
        <v>120.00604884335939</v>
      </c>
      <c r="AB68" s="21">
        <f>EXP(-LN(2)/2)*AB67+(1-EXP(-LN(2)/2))/(LN(2)/2)*V68*Y68*VLOOKUP('Données projet'!$B$9,Paramètres!$A$1:$I$89,3,0)*0.475*44/12</f>
        <v>4.680346798398552E-5</v>
      </c>
      <c r="AC68" s="22">
        <f t="shared" ref="AC68:AC131" si="57">SUM(Z68:AB68)</f>
        <v>244.94542745003272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-1.0197709343628959E-13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200.14675249215634</v>
      </c>
      <c r="AO68" s="59">
        <f t="shared" si="36"/>
        <v>200.55017434999968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117.49230903260249</v>
      </c>
      <c r="AV68" s="21">
        <f>EXP(-LN(2)/25)*AV67+(1-EXP(-LN(2)/25))/(LN(2)/25)*Calculateur!AQ68*Calculateur!AS68*VLOOKUP('Données projet'!$B$10,Paramètres!$A$1:$I$89,3,0)*0.475*44/12</f>
        <v>31.460115579581331</v>
      </c>
      <c r="AW68" s="21">
        <f>EXP(-LN(2)/2)*AW67+(1-EXP(-LN(2)/2))/(LN(2)/2)*AQ68*AT68*VLOOKUP('Données projet'!$B$10,Paramètres!$A$1:$I$89,3,0)*0.475*44/12</f>
        <v>5.6502867283254439</v>
      </c>
      <c r="AX68" s="21">
        <f t="shared" ref="AX68:AX131" si="60">SUM(AU68:AW68)</f>
        <v>154.60271134050927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6.4615384615384617</v>
      </c>
      <c r="BD68" s="12">
        <f>IF('Données projet'!$A$88&gt;35,BD67+BC68-BL67,IF(A68&lt;'Données projet'!$A$88,$BA$205^A68,IF(A68='Données projet'!$A$88,'Données projet'!$B$88,BD67+BC68-BL67)))</f>
        <v>260.99230769230758</v>
      </c>
      <c r="BE68" s="13">
        <f>BD68*VLOOKUP('Données projet'!$B$11,Paramètres!$A$1:$I$89,3,0)*VLOOKUP('Données projet'!$B$11,Paramètres!$A$1:$I$89,5,0)</f>
        <v>149.28759999999994</v>
      </c>
      <c r="BF68" s="13">
        <f t="shared" si="37"/>
        <v>38.416645335496518</v>
      </c>
      <c r="BG68" s="20">
        <f t="shared" ref="BG68:BG131" si="61">(BE68+BF68)*0.475*44/12</f>
        <v>326.91822729265635</v>
      </c>
      <c r="BH68" s="59">
        <f t="shared" ref="BH68:BH131" si="62">BG68+(AY68+AZ68)*44/12</f>
        <v>620.25156062598967</v>
      </c>
      <c r="BI68" s="59">
        <f ca="1">AVERAGE(OFFSET($BH$3,0,0,'Données projet'!$E$11+1,1))-AVERAGE(OFFSET($H$3,0,0,'Données projet'!$E$11+1,1))</f>
        <v>182.46132340647313</v>
      </c>
      <c r="BJ68" s="59">
        <f t="shared" si="38"/>
        <v>130.51706975490481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27.441999780500211</v>
      </c>
      <c r="BQ68" s="21">
        <f>EXP(-LN(2)/25)*BQ67+(1-EXP(-LN(2)/25))/(LN(2)/25)*Calculateur!BL68*Calculateur!BN68*VLOOKUP('Données projet'!$B$11,Paramètres!$A$1:$I$89,3,0)*0.475*44/12</f>
        <v>11.428465359231376</v>
      </c>
      <c r="BR68" s="21">
        <f>EXP(-LN(2)/2)*BR67+(1-EXP(-LN(2)/2))/(LN(2)/2)*BL68*BO68*VLOOKUP('Données projet'!$B$11,Paramètres!$A$1:$I$89,3,0)*0.475*44/12</f>
        <v>0.59432315020163973</v>
      </c>
      <c r="BS68" s="22">
        <f t="shared" ref="BS68:BS131" si="63">SUM(BP68:BR68)</f>
        <v>39.464788289933225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674</v>
      </c>
      <c r="BW68" s="12">
        <f>VLOOKUP(A68,'Données projet'!$A$113:$I$133,9,0)</f>
        <v>18.600000000000001</v>
      </c>
      <c r="BX68" s="12">
        <f t="array" ref="BX68">INDEX(BW:BW,MIN(IF(ISNUMBER(BW68:BW264),ROW(BW68:BW264),"")))</f>
        <v>18.600000000000001</v>
      </c>
      <c r="BY68" s="12">
        <f>IF('Données projet'!$A$114&gt;35,BY67+BX68-CG67,IF(A68&lt;'Données projet'!$A$114,$BV$205^A68,IF(A68='Données projet'!$A$114,'Données projet'!$B$114,BY67+BX68-CG67)))</f>
        <v>674</v>
      </c>
      <c r="BZ68" s="13">
        <f>BY68*VLOOKUP('Données projet'!$B$12,Paramètres!$A$1:$I$89,3,0)*VLOOKUP('Données projet'!$B$12,Paramètres!$A$1:$I$89,5,0)</f>
        <v>271.62200000000001</v>
      </c>
      <c r="CA68" s="13">
        <f t="shared" si="39"/>
        <v>65.193378539290876</v>
      </c>
      <c r="CB68" s="20">
        <f t="shared" ref="CB68:CB131" si="64">(BZ68+CA68)*0.475*44/12</f>
        <v>586.62011762259829</v>
      </c>
      <c r="CC68" s="59">
        <f t="shared" ref="CC68:CC131" si="65">CB68+(BT68+BU68)*44/12</f>
        <v>879.95345095593166</v>
      </c>
      <c r="CD68" s="59">
        <f ca="1">AVERAGE(OFFSET($CC$3,0,0,'Données projet'!$E$12+1,1))-AVERAGE(OFFSET($H$3,0,0,'Données projet'!$E$12+1,1))</f>
        <v>291.0962681460345</v>
      </c>
      <c r="CE68" s="59">
        <f t="shared" si="40"/>
        <v>240.28311826371385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48</v>
      </c>
      <c r="CH68" s="16">
        <f>IF(ISNA(VLOOKUP(A68,'Données projet'!$A$113:$I$133,5,0)),0%,VLOOKUP(A68,'Données projet'!$A$113:$I$133,5,0)*VLOOKUP('Données projet'!$B$12,Paramètres!$A$1:$I$89,7,0))</f>
        <v>0.37812500000000004</v>
      </c>
      <c r="CI68" s="16">
        <f>IF(ISNA(VLOOKUP(A68,'Données projet'!$A$113:$I$133,6,0)),0%,VLOOKUP(A68,'Données projet'!$A$113:$I$133,6,0)*VLOOKUP('Données projet'!$B$12,Paramètres!$A$1:$I$89,7,0))</f>
        <v>0.11458333333333334</v>
      </c>
      <c r="CJ68" s="16">
        <f>IF(ISNA(VLOOKUP(A68,'Données projet'!$A$113:$I$133,7,0)),0%,VLOOKUP(A68,'Données projet'!$A$113:$I$133,7,0))</f>
        <v>5.2083333333333336E-2</v>
      </c>
      <c r="CK68" s="21">
        <f>EXP(-LN(2)/35)*CK67+(1-EXP(-LN(2)/35))/(LN(2)/35)*CG68*CH68*VLOOKUP('Données projet'!$B$12,Paramètres!$A$1:$I$89,3,0)*0.475*44/12</f>
        <v>32.206042387443276</v>
      </c>
      <c r="CL68" s="21">
        <f>EXP(-LN(2)/25)*CL67+(1-EXP(-LN(2)/25))/(LN(2)/25)*Calculateur!CG68*Calculateur!CI68*VLOOKUP('Données projet'!$B$12,Paramètres!$A$1:$I$89,3,0)*0.475*44/12</f>
        <v>26.727768673491209</v>
      </c>
      <c r="CM68" s="21">
        <f>EXP(-LN(2)/2)*CM67+(1-EXP(-LN(2)/2))/(LN(2)/2)*CG68*CJ68*VLOOKUP('Données projet'!$B$12,Paramètres!$A$1:$I$89,3,0)*0.475*44/12</f>
        <v>1.5303410541721634</v>
      </c>
      <c r="CN68" s="22">
        <f t="shared" ref="CN68:CN131" si="66">SUM(CK68:CM68)</f>
        <v>60.46415211510665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-1.1368683772161603E-13</v>
      </c>
      <c r="CU68" s="17">
        <f>CT68*VLOOKUP('Données projet'!$B$13,Paramètres!$A$1:$I$89,3,0)*VLOOKUP('Données projet'!$B$13,Paramètres!$A$1:$I$89,5,0)</f>
        <v>-5.3205440053716299E-14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225.92546546283018</v>
      </c>
      <c r="CZ68" s="59">
        <f t="shared" si="42"/>
        <v>309.38786160614563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81.573820472011363</v>
      </c>
      <c r="DG68" s="21">
        <f>EXP(-LN(2)/25)*DG67+(1-EXP(-LN(2)/25))/(LN(2)/25)*Calculateur!DB68*Calculateur!DD68*VLOOKUP('Données projet'!$B$13,Paramètres!$A$1:$I$89,3,0)*0.475*44/12</f>
        <v>76.192136636446889</v>
      </c>
      <c r="DH68" s="21">
        <f>EXP(-LN(2)/2)*DH67+(1-EXP(-LN(2)/2))/(LN(2)/2)*DB68*DE68*VLOOKUP('Données projet'!$B$13,Paramètres!$A$1:$I$89,3,0)*0.475*44/12</f>
        <v>1.2994251157234773E-5</v>
      </c>
      <c r="DI68" s="22">
        <f t="shared" ref="DI68:DI131" si="69">SUM(DF68:DH68)</f>
        <v>157.76597010270942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145</v>
      </c>
      <c r="DM68" s="12">
        <f>VLOOKUP(A68,'Données projet'!$A$165:$I$185,9,0)</f>
        <v>3</v>
      </c>
      <c r="DN68" s="12">
        <f t="array" ref="DN68">INDEX(DM:DM,MIN(IF(ISNUMBER(DM68:DM264),ROW(DM68:DM264),"")))</f>
        <v>3</v>
      </c>
      <c r="DO68" s="12">
        <f>IF('Données projet'!$A$166&gt;35,DO67+DN68-DW67,IF(A68&lt;'Données projet'!$A$166,$DL$205^A68,IF(A68='Données projet'!$A$166,'Données projet'!$B$166,DO67+DN68-DW67)))</f>
        <v>144.99999999999991</v>
      </c>
      <c r="DP68" s="17">
        <f>DO68*VLOOKUP('Données projet'!$B$14,Paramètres!$A$1:$I$89,3,0)*VLOOKUP('Données projet'!$B$14,Paramètres!$A$1:$I$89,5,0)</f>
        <v>126.67199999999994</v>
      </c>
      <c r="DQ68" s="13">
        <f t="shared" si="43"/>
        <v>33.226199426361319</v>
      </c>
      <c r="DR68" s="20">
        <f t="shared" ref="DR68:DR131" si="70">(DP68+DQ68)*0.475*44/12</f>
        <v>278.48936400091253</v>
      </c>
      <c r="DS68" s="59">
        <f t="shared" ref="DS68:DS131" si="71">DR68+(DJ68+DK68)*44/12</f>
        <v>571.82269733424585</v>
      </c>
      <c r="DT68" s="59">
        <f ca="1">AVERAGE(OFFSET($DS$3,0,0,'Données projet'!$E$14+1,1))-AVERAGE(OFFSET($H$3,0,0,'Données projet'!$E$14+1,1))</f>
        <v>150.06600397498823</v>
      </c>
      <c r="DU68" s="59">
        <f t="shared" si="44"/>
        <v>170.53034305929714</v>
      </c>
      <c r="DV68" s="15">
        <f>IF(ISNA(VLOOKUP(A68,'Données projet'!$A$165:$I$185,3,0)),0,VLOOKUP(A68,'Données projet'!$A$165:$I$185,3,0))</f>
        <v>8</v>
      </c>
      <c r="DW68" s="15">
        <f>IF(ISNA(VLOOKUP(A68,'Données projet'!$A$165:$I$185,4,0)),0,VLOOKUP(A68,'Données projet'!$A$165:$I$185,4,0))</f>
        <v>9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0.215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3.6617877827400322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3.6617877827400322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-5.3205440053716299E-14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294.94285920643927</v>
      </c>
      <c r="T69" s="59">
        <f t="shared" ref="T69:T132" si="88">$T$3</f>
        <v>399.89535338426606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122.4893477120122</v>
      </c>
      <c r="AA69" s="21">
        <f>EXP(-LN(2)/25)*AA68+(1-EXP(-LN(2)/25))/(LN(2)/25)*Calculateur!V69*Calculateur!X69*VLOOKUP('Données projet'!$B$9,Paramètres!$A$1:$I$89,3,0)*0.475*44/12</f>
        <v>116.7244771268939</v>
      </c>
      <c r="AB69" s="21">
        <f>EXP(-LN(2)/2)*AB68+(1-EXP(-LN(2)/2))/(LN(2)/2)*V69*Y69*VLOOKUP('Données projet'!$B$9,Paramètres!$A$1:$I$89,3,0)*0.475*44/12</f>
        <v>3.3095049594523632E-5</v>
      </c>
      <c r="AC69" s="22">
        <f t="shared" si="57"/>
        <v>239.21385793395569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-1.0197709343628959E-13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200.14675249215634</v>
      </c>
      <c r="AO69" s="59">
        <f t="shared" ref="AO69:AO132" si="90">$AO$3</f>
        <v>200.55017434999968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115.18835651570551</v>
      </c>
      <c r="AV69" s="21">
        <f>EXP(-LN(2)/25)*AV68+(1-EXP(-LN(2)/25))/(LN(2)/25)*Calculateur!AQ69*Calculateur!AS69*VLOOKUP('Données projet'!$B$10,Paramètres!$A$1:$I$89,3,0)*0.475*44/12</f>
        <v>30.599837064642102</v>
      </c>
      <c r="AW69" s="21">
        <f>EXP(-LN(2)/2)*AW68+(1-EXP(-LN(2)/2))/(LN(2)/2)*AQ69*AT69*VLOOKUP('Données projet'!$B$10,Paramètres!$A$1:$I$89,3,0)*0.475*44/12</f>
        <v>3.9953560612472736</v>
      </c>
      <c r="AX69" s="21">
        <f t="shared" si="60"/>
        <v>149.78354964159487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6.4615384615384617</v>
      </c>
      <c r="BD69" s="12">
        <f>IF('Données projet'!$A$88&gt;35,BD68+BC69-BL68,IF(A69&lt;'Données projet'!$A$88,$BA$205^A69,IF(A69='Données projet'!$A$88,'Données projet'!$B$88,BD68+BC69-BL68)))</f>
        <v>267.45384615384603</v>
      </c>
      <c r="BE69" s="13">
        <f>BD69*VLOOKUP('Données projet'!$B$11,Paramètres!$A$1:$I$89,3,0)*VLOOKUP('Données projet'!$B$11,Paramètres!$A$1:$I$89,5,0)</f>
        <v>152.98359999999994</v>
      </c>
      <c r="BF69" s="13">
        <f t="shared" ref="BF69:BF132" si="91">EXP(-1.0587+0.8836*LN(BE69)+0.284)</f>
        <v>39.255840259752787</v>
      </c>
      <c r="BG69" s="20">
        <f t="shared" si="61"/>
        <v>334.81702511906929</v>
      </c>
      <c r="BH69" s="59">
        <f t="shared" si="62"/>
        <v>628.15035845240254</v>
      </c>
      <c r="BI69" s="59">
        <f ca="1">AVERAGE(OFFSET($BH$3,0,0,'Données projet'!$E$11+1,1))-AVERAGE(OFFSET($H$3,0,0,'Données projet'!$E$11+1,1))</f>
        <v>182.46132340647313</v>
      </c>
      <c r="BJ69" s="59">
        <f t="shared" ref="BJ69:BJ132" si="92">$BJ$3</f>
        <v>130.51706975490481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26.90387890277173</v>
      </c>
      <c r="BQ69" s="21">
        <f>EXP(-LN(2)/25)*BQ68+(1-EXP(-LN(2)/25))/(LN(2)/25)*Calculateur!BL69*Calculateur!BN69*VLOOKUP('Données projet'!$B$11,Paramètres!$A$1:$I$89,3,0)*0.475*44/12</f>
        <v>11.115953372986322</v>
      </c>
      <c r="BR69" s="21">
        <f>EXP(-LN(2)/2)*BR68+(1-EXP(-LN(2)/2))/(LN(2)/2)*BL69*BO69*VLOOKUP('Données projet'!$B$11,Paramètres!$A$1:$I$89,3,0)*0.475*44/12</f>
        <v>0.42024992972373049</v>
      </c>
      <c r="BS69" s="22">
        <f t="shared" si="63"/>
        <v>38.440082205481779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17.2</v>
      </c>
      <c r="BY69" s="12">
        <f>IF('Données projet'!$A$114&gt;35,BY68+BX69-CG68,IF(A69&lt;'Données projet'!$A$114,$BV$205^A69,IF(A69='Données projet'!$A$114,'Données projet'!$B$114,BY68+BX69-CG68)))</f>
        <v>643.20000000000005</v>
      </c>
      <c r="BZ69" s="13">
        <f>BY69*VLOOKUP('Données projet'!$B$12,Paramètres!$A$1:$I$89,3,0)*VLOOKUP('Données projet'!$B$12,Paramètres!$A$1:$I$89,5,0)</f>
        <v>259.20960000000002</v>
      </c>
      <c r="CA69" s="13">
        <f t="shared" ref="CA69:CA132" si="93">EXP(-1.0587+0.8836*LN(BZ69)+0.284)</f>
        <v>62.553866774106702</v>
      </c>
      <c r="CB69" s="20">
        <f t="shared" si="64"/>
        <v>560.40470463156919</v>
      </c>
      <c r="CC69" s="59">
        <f t="shared" si="65"/>
        <v>853.73803796490256</v>
      </c>
      <c r="CD69" s="59">
        <f ca="1">AVERAGE(OFFSET($CC$3,0,0,'Données projet'!$E$12+1,1))-AVERAGE(OFFSET($H$3,0,0,'Données projet'!$E$12+1,1))</f>
        <v>291.0962681460345</v>
      </c>
      <c r="CE69" s="59">
        <f t="shared" ref="CE69:CE132" si="94">$CE$3</f>
        <v>240.28311826371385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31.57450153997171</v>
      </c>
      <c r="CL69" s="21">
        <f>EXP(-LN(2)/25)*CL68+(1-EXP(-LN(2)/25))/(LN(2)/25)*Calculateur!CG69*Calculateur!CI69*VLOOKUP('Données projet'!$B$12,Paramètres!$A$1:$I$89,3,0)*0.475*44/12</f>
        <v>25.996896433562323</v>
      </c>
      <c r="CM69" s="21">
        <f>EXP(-LN(2)/2)*CM68+(1-EXP(-LN(2)/2))/(LN(2)/2)*CG69*CJ69*VLOOKUP('Données projet'!$B$12,Paramètres!$A$1:$I$89,3,0)*0.475*44/12</f>
        <v>1.0821145369333065</v>
      </c>
      <c r="CN69" s="22">
        <f t="shared" si="66"/>
        <v>58.653512510467337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-1.1368683772161603E-13</v>
      </c>
      <c r="CU69" s="17">
        <f>CT69*VLOOKUP('Données projet'!$B$13,Paramètres!$A$1:$I$89,3,0)*VLOOKUP('Données projet'!$B$13,Paramètres!$A$1:$I$89,5,0)</f>
        <v>-5.3205440053716299E-14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225.92546546283018</v>
      </c>
      <c r="CZ69" s="59">
        <f t="shared" ref="CZ69:CZ132" si="96">$CZ$3</f>
        <v>309.38786160614563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79.974207607672795</v>
      </c>
      <c r="DG69" s="21">
        <f>EXP(-LN(2)/25)*DG68+(1-EXP(-LN(2)/25))/(LN(2)/25)*Calculateur!DB69*Calculateur!DD69*VLOOKUP('Données projet'!$B$13,Paramètres!$A$1:$I$89,3,0)*0.475*44/12</f>
        <v>74.108658653352919</v>
      </c>
      <c r="DH69" s="21">
        <f>EXP(-LN(2)/2)*DH68+(1-EXP(-LN(2)/2))/(LN(2)/2)*DB69*DE69*VLOOKUP('Données projet'!$B$13,Paramètres!$A$1:$I$89,3,0)*0.475*44/12</f>
        <v>9.1883231097218504E-6</v>
      </c>
      <c r="DI69" s="22">
        <f t="shared" si="69"/>
        <v>154.08287544934882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</v>
      </c>
      <c r="DO69" s="12">
        <f>IF('Données projet'!$A$166&gt;35,DO68+DN69-DW68,IF(A69&lt;'Données projet'!$A$166,$DL$205^A69,IF(A69='Données projet'!$A$166,'Données projet'!$B$166,DO68+DN69-DW68)))</f>
        <v>138.99999999999991</v>
      </c>
      <c r="DP69" s="17">
        <f>DO69*VLOOKUP('Données projet'!$B$14,Paramètres!$A$1:$I$89,3,0)*VLOOKUP('Données projet'!$B$14,Paramètres!$A$1:$I$89,5,0)</f>
        <v>121.43039999999995</v>
      </c>
      <c r="DQ69" s="13">
        <f t="shared" ref="DQ69:DQ132" si="97">EXP(-1.0587+0.8836*LN(DP69)+0.284)</f>
        <v>32.008386179504456</v>
      </c>
      <c r="DR69" s="20">
        <f t="shared" si="70"/>
        <v>267.23921926263682</v>
      </c>
      <c r="DS69" s="59">
        <f t="shared" si="71"/>
        <v>560.57255259597014</v>
      </c>
      <c r="DT69" s="59">
        <f ca="1">AVERAGE(OFFSET($DS$3,0,0,'Données projet'!$E$14+1,1))-AVERAGE(OFFSET($H$3,0,0,'Données projet'!$E$14+1,1))</f>
        <v>150.06600397498823</v>
      </c>
      <c r="DU69" s="59">
        <f t="shared" ref="DU69:DU132" si="98">$DU$3</f>
        <v>170.53034305929714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3.5616560032559557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3.5616560032559557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-5.3205440053716299E-14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294.94285920643927</v>
      </c>
      <c r="T70" s="59">
        <f t="shared" si="88"/>
        <v>399.89535338426606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120.08740631450463</v>
      </c>
      <c r="AA70" s="21">
        <f>EXP(-LN(2)/25)*AA69+(1-EXP(-LN(2)/25))/(LN(2)/25)*Calculateur!V70*Calculateur!X70*VLOOKUP('Données projet'!$B$9,Paramètres!$A$1:$I$89,3,0)*0.475*44/12</f>
        <v>113.53264016158552</v>
      </c>
      <c r="AB70" s="21">
        <f>EXP(-LN(2)/2)*AB69+(1-EXP(-LN(2)/2))/(LN(2)/2)*V70*Y70*VLOOKUP('Données projet'!$B$9,Paramètres!$A$1:$I$89,3,0)*0.475*44/12</f>
        <v>2.340173399199276E-5</v>
      </c>
      <c r="AC70" s="22">
        <f t="shared" si="57"/>
        <v>233.62006987782414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-1.0197709343628959E-13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200.14675249215634</v>
      </c>
      <c r="AO70" s="59">
        <f t="shared" si="90"/>
        <v>200.55017434999968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112.9295831023926</v>
      </c>
      <c r="AV70" s="21">
        <f>EXP(-LN(2)/25)*AV69+(1-EXP(-LN(2)/25))/(LN(2)/25)*Calculateur!AQ70*Calculateur!AS70*VLOOKUP('Données projet'!$B$10,Paramètres!$A$1:$I$89,3,0)*0.475*44/12</f>
        <v>29.763082910933971</v>
      </c>
      <c r="AW70" s="21">
        <f>EXP(-LN(2)/2)*AW69+(1-EXP(-LN(2)/2))/(LN(2)/2)*AQ70*AT70*VLOOKUP('Données projet'!$B$10,Paramètres!$A$1:$I$89,3,0)*0.475*44/12</f>
        <v>2.8251433641627224</v>
      </c>
      <c r="AX70" s="21">
        <f t="shared" si="60"/>
        <v>145.5178093774893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6.4615384615384617</v>
      </c>
      <c r="BD70" s="12">
        <f>IF('Données projet'!$A$88&gt;35,BD69+BC70-BL69,IF(A70&lt;'Données projet'!$A$88,$BA$205^A70,IF(A70='Données projet'!$A$88,'Données projet'!$B$88,BD69+BC70-BL69)))</f>
        <v>273.91538461538448</v>
      </c>
      <c r="BE70" s="13">
        <f>BD70*VLOOKUP('Données projet'!$B$11,Paramètres!$A$1:$I$89,3,0)*VLOOKUP('Données projet'!$B$11,Paramètres!$A$1:$I$89,5,0)</f>
        <v>156.67959999999994</v>
      </c>
      <c r="BF70" s="13">
        <f t="shared" si="91"/>
        <v>40.092678306252019</v>
      </c>
      <c r="BG70" s="20">
        <f t="shared" si="61"/>
        <v>342.71171805005548</v>
      </c>
      <c r="BH70" s="59">
        <f t="shared" si="62"/>
        <v>636.0450513833888</v>
      </c>
      <c r="BI70" s="59">
        <f ca="1">AVERAGE(OFFSET($BH$3,0,0,'Données projet'!$E$11+1,1))-AVERAGE(OFFSET($H$3,0,0,'Données projet'!$E$11+1,1))</f>
        <v>182.46132340647313</v>
      </c>
      <c r="BJ70" s="59">
        <f t="shared" si="92"/>
        <v>130.51706975490481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26.37631024723418</v>
      </c>
      <c r="BQ70" s="21">
        <f>EXP(-LN(2)/25)*BQ69+(1-EXP(-LN(2)/25))/(LN(2)/25)*Calculateur!BL70*Calculateur!BN70*VLOOKUP('Données projet'!$B$11,Paramètres!$A$1:$I$89,3,0)*0.475*44/12</f>
        <v>10.811987043439428</v>
      </c>
      <c r="BR70" s="21">
        <f>EXP(-LN(2)/2)*BR69+(1-EXP(-LN(2)/2))/(LN(2)/2)*BL70*BO70*VLOOKUP('Données projet'!$B$11,Paramètres!$A$1:$I$89,3,0)*0.475*44/12</f>
        <v>0.29716157510081986</v>
      </c>
      <c r="BS70" s="22">
        <f t="shared" si="63"/>
        <v>37.485458865774433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17.2</v>
      </c>
      <c r="BY70" s="12">
        <f>IF('Données projet'!$A$114&gt;35,BY69+BX70-CG69,IF(A70&lt;'Données projet'!$A$114,$BV$205^A70,IF(A70='Données projet'!$A$114,'Données projet'!$B$114,BY69+BX70-CG69)))</f>
        <v>660.40000000000009</v>
      </c>
      <c r="BZ70" s="13">
        <f>BY70*VLOOKUP('Données projet'!$B$12,Paramètres!$A$1:$I$89,3,0)*VLOOKUP('Données projet'!$B$12,Paramètres!$A$1:$I$89,5,0)</f>
        <v>266.14120000000003</v>
      </c>
      <c r="CA70" s="13">
        <f t="shared" si="93"/>
        <v>64.029649709513365</v>
      </c>
      <c r="CB70" s="20">
        <f t="shared" si="64"/>
        <v>575.04756324406912</v>
      </c>
      <c r="CC70" s="59">
        <f t="shared" si="65"/>
        <v>868.38089657740238</v>
      </c>
      <c r="CD70" s="59">
        <f ca="1">AVERAGE(OFFSET($CC$3,0,0,'Données projet'!$E$12+1,1))-AVERAGE(OFFSET($H$3,0,0,'Données projet'!$E$12+1,1))</f>
        <v>291.0962681460345</v>
      </c>
      <c r="CE70" s="59">
        <f t="shared" si="94"/>
        <v>240.28311826371385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30.95534482331718</v>
      </c>
      <c r="CL70" s="21">
        <f>EXP(-LN(2)/25)*CL69+(1-EXP(-LN(2)/25))/(LN(2)/25)*Calculateur!CG70*Calculateur!CI70*VLOOKUP('Données projet'!$B$12,Paramètres!$A$1:$I$89,3,0)*0.475*44/12</f>
        <v>25.286009933469195</v>
      </c>
      <c r="CM70" s="21">
        <f>EXP(-LN(2)/2)*CM69+(1-EXP(-LN(2)/2))/(LN(2)/2)*CG70*CJ70*VLOOKUP('Données projet'!$B$12,Paramètres!$A$1:$I$89,3,0)*0.475*44/12</f>
        <v>0.7651705270860818</v>
      </c>
      <c r="CN70" s="22">
        <f t="shared" si="66"/>
        <v>57.006525283872463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-1.1368683772161603E-13</v>
      </c>
      <c r="CU70" s="17">
        <f>CT70*VLOOKUP('Données projet'!$B$13,Paramètres!$A$1:$I$89,3,0)*VLOOKUP('Données projet'!$B$13,Paramètres!$A$1:$I$89,5,0)</f>
        <v>-5.3205440053716299E-14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225.92546546283018</v>
      </c>
      <c r="CZ70" s="59">
        <f t="shared" si="96"/>
        <v>309.38786160614563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78.405962175936395</v>
      </c>
      <c r="DG70" s="21">
        <f>EXP(-LN(2)/25)*DG69+(1-EXP(-LN(2)/25))/(LN(2)/25)*Calculateur!DB70*Calculateur!DD70*VLOOKUP('Données projet'!$B$13,Paramètres!$A$1:$I$89,3,0)*0.475*44/12</f>
        <v>72.082153485272002</v>
      </c>
      <c r="DH70" s="21">
        <f>EXP(-LN(2)/2)*DH69+(1-EXP(-LN(2)/2))/(LN(2)/2)*DB70*DE70*VLOOKUP('Données projet'!$B$13,Paramètres!$A$1:$I$89,3,0)*0.475*44/12</f>
        <v>6.4971255786173865E-6</v>
      </c>
      <c r="DI70" s="22">
        <f t="shared" si="69"/>
        <v>150.48812215833397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</v>
      </c>
      <c r="DO70" s="12">
        <f>IF('Données projet'!$A$166&gt;35,DO69+DN70-DW69,IF(A70&lt;'Données projet'!$A$166,$DL$205^A70,IF(A70='Données projet'!$A$166,'Données projet'!$B$166,DO69+DN70-DW69)))</f>
        <v>141.99999999999991</v>
      </c>
      <c r="DP70" s="17">
        <f>DO70*VLOOKUP('Données projet'!$B$14,Paramètres!$A$1:$I$89,3,0)*VLOOKUP('Données projet'!$B$14,Paramètres!$A$1:$I$89,5,0)</f>
        <v>124.05119999999994</v>
      </c>
      <c r="DQ70" s="13">
        <f t="shared" si="97"/>
        <v>32.618041559365977</v>
      </c>
      <c r="DR70" s="20">
        <f t="shared" si="70"/>
        <v>272.86559571589561</v>
      </c>
      <c r="DS70" s="59">
        <f t="shared" si="71"/>
        <v>566.19892904922892</v>
      </c>
      <c r="DT70" s="59">
        <f ca="1">AVERAGE(OFFSET($DS$3,0,0,'Données projet'!$E$14+1,1))-AVERAGE(OFFSET($H$3,0,0,'Données projet'!$E$14+1,1))</f>
        <v>150.06600397498823</v>
      </c>
      <c r="DU70" s="59">
        <f t="shared" si="98"/>
        <v>170.53034305929714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3.4642623325475728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3.4642623325475728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-5.3205440053716299E-14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294.94285920643927</v>
      </c>
      <c r="T71" s="59">
        <f t="shared" si="88"/>
        <v>399.89535338426606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117.7325655227626</v>
      </c>
      <c r="AA71" s="21">
        <f>EXP(-LN(2)/25)*AA70+(1-EXP(-LN(2)/25))/(LN(2)/25)*Calculateur!V71*Calculateur!X71*VLOOKUP('Données projet'!$B$9,Paramètres!$A$1:$I$89,3,0)*0.475*44/12</f>
        <v>110.42808414594489</v>
      </c>
      <c r="AB71" s="21">
        <f>EXP(-LN(2)/2)*AB70+(1-EXP(-LN(2)/2))/(LN(2)/2)*V71*Y71*VLOOKUP('Données projet'!$B$9,Paramètres!$A$1:$I$89,3,0)*0.475*44/12</f>
        <v>1.6547524797261816E-5</v>
      </c>
      <c r="AC71" s="22">
        <f t="shared" si="57"/>
        <v>228.1606662162323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-1.0197709343628959E-13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200.14675249215634</v>
      </c>
      <c r="AO71" s="59">
        <f t="shared" si="90"/>
        <v>200.55017434999968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110.71510285799901</v>
      </c>
      <c r="AV71" s="21">
        <f>EXP(-LN(2)/25)*AV70+(1-EXP(-LN(2)/25))/(LN(2)/25)*Calculateur!AQ71*Calculateur!AS71*VLOOKUP('Données projet'!$B$10,Paramètres!$A$1:$I$89,3,0)*0.475*44/12</f>
        <v>28.949209843561974</v>
      </c>
      <c r="AW71" s="21">
        <f>EXP(-LN(2)/2)*AW70+(1-EXP(-LN(2)/2))/(LN(2)/2)*AQ71*AT71*VLOOKUP('Données projet'!$B$10,Paramètres!$A$1:$I$89,3,0)*0.475*44/12</f>
        <v>1.997678030623637</v>
      </c>
      <c r="AX71" s="21">
        <f t="shared" si="60"/>
        <v>141.66199073218462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6.4615384615384617</v>
      </c>
      <c r="BD71" s="12">
        <f>IF('Données projet'!$A$88&gt;35,BD70+BC71-BL70,IF(A71&lt;'Données projet'!$A$88,$BA$205^A71,IF(A71='Données projet'!$A$88,'Données projet'!$B$88,BD70+BC71-BL70)))</f>
        <v>280.37692307692294</v>
      </c>
      <c r="BE71" s="13">
        <f>BD71*VLOOKUP('Données projet'!$B$11,Paramètres!$A$1:$I$89,3,0)*VLOOKUP('Données projet'!$B$11,Paramètres!$A$1:$I$89,5,0)</f>
        <v>160.37559999999993</v>
      </c>
      <c r="BF71" s="13">
        <f t="shared" si="91"/>
        <v>40.927221470715807</v>
      </c>
      <c r="BG71" s="20">
        <f t="shared" si="61"/>
        <v>350.60241406149657</v>
      </c>
      <c r="BH71" s="59">
        <f t="shared" si="62"/>
        <v>643.93574739482983</v>
      </c>
      <c r="BI71" s="59">
        <f ca="1">AVERAGE(OFFSET($BH$3,0,0,'Données projet'!$E$11+1,1))-AVERAGE(OFFSET($H$3,0,0,'Données projet'!$E$11+1,1))</f>
        <v>182.46132340647313</v>
      </c>
      <c r="BJ71" s="59">
        <f t="shared" si="92"/>
        <v>130.51706975490481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25.859086891246616</v>
      </c>
      <c r="BQ71" s="21">
        <f>EXP(-LN(2)/25)*BQ70+(1-EXP(-LN(2)/25))/(LN(2)/25)*Calculateur!BL71*Calculateur!BN71*VLOOKUP('Données projet'!$B$11,Paramètres!$A$1:$I$89,3,0)*0.475*44/12</f>
        <v>10.51633268915889</v>
      </c>
      <c r="BR71" s="21">
        <f>EXP(-LN(2)/2)*BR70+(1-EXP(-LN(2)/2))/(LN(2)/2)*BL71*BO71*VLOOKUP('Données projet'!$B$11,Paramètres!$A$1:$I$89,3,0)*0.475*44/12</f>
        <v>0.21012496486186524</v>
      </c>
      <c r="BS71" s="22">
        <f t="shared" si="63"/>
        <v>36.585544545267368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17.2</v>
      </c>
      <c r="BY71" s="12">
        <f>IF('Données projet'!$A$114&gt;35,BY70+BX71-CG70,IF(A71&lt;'Données projet'!$A$114,$BV$205^A71,IF(A71='Données projet'!$A$114,'Données projet'!$B$114,BY70+BX71-CG70)))</f>
        <v>677.60000000000014</v>
      </c>
      <c r="BZ71" s="13">
        <f>BY71*VLOOKUP('Données projet'!$B$12,Paramètres!$A$1:$I$89,3,0)*VLOOKUP('Données projet'!$B$12,Paramètres!$A$1:$I$89,5,0)</f>
        <v>273.07280000000009</v>
      </c>
      <c r="CA71" s="13">
        <f t="shared" si="93"/>
        <v>65.500964877099648</v>
      </c>
      <c r="CB71" s="20">
        <f t="shared" si="64"/>
        <v>589.68264049428205</v>
      </c>
      <c r="CC71" s="59">
        <f t="shared" si="65"/>
        <v>883.01597382761543</v>
      </c>
      <c r="CD71" s="59">
        <f ca="1">AVERAGE(OFFSET($CC$3,0,0,'Données projet'!$E$12+1,1))-AVERAGE(OFFSET($H$3,0,0,'Données projet'!$E$12+1,1))</f>
        <v>291.0962681460345</v>
      </c>
      <c r="CE71" s="59">
        <f t="shared" si="94"/>
        <v>240.28311826371385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30.348329392227939</v>
      </c>
      <c r="CL71" s="21">
        <f>EXP(-LN(2)/25)*CL70+(1-EXP(-LN(2)/25))/(LN(2)/25)*Calculateur!CG71*Calculateur!CI71*VLOOKUP('Données projet'!$B$12,Paramètres!$A$1:$I$89,3,0)*0.475*44/12</f>
        <v>24.594562662105009</v>
      </c>
      <c r="CM71" s="21">
        <f>EXP(-LN(2)/2)*CM70+(1-EXP(-LN(2)/2))/(LN(2)/2)*CG71*CJ71*VLOOKUP('Données projet'!$B$12,Paramètres!$A$1:$I$89,3,0)*0.475*44/12</f>
        <v>0.54105726846665336</v>
      </c>
      <c r="CN71" s="22">
        <f t="shared" si="66"/>
        <v>55.483949322799596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-1.1368683772161603E-13</v>
      </c>
      <c r="CU71" s="17">
        <f>CT71*VLOOKUP('Données projet'!$B$13,Paramètres!$A$1:$I$89,3,0)*VLOOKUP('Données projet'!$B$13,Paramètres!$A$1:$I$89,5,0)</f>
        <v>-5.3205440053716299E-14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225.92546546283018</v>
      </c>
      <c r="CZ71" s="59">
        <f t="shared" si="96"/>
        <v>309.38786160614563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76.868469080581093</v>
      </c>
      <c r="DG71" s="21">
        <f>EXP(-LN(2)/25)*DG70+(1-EXP(-LN(2)/25))/(LN(2)/25)*Calculateur!DB71*Calculateur!DD71*VLOOKUP('Données projet'!$B$13,Paramètres!$A$1:$I$89,3,0)*0.475*44/12</f>
        <v>70.111063207581537</v>
      </c>
      <c r="DH71" s="21">
        <f>EXP(-LN(2)/2)*DH70+(1-EXP(-LN(2)/2))/(LN(2)/2)*DB71*DE71*VLOOKUP('Données projet'!$B$13,Paramètres!$A$1:$I$89,3,0)*0.475*44/12</f>
        <v>4.5941615548609252E-6</v>
      </c>
      <c r="DI71" s="22">
        <f t="shared" si="69"/>
        <v>146.9795368823242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</v>
      </c>
      <c r="DO71" s="12">
        <f>IF('Données projet'!$A$166&gt;35,DO70+DN71-DW70,IF(A71&lt;'Données projet'!$A$166,$DL$205^A71,IF(A71='Données projet'!$A$166,'Données projet'!$B$166,DO70+DN71-DW70)))</f>
        <v>144.99999999999991</v>
      </c>
      <c r="DP71" s="17">
        <f>DO71*VLOOKUP('Données projet'!$B$14,Paramètres!$A$1:$I$89,3,0)*VLOOKUP('Données projet'!$B$14,Paramètres!$A$1:$I$89,5,0)</f>
        <v>126.67199999999994</v>
      </c>
      <c r="DQ71" s="13">
        <f t="shared" si="97"/>
        <v>33.226199426361319</v>
      </c>
      <c r="DR71" s="20">
        <f t="shared" si="70"/>
        <v>278.48936400091253</v>
      </c>
      <c r="DS71" s="59">
        <f t="shared" si="71"/>
        <v>571.82269733424585</v>
      </c>
      <c r="DT71" s="59">
        <f ca="1">AVERAGE(OFFSET($DS$3,0,0,'Données projet'!$E$14+1,1))-AVERAGE(OFFSET($H$3,0,0,'Données projet'!$E$14+1,1))</f>
        <v>150.06600397498823</v>
      </c>
      <c r="DU71" s="59">
        <f t="shared" si="98"/>
        <v>170.53034305929714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3.369531896886421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3.369531896886421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-5.3205440053716299E-14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294.94285920643927</v>
      </c>
      <c r="T72" s="59">
        <f t="shared" si="88"/>
        <v>399.89535338426606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115.42390172263556</v>
      </c>
      <c r="AA72" s="21">
        <f>EXP(-LN(2)/25)*AA71+(1-EXP(-LN(2)/25))/(LN(2)/25)*Calculateur!V72*Calculateur!X72*VLOOKUP('Données projet'!$B$9,Paramètres!$A$1:$I$89,3,0)*0.475*44/12</f>
        <v>107.40842237781347</v>
      </c>
      <c r="AB72" s="21">
        <f>EXP(-LN(2)/2)*AB71+(1-EXP(-LN(2)/2))/(LN(2)/2)*V72*Y72*VLOOKUP('Données projet'!$B$9,Paramètres!$A$1:$I$89,3,0)*0.475*44/12</f>
        <v>1.170086699599638E-5</v>
      </c>
      <c r="AC72" s="22">
        <f t="shared" si="57"/>
        <v>222.83233580131602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-1.0197709343628959E-13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200.14675249215634</v>
      </c>
      <c r="AO72" s="59">
        <f t="shared" si="90"/>
        <v>200.55017434999968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108.54404722049841</v>
      </c>
      <c r="AV72" s="21">
        <f>EXP(-LN(2)/25)*AV71+(1-EXP(-LN(2)/25))/(LN(2)/25)*Calculateur!AQ72*Calculateur!AS72*VLOOKUP('Données projet'!$B$10,Paramètres!$A$1:$I$89,3,0)*0.475*44/12</f>
        <v>28.157592178016991</v>
      </c>
      <c r="AW72" s="21">
        <f>EXP(-LN(2)/2)*AW71+(1-EXP(-LN(2)/2))/(LN(2)/2)*AQ72*AT72*VLOOKUP('Données projet'!$B$10,Paramètres!$A$1:$I$89,3,0)*0.475*44/12</f>
        <v>1.4125716820813614</v>
      </c>
      <c r="AX72" s="21">
        <f t="shared" si="60"/>
        <v>138.11421108059676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6.4615384615384617</v>
      </c>
      <c r="BD72" s="12">
        <f>IF('Données projet'!$A$88&gt;35,BD71+BC72-BL71,IF(A72&lt;'Données projet'!$A$88,$BA$205^A72,IF(A72='Données projet'!$A$88,'Données projet'!$B$88,BD71+BC72-BL71)))</f>
        <v>286.83846153846139</v>
      </c>
      <c r="BE72" s="13">
        <f>BD72*VLOOKUP('Données projet'!$B$11,Paramètres!$A$1:$I$89,3,0)*VLOOKUP('Données projet'!$B$11,Paramètres!$A$1:$I$89,5,0)</f>
        <v>164.07159999999993</v>
      </c>
      <c r="BF72" s="13">
        <f t="shared" si="91"/>
        <v>41.759528728312908</v>
      </c>
      <c r="BG72" s="20">
        <f t="shared" si="61"/>
        <v>358.4892158684782</v>
      </c>
      <c r="BH72" s="59">
        <f t="shared" si="62"/>
        <v>651.82254920181151</v>
      </c>
      <c r="BI72" s="59">
        <f ca="1">AVERAGE(OFFSET($BH$3,0,0,'Données projet'!$E$11+1,1))-AVERAGE(OFFSET($H$3,0,0,'Données projet'!$E$11+1,1))</f>
        <v>182.46132340647313</v>
      </c>
      <c r="BJ72" s="59">
        <f t="shared" si="92"/>
        <v>130.51706975490481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25.35200596979487</v>
      </c>
      <c r="BQ72" s="21">
        <f>EXP(-LN(2)/25)*BQ71+(1-EXP(-LN(2)/25))/(LN(2)/25)*Calculateur!BL72*Calculateur!BN72*VLOOKUP('Données projet'!$B$11,Paramètres!$A$1:$I$89,3,0)*0.475*44/12</f>
        <v>10.22876301874394</v>
      </c>
      <c r="BR72" s="21">
        <f>EXP(-LN(2)/2)*BR71+(1-EXP(-LN(2)/2))/(LN(2)/2)*BL72*BO72*VLOOKUP('Données projet'!$B$11,Paramètres!$A$1:$I$89,3,0)*0.475*44/12</f>
        <v>0.14858078755040993</v>
      </c>
      <c r="BS72" s="22">
        <f t="shared" si="63"/>
        <v>35.729349776089215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17.2</v>
      </c>
      <c r="BY72" s="12">
        <f>IF('Données projet'!$A$114&gt;35,BY71+BX72-CG71,IF(A72&lt;'Données projet'!$A$114,$BV$205^A72,IF(A72='Données projet'!$A$114,'Données projet'!$B$114,BY71+BX72-CG71)))</f>
        <v>694.80000000000018</v>
      </c>
      <c r="BZ72" s="13">
        <f>BY72*VLOOKUP('Données projet'!$B$12,Paramètres!$A$1:$I$89,3,0)*VLOOKUP('Données projet'!$B$12,Paramètres!$A$1:$I$89,5,0)</f>
        <v>280.00440000000009</v>
      </c>
      <c r="CA72" s="13">
        <f t="shared" si="93"/>
        <v>66.967938726742631</v>
      </c>
      <c r="CB72" s="20">
        <f t="shared" si="64"/>
        <v>604.31015661574349</v>
      </c>
      <c r="CC72" s="59">
        <f t="shared" si="65"/>
        <v>897.64348994907687</v>
      </c>
      <c r="CD72" s="59">
        <f ca="1">AVERAGE(OFFSET($CC$3,0,0,'Données projet'!$E$12+1,1))-AVERAGE(OFFSET($H$3,0,0,'Données projet'!$E$12+1,1))</f>
        <v>291.0962681460345</v>
      </c>
      <c r="CE72" s="59">
        <f t="shared" si="94"/>
        <v>240.28311826371385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29.753217163499503</v>
      </c>
      <c r="CL72" s="21">
        <f>EXP(-LN(2)/25)*CL71+(1-EXP(-LN(2)/25))/(LN(2)/25)*Calculateur!CG72*Calculateur!CI72*VLOOKUP('Données projet'!$B$12,Paramètres!$A$1:$I$89,3,0)*0.475*44/12</f>
        <v>23.922023052737909</v>
      </c>
      <c r="CM72" s="21">
        <f>EXP(-LN(2)/2)*CM71+(1-EXP(-LN(2)/2))/(LN(2)/2)*CG72*CJ72*VLOOKUP('Données projet'!$B$12,Paramètres!$A$1:$I$89,3,0)*0.475*44/12</f>
        <v>0.38258526354304101</v>
      </c>
      <c r="CN72" s="22">
        <f t="shared" si="66"/>
        <v>54.057825479780455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-1.1368683772161603E-13</v>
      </c>
      <c r="CU72" s="17">
        <f>CT72*VLOOKUP('Données projet'!$B$13,Paramètres!$A$1:$I$89,3,0)*VLOOKUP('Données projet'!$B$13,Paramètres!$A$1:$I$89,5,0)</f>
        <v>-5.3205440053716299E-14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225.92546546283018</v>
      </c>
      <c r="CZ72" s="59">
        <f t="shared" si="96"/>
        <v>309.38786160614563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75.361125287047514</v>
      </c>
      <c r="DG72" s="21">
        <f>EXP(-LN(2)/25)*DG71+(1-EXP(-LN(2)/25))/(LN(2)/25)*Calculateur!DB72*Calculateur!DD72*VLOOKUP('Données projet'!$B$13,Paramètres!$A$1:$I$89,3,0)*0.475*44/12</f>
        <v>68.193872497189645</v>
      </c>
      <c r="DH72" s="21">
        <f>EXP(-LN(2)/2)*DH71+(1-EXP(-LN(2)/2))/(LN(2)/2)*DB72*DE72*VLOOKUP('Données projet'!$B$13,Paramètres!$A$1:$I$89,3,0)*0.475*44/12</f>
        <v>3.2485627893086932E-6</v>
      </c>
      <c r="DI72" s="22">
        <f t="shared" si="69"/>
        <v>143.55500103279996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</v>
      </c>
      <c r="DO72" s="12">
        <f>IF('Données projet'!$A$166&gt;35,DO71+DN72-DW71,IF(A72&lt;'Données projet'!$A$166,$DL$205^A72,IF(A72='Données projet'!$A$166,'Données projet'!$B$166,DO71+DN72-DW71)))</f>
        <v>147.99999999999991</v>
      </c>
      <c r="DP72" s="17">
        <f>DO72*VLOOKUP('Données projet'!$B$14,Paramètres!$A$1:$I$89,3,0)*VLOOKUP('Données projet'!$B$14,Paramètres!$A$1:$I$89,5,0)</f>
        <v>129.29279999999994</v>
      </c>
      <c r="DQ72" s="13">
        <f t="shared" si="97"/>
        <v>33.832894333299215</v>
      </c>
      <c r="DR72" s="20">
        <f t="shared" si="70"/>
        <v>284.11058429716269</v>
      </c>
      <c r="DS72" s="59">
        <f t="shared" si="71"/>
        <v>577.443917630496</v>
      </c>
      <c r="DT72" s="59">
        <f ca="1">AVERAGE(OFFSET($DS$3,0,0,'Données projet'!$E$14+1,1))-AVERAGE(OFFSET($H$3,0,0,'Données projet'!$E$14+1,1))</f>
        <v>150.06600397498823</v>
      </c>
      <c r="DU72" s="59">
        <f t="shared" si="98"/>
        <v>170.53034305929714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3.2773918699700806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3.2773918699700806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-5.3205440053716299E-14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294.94285920643927</v>
      </c>
      <c r="T73" s="59">
        <f t="shared" si="88"/>
        <v>399.89535338426606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113.16050941148315</v>
      </c>
      <c r="AA73" s="21">
        <f>EXP(-LN(2)/25)*AA72+(1-EXP(-LN(2)/25))/(LN(2)/25)*Calculateur!V73*Calculateur!X73*VLOOKUP('Données projet'!$B$9,Paramètres!$A$1:$I$89,3,0)*0.475*44/12</f>
        <v>104.4713334195287</v>
      </c>
      <c r="AB73" s="21">
        <f>EXP(-LN(2)/2)*AB72+(1-EXP(-LN(2)/2))/(LN(2)/2)*V73*Y73*VLOOKUP('Données projet'!$B$9,Paramètres!$A$1:$I$89,3,0)*0.475*44/12</f>
        <v>8.2737623986309079E-6</v>
      </c>
      <c r="AC73" s="22">
        <f t="shared" si="57"/>
        <v>217.63185110477426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-1.0197709343628959E-13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200.14675249215634</v>
      </c>
      <c r="AO73" s="59">
        <f t="shared" si="90"/>
        <v>200.55017434999968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106.41556465983601</v>
      </c>
      <c r="AV73" s="21">
        <f>EXP(-LN(2)/25)*AV72+(1-EXP(-LN(2)/25))/(LN(2)/25)*Calculateur!AQ73*Calculateur!AS73*VLOOKUP('Données projet'!$B$10,Paramètres!$A$1:$I$89,3,0)*0.475*44/12</f>
        <v>27.387621339165698</v>
      </c>
      <c r="AW73" s="21">
        <f>EXP(-LN(2)/2)*AW72+(1-EXP(-LN(2)/2))/(LN(2)/2)*AQ73*AT73*VLOOKUP('Données projet'!$B$10,Paramètres!$A$1:$I$89,3,0)*0.475*44/12</f>
        <v>0.99883901531181862</v>
      </c>
      <c r="AX73" s="21">
        <f t="shared" si="60"/>
        <v>134.80202501431353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293.3</v>
      </c>
      <c r="BB73" s="12">
        <f>VLOOKUP(A73,'Données projet'!$A$87:$I$107,9,0)</f>
        <v>6.4615384615384617</v>
      </c>
      <c r="BC73" s="12">
        <f t="array" ref="BC73">INDEX(BB:BB,MIN(IF(ISNUMBER(BB73:BB269),ROW(BB73:BB269),"")))</f>
        <v>6.4615384615384617</v>
      </c>
      <c r="BD73" s="12">
        <f>IF('Données projet'!$A$88&gt;35,BD72+BC73-BL72,IF(A73&lt;'Données projet'!$A$88,$BA$205^A73,IF(A73='Données projet'!$A$88,'Données projet'!$B$88,BD72+BC73-BL72)))</f>
        <v>293.29999999999984</v>
      </c>
      <c r="BE73" s="13">
        <f>BD73*VLOOKUP('Données projet'!$B$11,Paramètres!$A$1:$I$89,3,0)*VLOOKUP('Données projet'!$B$11,Paramètres!$A$1:$I$89,5,0)</f>
        <v>167.76759999999993</v>
      </c>
      <c r="BF73" s="13">
        <f t="shared" si="91"/>
        <v>42.589656245503413</v>
      </c>
      <c r="BG73" s="20">
        <f t="shared" si="61"/>
        <v>366.37222129425163</v>
      </c>
      <c r="BH73" s="59">
        <f t="shared" si="62"/>
        <v>659.70555462758489</v>
      </c>
      <c r="BI73" s="59">
        <f ca="1">AVERAGE(OFFSET($BH$3,0,0,'Données projet'!$E$11+1,1))-AVERAGE(OFFSET($H$3,0,0,'Données projet'!$E$11+1,1))</f>
        <v>182.46132340647313</v>
      </c>
      <c r="BJ73" s="59">
        <f t="shared" si="92"/>
        <v>130.51706975490481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44.123076923076923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7.6500000000000012E-2</v>
      </c>
      <c r="BO73" s="16">
        <f>IF(ISNA(VLOOKUP(A73,'Données projet'!$A$87:$I$107,7,0)),0%,VLOOKUP(A73,'Données projet'!$A$87:$I$107,7,0))</f>
        <v>0.13</v>
      </c>
      <c r="BP73" s="21">
        <f>EXP(-LN(2)/35)*BP72+(1-EXP(-LN(2)/35))/(LN(2)/35)*BL73*BM73*VLOOKUP('Données projet'!$B$11,Paramètres!$A$1:$I$89,3,0)*0.475*44/12</f>
        <v>35.401183366856039</v>
      </c>
      <c r="BQ73" s="21">
        <f>EXP(-LN(2)/25)*BQ72+(1-EXP(-LN(2)/25))/(LN(2)/25)*Calculateur!BL73*Calculateur!BN73*VLOOKUP('Données projet'!$B$11,Paramètres!$A$1:$I$89,3,0)*0.475*44/12</f>
        <v>12.500220220242046</v>
      </c>
      <c r="BR73" s="21">
        <f>EXP(-LN(2)/2)*BR72+(1-EXP(-LN(2)/2))/(LN(2)/2)*BL73*BO73*VLOOKUP('Données projet'!$B$11,Paramètres!$A$1:$I$89,3,0)*0.475*44/12</f>
        <v>3.8199075927568873</v>
      </c>
      <c r="BS73" s="22">
        <f t="shared" si="63"/>
        <v>51.721311179854972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712</v>
      </c>
      <c r="BW73" s="12">
        <f>VLOOKUP(A73,'Données projet'!$A$113:$I$133,9,0)</f>
        <v>17.2</v>
      </c>
      <c r="BX73" s="12">
        <f t="array" ref="BX73">INDEX(BW:BW,MIN(IF(ISNUMBER(BW73:BW269),ROW(BW73:BW269),"")))</f>
        <v>17.2</v>
      </c>
      <c r="BY73" s="12">
        <f>IF('Données projet'!$A$114&gt;35,BY72+BX73-CG72,IF(A73&lt;'Données projet'!$A$114,$BV$205^A73,IF(A73='Données projet'!$A$114,'Données projet'!$B$114,BY72+BX73-CG72)))</f>
        <v>712.00000000000023</v>
      </c>
      <c r="BZ73" s="13">
        <f>BY73*VLOOKUP('Données projet'!$B$12,Paramètres!$A$1:$I$89,3,0)*VLOOKUP('Données projet'!$B$12,Paramètres!$A$1:$I$89,5,0)</f>
        <v>286.93600000000009</v>
      </c>
      <c r="CA73" s="13">
        <f t="shared" si="93"/>
        <v>68.430691090834799</v>
      </c>
      <c r="CB73" s="20">
        <f t="shared" si="64"/>
        <v>618.9303203165374</v>
      </c>
      <c r="CC73" s="59">
        <f t="shared" si="65"/>
        <v>912.26365364987078</v>
      </c>
      <c r="CD73" s="59">
        <f ca="1">AVERAGE(OFFSET($CC$3,0,0,'Données projet'!$E$12+1,1))-AVERAGE(OFFSET($H$3,0,0,'Données projet'!$E$12+1,1))</f>
        <v>291.0962681460345</v>
      </c>
      <c r="CE73" s="59">
        <f t="shared" si="94"/>
        <v>240.28311826371385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45</v>
      </c>
      <c r="CH73" s="16">
        <f>IF(ISNA(VLOOKUP(A73,'Données projet'!$A$113:$I$133,5,0)),0%,VLOOKUP(A73,'Données projet'!$A$113:$I$133,5,0)*VLOOKUP('Données projet'!$B$12,Paramètres!$A$1:$I$89,7,0))</f>
        <v>0.41555555555555557</v>
      </c>
      <c r="CI73" s="16">
        <f>IF(ISNA(VLOOKUP(A73,'Données projet'!$A$113:$I$133,6,0)),0%,VLOOKUP(A73,'Données projet'!$A$113:$I$133,6,0)*VLOOKUP('Données projet'!$B$12,Paramètres!$A$1:$I$89,7,0))</f>
        <v>9.7777777777777783E-2</v>
      </c>
      <c r="CJ73" s="16">
        <f>IF(ISNA(VLOOKUP(A73,'Données projet'!$A$113:$I$133,7,0)),0%,VLOOKUP(A73,'Données projet'!$A$113:$I$133,7,0))</f>
        <v>3.3333333333333333E-2</v>
      </c>
      <c r="CK73" s="21">
        <f>EXP(-LN(2)/35)*CK72+(1-EXP(-LN(2)/35))/(LN(2)/35)*CG73*CH73*VLOOKUP('Données projet'!$B$12,Paramètres!$A$1:$I$89,3,0)*0.475*44/12</f>
        <v>39.166897115231734</v>
      </c>
      <c r="CL73" s="21">
        <f>EXP(-LN(2)/25)*CL72+(1-EXP(-LN(2)/25))/(LN(2)/25)*Calculateur!CG73*Calculateur!CI73*VLOOKUP('Données projet'!$B$12,Paramètres!$A$1:$I$89,3,0)*0.475*44/12</f>
        <v>25.610876406727058</v>
      </c>
      <c r="CM73" s="21">
        <f>EXP(-LN(2)/2)*CM72+(1-EXP(-LN(2)/2))/(LN(2)/2)*CG73*CJ73*VLOOKUP('Données projet'!$B$12,Paramètres!$A$1:$I$89,3,0)*0.475*44/12</f>
        <v>0.95496305808807536</v>
      </c>
      <c r="CN73" s="22">
        <f t="shared" si="66"/>
        <v>65.732736580046861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-1.1368683772161603E-13</v>
      </c>
      <c r="CU73" s="17">
        <f>CT73*VLOOKUP('Données projet'!$B$13,Paramètres!$A$1:$I$89,3,0)*VLOOKUP('Données projet'!$B$13,Paramètres!$A$1:$I$89,5,0)</f>
        <v>-5.3205440053716299E-14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225.92546546283018</v>
      </c>
      <c r="CZ73" s="59">
        <f t="shared" si="96"/>
        <v>309.38786160614563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73.883339585916204</v>
      </c>
      <c r="DG73" s="21">
        <f>EXP(-LN(2)/25)*DG72+(1-EXP(-LN(2)/25))/(LN(2)/25)*Calculateur!DB73*Calculateur!DD73*VLOOKUP('Données projet'!$B$13,Paramètres!$A$1:$I$89,3,0)*0.475*44/12</f>
        <v>66.329107467594099</v>
      </c>
      <c r="DH73" s="21">
        <f>EXP(-LN(2)/2)*DH72+(1-EXP(-LN(2)/2))/(LN(2)/2)*DB73*DE73*VLOOKUP('Données projet'!$B$13,Paramètres!$A$1:$I$89,3,0)*0.475*44/12</f>
        <v>2.2970807774304626E-6</v>
      </c>
      <c r="DI73" s="22">
        <f t="shared" si="69"/>
        <v>140.21244935059107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151</v>
      </c>
      <c r="DM73" s="12">
        <f>VLOOKUP(A73,'Données projet'!$A$165:$I$185,9,0)</f>
        <v>3</v>
      </c>
      <c r="DN73" s="12">
        <f t="array" ref="DN73">INDEX(DM:DM,MIN(IF(ISNUMBER(DM73:DM269),ROW(DM73:DM269),"")))</f>
        <v>3</v>
      </c>
      <c r="DO73" s="12">
        <f>IF('Données projet'!$A$166&gt;35,DO72+DN73-DW72,IF(A73&lt;'Données projet'!$A$166,$DL$205^A73,IF(A73='Données projet'!$A$166,'Données projet'!$B$166,DO72+DN73-DW72)))</f>
        <v>150.99999999999991</v>
      </c>
      <c r="DP73" s="17">
        <f>DO73*VLOOKUP('Données projet'!$B$14,Paramètres!$A$1:$I$89,3,0)*VLOOKUP('Données projet'!$B$14,Paramètres!$A$1:$I$89,5,0)</f>
        <v>131.91359999999995</v>
      </c>
      <c r="DQ73" s="13">
        <f t="shared" si="97"/>
        <v>34.438159352115974</v>
      </c>
      <c r="DR73" s="20">
        <f t="shared" si="70"/>
        <v>289.72931420493518</v>
      </c>
      <c r="DS73" s="59">
        <f t="shared" si="71"/>
        <v>583.06264753826849</v>
      </c>
      <c r="DT73" s="59">
        <f ca="1">AVERAGE(OFFSET($DS$3,0,0,'Données projet'!$E$14+1,1))-AVERAGE(OFFSET($H$3,0,0,'Données projet'!$E$14+1,1))</f>
        <v>150.06600397498823</v>
      </c>
      <c r="DU73" s="59">
        <f t="shared" si="98"/>
        <v>170.53034305929714</v>
      </c>
      <c r="DV73" s="15">
        <f>IF(ISNA(VLOOKUP(A73,'Données projet'!$A$165:$I$185,3,0)),0,VLOOKUP(A73,'Données projet'!$A$165:$I$185,3,0))</f>
        <v>9</v>
      </c>
      <c r="DW73" s="15">
        <f>IF(ISNA(VLOOKUP(A73,'Données projet'!$A$165:$I$185,4,0)),0,VLOOKUP(A73,'Données projet'!$A$165:$I$185,4,0))</f>
        <v>9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0.215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5.0491184311265371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5.0491184311265371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-5.3205440053716299E-14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294.94285920643927</v>
      </c>
      <c r="T74" s="59">
        <f t="shared" si="88"/>
        <v>399.89535338426606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110.94150084301944</v>
      </c>
      <c r="AA74" s="21">
        <f>EXP(-LN(2)/25)*AA73+(1-EXP(-LN(2)/25))/(LN(2)/25)*Calculateur!V74*Calculateur!X74*VLOOKUP('Données projet'!$B$9,Paramètres!$A$1:$I$89,3,0)*0.475*44/12</f>
        <v>101.61455931326304</v>
      </c>
      <c r="AB74" s="21">
        <f>EXP(-LN(2)/2)*AB73+(1-EXP(-LN(2)/2))/(LN(2)/2)*V74*Y74*VLOOKUP('Données projet'!$B$9,Paramètres!$A$1:$I$89,3,0)*0.475*44/12</f>
        <v>5.85043349799819E-6</v>
      </c>
      <c r="AC74" s="22">
        <f t="shared" si="57"/>
        <v>212.55606600671598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-1.0197709343628959E-13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200.14675249215634</v>
      </c>
      <c r="AO74" s="59">
        <f t="shared" si="90"/>
        <v>200.55017434999968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104.32882034394203</v>
      </c>
      <c r="AV74" s="21">
        <f>EXP(-LN(2)/25)*AV73+(1-EXP(-LN(2)/25))/(LN(2)/25)*Calculateur!AQ74*Calculateur!AS74*VLOOKUP('Données projet'!$B$10,Paramètres!$A$1:$I$89,3,0)*0.475*44/12</f>
        <v>26.638705393393799</v>
      </c>
      <c r="AW74" s="21">
        <f>EXP(-LN(2)/2)*AW73+(1-EXP(-LN(2)/2))/(LN(2)/2)*AQ74*AT74*VLOOKUP('Données projet'!$B$10,Paramètres!$A$1:$I$89,3,0)*0.475*44/12</f>
        <v>0.70628584104068082</v>
      </c>
      <c r="AX74" s="21">
        <f t="shared" si="60"/>
        <v>131.6738115783765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5.5269230769230742</v>
      </c>
      <c r="BD74" s="12">
        <f>IF('Données projet'!$A$88&gt;35,BD73+BC74-BL73,IF(A74&lt;'Données projet'!$A$88,$BA$205^A74,IF(A74='Données projet'!$A$88,'Données projet'!$B$88,BD73+BC74-BL73)))</f>
        <v>254.703846153846</v>
      </c>
      <c r="BE74" s="13">
        <f>BD74*VLOOKUP('Données projet'!$B$11,Paramètres!$A$1:$I$89,3,0)*VLOOKUP('Données projet'!$B$11,Paramètres!$A$1:$I$89,5,0)</f>
        <v>145.6905999999999</v>
      </c>
      <c r="BF74" s="13">
        <f t="shared" si="91"/>
        <v>37.597603749327881</v>
      </c>
      <c r="BG74" s="20">
        <f t="shared" si="61"/>
        <v>319.22695486341257</v>
      </c>
      <c r="BH74" s="59">
        <f t="shared" si="62"/>
        <v>612.56028819674589</v>
      </c>
      <c r="BI74" s="59">
        <f ca="1">AVERAGE(OFFSET($BH$3,0,0,'Données projet'!$E$11+1,1))-AVERAGE(OFFSET($H$3,0,0,'Données projet'!$E$11+1,1))</f>
        <v>182.46132340647313</v>
      </c>
      <c r="BJ74" s="59">
        <f t="shared" si="92"/>
        <v>130.51706975490481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34.706987753621753</v>
      </c>
      <c r="BQ74" s="21">
        <f>EXP(-LN(2)/25)*BQ73+(1-EXP(-LN(2)/25))/(LN(2)/25)*Calculateur!BL74*Calculateur!BN74*VLOOKUP('Données projet'!$B$11,Paramètres!$A$1:$I$89,3,0)*0.475*44/12</f>
        <v>12.158401040961515</v>
      </c>
      <c r="BR74" s="21">
        <f>EXP(-LN(2)/2)*BR73+(1-EXP(-LN(2)/2))/(LN(2)/2)*BL74*BO74*VLOOKUP('Données projet'!$B$11,Paramètres!$A$1:$I$89,3,0)*0.475*44/12</f>
        <v>2.7010825623443759</v>
      </c>
      <c r="BS74" s="22">
        <f t="shared" si="63"/>
        <v>49.566471356927643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15.8</v>
      </c>
      <c r="BY74" s="12">
        <f>IF('Données projet'!$A$114&gt;35,BY73+BX74-CG73,IF(A74&lt;'Données projet'!$A$114,$BV$205^A74,IF(A74='Données projet'!$A$114,'Données projet'!$B$114,BY73+BX74-CG73)))</f>
        <v>682.80000000000018</v>
      </c>
      <c r="BZ74" s="13">
        <f>BY74*VLOOKUP('Données projet'!$B$12,Paramètres!$A$1:$I$89,3,0)*VLOOKUP('Données projet'!$B$12,Paramètres!$A$1:$I$89,5,0)</f>
        <v>275.16840000000008</v>
      </c>
      <c r="CA74" s="13">
        <f t="shared" si="93"/>
        <v>65.944920834841611</v>
      </c>
      <c r="CB74" s="20">
        <f t="shared" si="64"/>
        <v>594.10570045401596</v>
      </c>
      <c r="CC74" s="59">
        <f t="shared" si="65"/>
        <v>887.43903378734922</v>
      </c>
      <c r="CD74" s="59">
        <f ca="1">AVERAGE(OFFSET($CC$3,0,0,'Données projet'!$E$12+1,1))-AVERAGE(OFFSET($H$3,0,0,'Données projet'!$E$12+1,1))</f>
        <v>291.0962681460345</v>
      </c>
      <c r="CE74" s="59">
        <f t="shared" si="94"/>
        <v>240.28311826371385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38.398858152250391</v>
      </c>
      <c r="CL74" s="21">
        <f>EXP(-LN(2)/25)*CL73+(1-EXP(-LN(2)/25))/(LN(2)/25)*Calculateur!CG74*Calculateur!CI74*VLOOKUP('Données projet'!$B$12,Paramètres!$A$1:$I$89,3,0)*0.475*44/12</f>
        <v>24.910545644567652</v>
      </c>
      <c r="CM74" s="21">
        <f>EXP(-LN(2)/2)*CM73+(1-EXP(-LN(2)/2))/(LN(2)/2)*CG74*CJ74*VLOOKUP('Données projet'!$B$12,Paramètres!$A$1:$I$89,3,0)*0.475*44/12</f>
        <v>0.67526085415672099</v>
      </c>
      <c r="CN74" s="22">
        <f t="shared" si="66"/>
        <v>63.984664650974764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-1.1368683772161603E-13</v>
      </c>
      <c r="CU74" s="17">
        <f>CT74*VLOOKUP('Données projet'!$B$13,Paramètres!$A$1:$I$89,3,0)*VLOOKUP('Données projet'!$B$13,Paramètres!$A$1:$I$89,5,0)</f>
        <v>-5.3205440053716299E-14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225.92546546283018</v>
      </c>
      <c r="CZ74" s="59">
        <f t="shared" si="96"/>
        <v>309.38786160614563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72.434532361023798</v>
      </c>
      <c r="DG74" s="21">
        <f>EXP(-LN(2)/25)*DG73+(1-EXP(-LN(2)/25))/(LN(2)/25)*Calculateur!DB74*Calculateur!DD74*VLOOKUP('Données projet'!$B$13,Paramètres!$A$1:$I$89,3,0)*0.475*44/12</f>
        <v>64.515334535796569</v>
      </c>
      <c r="DH74" s="21">
        <f>EXP(-LN(2)/2)*DH73+(1-EXP(-LN(2)/2))/(LN(2)/2)*DB74*DE74*VLOOKUP('Données projet'!$B$13,Paramètres!$A$1:$I$89,3,0)*0.475*44/12</f>
        <v>1.6242813946543466E-6</v>
      </c>
      <c r="DI74" s="22">
        <f t="shared" si="69"/>
        <v>136.94986852110176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2.8</v>
      </c>
      <c r="DO74" s="12">
        <f>IF('Données projet'!$A$166&gt;35,DO73+DN74-DW73,IF(A74&lt;'Données projet'!$A$166,$DL$205^A74,IF(A74='Données projet'!$A$166,'Données projet'!$B$166,DO73+DN74-DW73)))</f>
        <v>144.79999999999993</v>
      </c>
      <c r="DP74" s="17">
        <f>DO74*VLOOKUP('Données projet'!$B$14,Paramètres!$A$1:$I$89,3,0)*VLOOKUP('Données projet'!$B$14,Paramètres!$A$1:$I$89,5,0)</f>
        <v>126.49727999999995</v>
      </c>
      <c r="DQ74" s="13">
        <f t="shared" si="97"/>
        <v>33.185701456959592</v>
      </c>
      <c r="DR74" s="20">
        <f t="shared" si="70"/>
        <v>278.11452603753787</v>
      </c>
      <c r="DS74" s="59">
        <f t="shared" si="71"/>
        <v>571.44785937087113</v>
      </c>
      <c r="DT74" s="59">
        <f ca="1">AVERAGE(OFFSET($DS$3,0,0,'Données projet'!$E$14+1,1))-AVERAGE(OFFSET($H$3,0,0,'Données projet'!$E$14+1,1))</f>
        <v>150.06600397498823</v>
      </c>
      <c r="DU74" s="59">
        <f t="shared" si="98"/>
        <v>170.53034305929714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4.9110500221057833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4.9110500221057833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-5.3205440053716299E-14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294.94285920643927</v>
      </c>
      <c r="T75" s="59">
        <f t="shared" si="88"/>
        <v>399.89535338426606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108.76600567912172</v>
      </c>
      <c r="AA75" s="21">
        <f>EXP(-LN(2)/25)*AA74+(1-EXP(-LN(2)/25))/(LN(2)/25)*Calculateur!V75*Calculateur!X75*VLOOKUP('Données projet'!$B$9,Paramètres!$A$1:$I$89,3,0)*0.475*44/12</f>
        <v>98.835903845164438</v>
      </c>
      <c r="AB75" s="21">
        <f>EXP(-LN(2)/2)*AB74+(1-EXP(-LN(2)/2))/(LN(2)/2)*V75*Y75*VLOOKUP('Données projet'!$B$9,Paramètres!$A$1:$I$89,3,0)*0.475*44/12</f>
        <v>4.1368811993154539E-6</v>
      </c>
      <c r="AC75" s="22">
        <f t="shared" si="57"/>
        <v>207.60191366116734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-1.0197709343628959E-13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200.14675249215634</v>
      </c>
      <c r="AO75" s="59">
        <f t="shared" si="90"/>
        <v>200.55017434999968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102.28299581129437</v>
      </c>
      <c r="AV75" s="21">
        <f>EXP(-LN(2)/25)*AV74+(1-EXP(-LN(2)/25))/(LN(2)/25)*Calculateur!AQ75*Calculateur!AS75*VLOOKUP('Données projet'!$B$10,Paramètres!$A$1:$I$89,3,0)*0.475*44/12</f>
        <v>25.910268593542813</v>
      </c>
      <c r="AW75" s="21">
        <f>EXP(-LN(2)/2)*AW74+(1-EXP(-LN(2)/2))/(LN(2)/2)*AQ75*AT75*VLOOKUP('Données projet'!$B$10,Paramètres!$A$1:$I$89,3,0)*0.475*44/12</f>
        <v>0.49941950765590942</v>
      </c>
      <c r="AX75" s="21">
        <f t="shared" si="60"/>
        <v>128.6926839124931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5.5269230769230742</v>
      </c>
      <c r="BD75" s="12">
        <f>IF('Données projet'!$A$88&gt;35,BD74+BC75-BL74,IF(A75&lt;'Données projet'!$A$88,$BA$205^A75,IF(A75='Données projet'!$A$88,'Données projet'!$B$88,BD74+BC75-BL74)))</f>
        <v>260.23076923076906</v>
      </c>
      <c r="BE75" s="13">
        <f>BD75*VLOOKUP('Données projet'!$B$11,Paramètres!$A$1:$I$89,3,0)*VLOOKUP('Données projet'!$B$11,Paramètres!$A$1:$I$89,5,0)</f>
        <v>148.85199999999992</v>
      </c>
      <c r="BF75" s="13">
        <f t="shared" si="91"/>
        <v>38.31758196372104</v>
      </c>
      <c r="BG75" s="20">
        <f t="shared" si="61"/>
        <v>325.98702192014736</v>
      </c>
      <c r="BH75" s="59">
        <f t="shared" si="62"/>
        <v>619.32035525348067</v>
      </c>
      <c r="BI75" s="59">
        <f ca="1">AVERAGE(OFFSET($BH$3,0,0,'Données projet'!$E$11+1,1))-AVERAGE(OFFSET($H$3,0,0,'Données projet'!$E$11+1,1))</f>
        <v>182.46132340647313</v>
      </c>
      <c r="BJ75" s="59">
        <f t="shared" si="92"/>
        <v>130.51706975490481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34.026404892945479</v>
      </c>
      <c r="BQ75" s="21">
        <f>EXP(-LN(2)/25)*BQ74+(1-EXP(-LN(2)/25))/(LN(2)/25)*Calculateur!BL75*Calculateur!BN75*VLOOKUP('Données projet'!$B$11,Paramètres!$A$1:$I$89,3,0)*0.475*44/12</f>
        <v>11.825928925113899</v>
      </c>
      <c r="BR75" s="21">
        <f>EXP(-LN(2)/2)*BR74+(1-EXP(-LN(2)/2))/(LN(2)/2)*BL75*BO75*VLOOKUP('Données projet'!$B$11,Paramètres!$A$1:$I$89,3,0)*0.475*44/12</f>
        <v>1.9099537963784439</v>
      </c>
      <c r="BS75" s="22">
        <f t="shared" si="63"/>
        <v>47.762287614437824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15.8</v>
      </c>
      <c r="BY75" s="12">
        <f>IF('Données projet'!$A$114&gt;35,BY74+BX75-CG74,IF(A75&lt;'Données projet'!$A$114,$BV$205^A75,IF(A75='Données projet'!$A$114,'Données projet'!$B$114,BY74+BX75-CG74)))</f>
        <v>698.60000000000014</v>
      </c>
      <c r="BZ75" s="13">
        <f>BY75*VLOOKUP('Données projet'!$B$12,Paramètres!$A$1:$I$89,3,0)*VLOOKUP('Données projet'!$B$12,Paramètres!$A$1:$I$89,5,0)</f>
        <v>281.53580000000005</v>
      </c>
      <c r="CA75" s="13">
        <f t="shared" si="93"/>
        <v>67.291464173103833</v>
      </c>
      <c r="CB75" s="20">
        <f t="shared" si="64"/>
        <v>607.54081843482265</v>
      </c>
      <c r="CC75" s="59">
        <f t="shared" si="65"/>
        <v>900.87415176815603</v>
      </c>
      <c r="CD75" s="59">
        <f ca="1">AVERAGE(OFFSET($CC$3,0,0,'Données projet'!$E$12+1,1))-AVERAGE(OFFSET($H$3,0,0,'Données projet'!$E$12+1,1))</f>
        <v>291.0962681460345</v>
      </c>
      <c r="CE75" s="59">
        <f t="shared" si="94"/>
        <v>240.28311826371385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37.645879964875604</v>
      </c>
      <c r="CL75" s="21">
        <f>EXP(-LN(2)/25)*CL74+(1-EXP(-LN(2)/25))/(LN(2)/25)*Calculateur!CG75*Calculateur!CI75*VLOOKUP('Données projet'!$B$12,Paramètres!$A$1:$I$89,3,0)*0.475*44/12</f>
        <v>24.229365463928289</v>
      </c>
      <c r="CM75" s="21">
        <f>EXP(-LN(2)/2)*CM74+(1-EXP(-LN(2)/2))/(LN(2)/2)*CG75*CJ75*VLOOKUP('Données projet'!$B$12,Paramètres!$A$1:$I$89,3,0)*0.475*44/12</f>
        <v>0.47748152904403773</v>
      </c>
      <c r="CN75" s="22">
        <f t="shared" si="66"/>
        <v>62.352726957847928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-1.1368683772161603E-13</v>
      </c>
      <c r="CU75" s="17">
        <f>CT75*VLOOKUP('Données projet'!$B$13,Paramètres!$A$1:$I$89,3,0)*VLOOKUP('Données projet'!$B$13,Paramètres!$A$1:$I$89,5,0)</f>
        <v>-5.3205440053716299E-14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225.92546546283018</v>
      </c>
      <c r="CZ75" s="59">
        <f t="shared" si="96"/>
        <v>309.38786160614563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71.014135362126382</v>
      </c>
      <c r="DG75" s="21">
        <f>EXP(-LN(2)/25)*DG74+(1-EXP(-LN(2)/25))/(LN(2)/25)*Calculateur!DB75*Calculateur!DD75*VLOOKUP('Données projet'!$B$13,Paramètres!$A$1:$I$89,3,0)*0.475*44/12</f>
        <v>62.751159320201218</v>
      </c>
      <c r="DH75" s="21">
        <f>EXP(-LN(2)/2)*DH74+(1-EXP(-LN(2)/2))/(LN(2)/2)*DB75*DE75*VLOOKUP('Données projet'!$B$13,Paramètres!$A$1:$I$89,3,0)*0.475*44/12</f>
        <v>1.1485403887152313E-6</v>
      </c>
      <c r="DI75" s="22">
        <f t="shared" si="69"/>
        <v>133.76529583086798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2.8</v>
      </c>
      <c r="DO75" s="12">
        <f>IF('Données projet'!$A$166&gt;35,DO74+DN75-DW74,IF(A75&lt;'Données projet'!$A$166,$DL$205^A75,IF(A75='Données projet'!$A$166,'Données projet'!$B$166,DO74+DN75-DW74)))</f>
        <v>147.59999999999994</v>
      </c>
      <c r="DP75" s="17">
        <f>DO75*VLOOKUP('Données projet'!$B$14,Paramètres!$A$1:$I$89,3,0)*VLOOKUP('Données projet'!$B$14,Paramètres!$A$1:$I$89,5,0)</f>
        <v>128.94335999999996</v>
      </c>
      <c r="DQ75" s="13">
        <f t="shared" si="97"/>
        <v>33.752085002132162</v>
      </c>
      <c r="DR75" s="20">
        <f t="shared" si="70"/>
        <v>283.36123337871345</v>
      </c>
      <c r="DS75" s="59">
        <f t="shared" si="71"/>
        <v>576.69456671204671</v>
      </c>
      <c r="DT75" s="59">
        <f ca="1">AVERAGE(OFFSET($DS$3,0,0,'Données projet'!$E$14+1,1))-AVERAGE(OFFSET($H$3,0,0,'Données projet'!$E$14+1,1))</f>
        <v>150.06600397498823</v>
      </c>
      <c r="DU75" s="59">
        <f t="shared" si="98"/>
        <v>170.53034305929714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4.7767571009904044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4.7767571009904044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-5.3205440053716299E-14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294.94285920643927</v>
      </c>
      <c r="T76" s="59">
        <f t="shared" si="88"/>
        <v>399.89535338426606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106.633170648467</v>
      </c>
      <c r="AA76" s="21">
        <f>EXP(-LN(2)/25)*AA75+(1-EXP(-LN(2)/25))/(LN(2)/25)*Calculateur!V76*Calculateur!X76*VLOOKUP('Données projet'!$B$9,Paramètres!$A$1:$I$89,3,0)*0.475*44/12</f>
        <v>96.133230856964133</v>
      </c>
      <c r="AB76" s="21">
        <f>EXP(-LN(2)/2)*AB75+(1-EXP(-LN(2)/2))/(LN(2)/2)*V76*Y76*VLOOKUP('Données projet'!$B$9,Paramètres!$A$1:$I$89,3,0)*0.475*44/12</f>
        <v>2.925216748999095E-6</v>
      </c>
      <c r="AC76" s="22">
        <f t="shared" si="57"/>
        <v>202.7664044306479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-1.0197709343628959E-13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200.14675249215634</v>
      </c>
      <c r="AO76" s="59">
        <f t="shared" si="90"/>
        <v>200.55017434999968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100.27728864990218</v>
      </c>
      <c r="AV76" s="21">
        <f>EXP(-LN(2)/25)*AV75+(1-EXP(-LN(2)/25))/(LN(2)/25)*Calculateur!AQ76*Calculateur!AS76*VLOOKUP('Données projet'!$B$10,Paramètres!$A$1:$I$89,3,0)*0.475*44/12</f>
        <v>25.20175093629058</v>
      </c>
      <c r="AW76" s="21">
        <f>EXP(-LN(2)/2)*AW75+(1-EXP(-LN(2)/2))/(LN(2)/2)*AQ76*AT76*VLOOKUP('Données projet'!$B$10,Paramètres!$A$1:$I$89,3,0)*0.475*44/12</f>
        <v>0.35314292052034046</v>
      </c>
      <c r="AX76" s="21">
        <f t="shared" si="60"/>
        <v>125.8321825067131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5.5269230769230742</v>
      </c>
      <c r="BD76" s="12">
        <f>IF('Données projet'!$A$88&gt;35,BD75+BC76-BL75,IF(A76&lt;'Données projet'!$A$88,$BA$205^A76,IF(A76='Données projet'!$A$88,'Données projet'!$B$88,BD75+BC76-BL75)))</f>
        <v>265.75769230769214</v>
      </c>
      <c r="BE76" s="13">
        <f>BD76*VLOOKUP('Données projet'!$B$11,Paramètres!$A$1:$I$89,3,0)*VLOOKUP('Données projet'!$B$11,Paramètres!$A$1:$I$89,5,0)</f>
        <v>152.0133999999999</v>
      </c>
      <c r="BF76" s="13">
        <f t="shared" si="91"/>
        <v>39.035782328959868</v>
      </c>
      <c r="BG76" s="20">
        <f t="shared" si="61"/>
        <v>332.74399255627156</v>
      </c>
      <c r="BH76" s="59">
        <f t="shared" si="62"/>
        <v>626.07732588960494</v>
      </c>
      <c r="BI76" s="59">
        <f ca="1">AVERAGE(OFFSET($BH$3,0,0,'Données projet'!$E$11+1,1))-AVERAGE(OFFSET($H$3,0,0,'Données projet'!$E$11+1,1))</f>
        <v>182.46132340647313</v>
      </c>
      <c r="BJ76" s="59">
        <f t="shared" si="92"/>
        <v>130.51706975490481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33.359167847052511</v>
      </c>
      <c r="BQ76" s="21">
        <f>EXP(-LN(2)/25)*BQ75+(1-EXP(-LN(2)/25))/(LN(2)/25)*Calculateur!BL76*Calculateur!BN76*VLOOKUP('Données projet'!$B$11,Paramètres!$A$1:$I$89,3,0)*0.475*44/12</f>
        <v>11.502548276758086</v>
      </c>
      <c r="BR76" s="21">
        <f>EXP(-LN(2)/2)*BR75+(1-EXP(-LN(2)/2))/(LN(2)/2)*BL76*BO76*VLOOKUP('Données projet'!$B$11,Paramètres!$A$1:$I$89,3,0)*0.475*44/12</f>
        <v>1.3505412811721882</v>
      </c>
      <c r="BS76" s="22">
        <f t="shared" si="63"/>
        <v>46.212257404982786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15.8</v>
      </c>
      <c r="BY76" s="12">
        <f>IF('Données projet'!$A$114&gt;35,BY75+BX76-CG75,IF(A76&lt;'Données projet'!$A$114,$BV$205^A76,IF(A76='Données projet'!$A$114,'Données projet'!$B$114,BY75+BX76-CG75)))</f>
        <v>714.40000000000009</v>
      </c>
      <c r="BZ76" s="13">
        <f>BY76*VLOOKUP('Données projet'!$B$12,Paramètres!$A$1:$I$89,3,0)*VLOOKUP('Données projet'!$B$12,Paramètres!$A$1:$I$89,5,0)</f>
        <v>287.90320000000003</v>
      </c>
      <c r="CA76" s="13">
        <f t="shared" si="93"/>
        <v>68.634466972027496</v>
      </c>
      <c r="CB76" s="20">
        <f t="shared" si="64"/>
        <v>620.96976997628133</v>
      </c>
      <c r="CC76" s="59">
        <f t="shared" si="65"/>
        <v>914.3031033096147</v>
      </c>
      <c r="CD76" s="59">
        <f ca="1">AVERAGE(OFFSET($CC$3,0,0,'Données projet'!$E$12+1,1))-AVERAGE(OFFSET($H$3,0,0,'Données projet'!$E$12+1,1))</f>
        <v>291.0962681460345</v>
      </c>
      <c r="CE76" s="59">
        <f t="shared" si="94"/>
        <v>240.28311826371385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36.907667220483887</v>
      </c>
      <c r="CL76" s="21">
        <f>EXP(-LN(2)/25)*CL75+(1-EXP(-LN(2)/25))/(LN(2)/25)*Calculateur!CG76*Calculateur!CI76*VLOOKUP('Données projet'!$B$12,Paramètres!$A$1:$I$89,3,0)*0.475*44/12</f>
        <v>23.566812191150216</v>
      </c>
      <c r="CM76" s="21">
        <f>EXP(-LN(2)/2)*CM75+(1-EXP(-LN(2)/2))/(LN(2)/2)*CG76*CJ76*VLOOKUP('Données projet'!$B$12,Paramètres!$A$1:$I$89,3,0)*0.475*44/12</f>
        <v>0.33763042707836055</v>
      </c>
      <c r="CN76" s="22">
        <f t="shared" si="66"/>
        <v>60.812109838712466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-1.1368683772161603E-13</v>
      </c>
      <c r="CU76" s="17">
        <f>CT76*VLOOKUP('Données projet'!$B$13,Paramètres!$A$1:$I$89,3,0)*VLOOKUP('Données projet'!$B$13,Paramètres!$A$1:$I$89,5,0)</f>
        <v>-5.3205440053716299E-14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225.92546546283018</v>
      </c>
      <c r="CZ76" s="59">
        <f t="shared" si="96"/>
        <v>309.38786160614563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69.621591482020719</v>
      </c>
      <c r="DG76" s="21">
        <f>EXP(-LN(2)/25)*DG75+(1-EXP(-LN(2)/25))/(LN(2)/25)*Calculateur!DB76*Calculateur!DD76*VLOOKUP('Données projet'!$B$13,Paramètres!$A$1:$I$89,3,0)*0.475*44/12</f>
        <v>61.035225568650269</v>
      </c>
      <c r="DH76" s="21">
        <f>EXP(-LN(2)/2)*DH75+(1-EXP(-LN(2)/2))/(LN(2)/2)*DB76*DE76*VLOOKUP('Données projet'!$B$13,Paramètres!$A$1:$I$89,3,0)*0.475*44/12</f>
        <v>8.1214069732717331E-7</v>
      </c>
      <c r="DI76" s="22">
        <f t="shared" si="69"/>
        <v>130.65681786281166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2.8</v>
      </c>
      <c r="DO76" s="12">
        <f>IF('Données projet'!$A$166&gt;35,DO75+DN76-DW75,IF(A76&lt;'Données projet'!$A$166,$DL$205^A76,IF(A76='Données projet'!$A$166,'Données projet'!$B$166,DO75+DN76-DW75)))</f>
        <v>150.39999999999995</v>
      </c>
      <c r="DP76" s="17">
        <f>DO76*VLOOKUP('Données projet'!$B$14,Paramètres!$A$1:$I$89,3,0)*VLOOKUP('Données projet'!$B$14,Paramètres!$A$1:$I$89,5,0)</f>
        <v>131.38943999999998</v>
      </c>
      <c r="DQ76" s="13">
        <f t="shared" si="97"/>
        <v>34.317219199328726</v>
      </c>
      <c r="DR76" s="20">
        <f t="shared" si="70"/>
        <v>288.60576477216415</v>
      </c>
      <c r="DS76" s="59">
        <f t="shared" si="71"/>
        <v>581.93909810549746</v>
      </c>
      <c r="DT76" s="59">
        <f ca="1">AVERAGE(OFFSET($DS$3,0,0,'Données projet'!$E$14+1,1))-AVERAGE(OFFSET($H$3,0,0,'Données projet'!$E$14+1,1))</f>
        <v>150.06600397498823</v>
      </c>
      <c r="DU76" s="59">
        <f t="shared" si="98"/>
        <v>170.53034305929714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4.6461364268650831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4.6461364268650831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-5.3205440053716299E-14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294.94285920643927</v>
      </c>
      <c r="T77" s="59">
        <f t="shared" si="88"/>
        <v>399.89535338426606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104.54215921186251</v>
      </c>
      <c r="AA77" s="21">
        <f>EXP(-LN(2)/25)*AA76+(1-EXP(-LN(2)/25))/(LN(2)/25)*Calculateur!V77*Calculateur!X77*VLOOKUP('Données projet'!$B$9,Paramètres!$A$1:$I$89,3,0)*0.475*44/12</f>
        <v>93.504462603753552</v>
      </c>
      <c r="AB77" s="21">
        <f>EXP(-LN(2)/2)*AB76+(1-EXP(-LN(2)/2))/(LN(2)/2)*V77*Y77*VLOOKUP('Données projet'!$B$9,Paramètres!$A$1:$I$89,3,0)*0.475*44/12</f>
        <v>2.068440599657727E-6</v>
      </c>
      <c r="AC77" s="22">
        <f t="shared" si="57"/>
        <v>198.04662388405666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-1.0197709343628959E-13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200.14675249215634</v>
      </c>
      <c r="AO77" s="59">
        <f t="shared" si="90"/>
        <v>200.55017434999968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98.310912182584318</v>
      </c>
      <c r="AV77" s="21">
        <f>EXP(-LN(2)/25)*AV76+(1-EXP(-LN(2)/25))/(LN(2)/25)*Calculateur!AQ77*Calculateur!AS77*VLOOKUP('Données projet'!$B$10,Paramètres!$A$1:$I$89,3,0)*0.475*44/12</f>
        <v>24.512607731635232</v>
      </c>
      <c r="AW77" s="21">
        <f>EXP(-LN(2)/2)*AW76+(1-EXP(-LN(2)/2))/(LN(2)/2)*AQ77*AT77*VLOOKUP('Données projet'!$B$10,Paramètres!$A$1:$I$89,3,0)*0.475*44/12</f>
        <v>0.24970975382795474</v>
      </c>
      <c r="AX77" s="21">
        <f t="shared" si="60"/>
        <v>123.0732296680475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5.5269230769230742</v>
      </c>
      <c r="BD77" s="12">
        <f>IF('Données projet'!$A$88&gt;35,BD76+BC77-BL76,IF(A77&lt;'Données projet'!$A$88,$BA$205^A77,IF(A77='Données projet'!$A$88,'Données projet'!$B$88,BD76+BC77-BL76)))</f>
        <v>271.28461538461522</v>
      </c>
      <c r="BE77" s="13">
        <f>BD77*VLOOKUP('Données projet'!$B$11,Paramètres!$A$1:$I$89,3,0)*VLOOKUP('Données projet'!$B$11,Paramètres!$A$1:$I$89,5,0)</f>
        <v>155.17479999999989</v>
      </c>
      <c r="BF77" s="13">
        <f t="shared" si="91"/>
        <v>39.752246078522639</v>
      </c>
      <c r="BG77" s="20">
        <f t="shared" si="61"/>
        <v>339.49793858676009</v>
      </c>
      <c r="BH77" s="59">
        <f t="shared" si="62"/>
        <v>632.8312719200934</v>
      </c>
      <c r="BI77" s="59">
        <f ca="1">AVERAGE(OFFSET($BH$3,0,0,'Données projet'!$E$11+1,1))-AVERAGE(OFFSET($H$3,0,0,'Données projet'!$E$11+1,1))</f>
        <v>182.46132340647313</v>
      </c>
      <c r="BJ77" s="59">
        <f t="shared" si="92"/>
        <v>130.51706975490481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32.705014912655088</v>
      </c>
      <c r="BQ77" s="21">
        <f>EXP(-LN(2)/25)*BQ76+(1-EXP(-LN(2)/25))/(LN(2)/25)*Calculateur!BL77*Calculateur!BN77*VLOOKUP('Données projet'!$B$11,Paramètres!$A$1:$I$89,3,0)*0.475*44/12</f>
        <v>11.188010489237412</v>
      </c>
      <c r="BR77" s="21">
        <f>EXP(-LN(2)/2)*BR76+(1-EXP(-LN(2)/2))/(LN(2)/2)*BL77*BO77*VLOOKUP('Données projet'!$B$11,Paramètres!$A$1:$I$89,3,0)*0.475*44/12</f>
        <v>0.95497689818922205</v>
      </c>
      <c r="BS77" s="22">
        <f t="shared" si="63"/>
        <v>44.848002300081724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15.8</v>
      </c>
      <c r="BY77" s="12">
        <f>IF('Données projet'!$A$114&gt;35,BY76+BX77-CG76,IF(A77&lt;'Données projet'!$A$114,$BV$205^A77,IF(A77='Données projet'!$A$114,'Données projet'!$B$114,BY76+BX77-CG76)))</f>
        <v>730.2</v>
      </c>
      <c r="BZ77" s="13">
        <f>BY77*VLOOKUP('Données projet'!$B$12,Paramètres!$A$1:$I$89,3,0)*VLOOKUP('Données projet'!$B$12,Paramètres!$A$1:$I$89,5,0)</f>
        <v>294.27060000000006</v>
      </c>
      <c r="CA77" s="13">
        <f t="shared" si="93"/>
        <v>69.97401655237752</v>
      </c>
      <c r="CB77" s="20">
        <f t="shared" si="64"/>
        <v>634.3927071620576</v>
      </c>
      <c r="CC77" s="59">
        <f t="shared" si="65"/>
        <v>927.72604049539086</v>
      </c>
      <c r="CD77" s="59">
        <f ca="1">AVERAGE(OFFSET($CC$3,0,0,'Données projet'!$E$12+1,1))-AVERAGE(OFFSET($H$3,0,0,'Données projet'!$E$12+1,1))</f>
        <v>291.0962681460345</v>
      </c>
      <c r="CE77" s="59">
        <f t="shared" si="94"/>
        <v>240.28311826371385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36.183930377744382</v>
      </c>
      <c r="CL77" s="21">
        <f>EXP(-LN(2)/25)*CL76+(1-EXP(-LN(2)/25))/(LN(2)/25)*Calculateur!CG77*Calculateur!CI77*VLOOKUP('Données projet'!$B$12,Paramètres!$A$1:$I$89,3,0)*0.475*44/12</f>
        <v>22.922376472458424</v>
      </c>
      <c r="CM77" s="21">
        <f>EXP(-LN(2)/2)*CM76+(1-EXP(-LN(2)/2))/(LN(2)/2)*CG77*CJ77*VLOOKUP('Données projet'!$B$12,Paramètres!$A$1:$I$89,3,0)*0.475*44/12</f>
        <v>0.23874076452201889</v>
      </c>
      <c r="CN77" s="22">
        <f t="shared" si="66"/>
        <v>59.345047614724827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-1.1368683772161603E-13</v>
      </c>
      <c r="CU77" s="17">
        <f>CT77*VLOOKUP('Données projet'!$B$13,Paramètres!$A$1:$I$89,3,0)*VLOOKUP('Données projet'!$B$13,Paramètres!$A$1:$I$89,5,0)</f>
        <v>-5.3205440053716299E-14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225.92546546283018</v>
      </c>
      <c r="CZ77" s="59">
        <f t="shared" si="96"/>
        <v>309.38786160614563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68.256354538036035</v>
      </c>
      <c r="DG77" s="21">
        <f>EXP(-LN(2)/25)*DG76+(1-EXP(-LN(2)/25))/(LN(2)/25)*Calculateur!DB77*Calculateur!DD77*VLOOKUP('Données projet'!$B$13,Paramètres!$A$1:$I$89,3,0)*0.475*44/12</f>
        <v>59.366214115772515</v>
      </c>
      <c r="DH77" s="21">
        <f>EXP(-LN(2)/2)*DH76+(1-EXP(-LN(2)/2))/(LN(2)/2)*DB77*DE77*VLOOKUP('Données projet'!$B$13,Paramètres!$A$1:$I$89,3,0)*0.475*44/12</f>
        <v>5.7427019435761565E-7</v>
      </c>
      <c r="DI77" s="22">
        <f t="shared" si="69"/>
        <v>127.62256922807873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2.8</v>
      </c>
      <c r="DO77" s="12">
        <f>IF('Données projet'!$A$166&gt;35,DO76+DN77-DW76,IF(A77&lt;'Données projet'!$A$166,$DL$205^A77,IF(A77='Données projet'!$A$166,'Données projet'!$B$166,DO76+DN77-DW76)))</f>
        <v>153.19999999999996</v>
      </c>
      <c r="DP77" s="17">
        <f>DO77*VLOOKUP('Données projet'!$B$14,Paramètres!$A$1:$I$89,3,0)*VLOOKUP('Données projet'!$B$14,Paramètres!$A$1:$I$89,5,0)</f>
        <v>133.83551999999997</v>
      </c>
      <c r="DQ77" s="13">
        <f t="shared" si="97"/>
        <v>34.881129989958559</v>
      </c>
      <c r="DR77" s="20">
        <f t="shared" si="70"/>
        <v>293.84816539917779</v>
      </c>
      <c r="DS77" s="59">
        <f t="shared" si="71"/>
        <v>587.18149873251105</v>
      </c>
      <c r="DT77" s="59">
        <f ca="1">AVERAGE(OFFSET($DS$3,0,0,'Données projet'!$E$14+1,1))-AVERAGE(OFFSET($H$3,0,0,'Données projet'!$E$14+1,1))</f>
        <v>150.06600397498823</v>
      </c>
      <c r="DU77" s="59">
        <f t="shared" si="98"/>
        <v>170.53034305929714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4.5190875819427614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4.5190875819427614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-5.3205440053716299E-14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294.94285920643927</v>
      </c>
      <c r="T78" s="59">
        <f t="shared" si="88"/>
        <v>399.89535338426606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102.49215123413879</v>
      </c>
      <c r="AA78" s="21">
        <f>EXP(-LN(2)/25)*AA77+(1-EXP(-LN(2)/25))/(LN(2)/25)*Calculateur!V78*Calculateur!X78*VLOOKUP('Données projet'!$B$9,Paramètres!$A$1:$I$89,3,0)*0.475*44/12</f>
        <v>90.94757815666793</v>
      </c>
      <c r="AB78" s="21">
        <f>EXP(-LN(2)/2)*AB77+(1-EXP(-LN(2)/2))/(LN(2)/2)*V78*Y78*VLOOKUP('Données projet'!$B$9,Paramètres!$A$1:$I$89,3,0)*0.475*44/12</f>
        <v>1.4626083744995475E-6</v>
      </c>
      <c r="AC78" s="22">
        <f t="shared" si="57"/>
        <v>193.43973085341509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-1.0197709343628959E-13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200.14675249215634</v>
      </c>
      <c r="AO78" s="59">
        <f t="shared" si="90"/>
        <v>200.55017434999968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96.383095158419337</v>
      </c>
      <c r="AV78" s="21">
        <f>EXP(-LN(2)/25)*AV77+(1-EXP(-LN(2)/25))/(LN(2)/25)*Calculateur!AQ78*Calculateur!AS78*VLOOKUP('Données projet'!$B$10,Paramètres!$A$1:$I$89,3,0)*0.475*44/12</f>
        <v>23.842309184151649</v>
      </c>
      <c r="AW78" s="21">
        <f>EXP(-LN(2)/2)*AW77+(1-EXP(-LN(2)/2))/(LN(2)/2)*AQ78*AT78*VLOOKUP('Données projet'!$B$10,Paramètres!$A$1:$I$89,3,0)*0.475*44/12</f>
        <v>0.17657146026017026</v>
      </c>
      <c r="AX78" s="21">
        <f t="shared" si="60"/>
        <v>120.40197580283115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5.5269230769230742</v>
      </c>
      <c r="BD78" s="12">
        <f>IF('Données projet'!$A$88&gt;35,BD77+BC78-BL77,IF(A78&lt;'Données projet'!$A$88,$BA$205^A78,IF(A78='Données projet'!$A$88,'Données projet'!$B$88,BD77+BC78-BL77)))</f>
        <v>276.81153846153831</v>
      </c>
      <c r="BE78" s="13">
        <f>BD78*VLOOKUP('Données projet'!$B$11,Paramètres!$A$1:$I$89,3,0)*VLOOKUP('Données projet'!$B$11,Paramètres!$A$1:$I$89,5,0)</f>
        <v>158.33619999999993</v>
      </c>
      <c r="BF78" s="13">
        <f t="shared" si="91"/>
        <v>40.46701266973087</v>
      </c>
      <c r="BG78" s="20">
        <f t="shared" si="61"/>
        <v>346.2489287331145</v>
      </c>
      <c r="BH78" s="59">
        <f t="shared" si="62"/>
        <v>639.58226206644781</v>
      </c>
      <c r="BI78" s="59">
        <f ca="1">AVERAGE(OFFSET($BH$3,0,0,'Données projet'!$E$11+1,1))-AVERAGE(OFFSET($H$3,0,0,'Données projet'!$E$11+1,1))</f>
        <v>182.46132340647313</v>
      </c>
      <c r="BJ78" s="59">
        <f t="shared" si="92"/>
        <v>130.51706975490481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32.063689518307307</v>
      </c>
      <c r="BQ78" s="21">
        <f>EXP(-LN(2)/25)*BQ77+(1-EXP(-LN(2)/25))/(LN(2)/25)*Calculateur!BL78*Calculateur!BN78*VLOOKUP('Données projet'!$B$11,Paramètres!$A$1:$I$89,3,0)*0.475*44/12</f>
        <v>10.882073754057314</v>
      </c>
      <c r="BR78" s="21">
        <f>EXP(-LN(2)/2)*BR77+(1-EXP(-LN(2)/2))/(LN(2)/2)*BL78*BO78*VLOOKUP('Données projet'!$B$11,Paramètres!$A$1:$I$89,3,0)*0.475*44/12</f>
        <v>0.67527064058609421</v>
      </c>
      <c r="BS78" s="22">
        <f t="shared" si="63"/>
        <v>43.621033912950715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746</v>
      </c>
      <c r="BW78" s="12">
        <f>VLOOKUP(A78,'Données projet'!$A$113:$I$133,9,0)</f>
        <v>15.8</v>
      </c>
      <c r="BX78" s="12">
        <f t="array" ref="BX78">INDEX(BW:BW,MIN(IF(ISNUMBER(BW78:BW274),ROW(BW78:BW274),"")))</f>
        <v>15.8</v>
      </c>
      <c r="BY78" s="12">
        <f>IF('Données projet'!$A$114&gt;35,BY77+BX78-CG77,IF(A78&lt;'Données projet'!$A$114,$BV$205^A78,IF(A78='Données projet'!$A$114,'Données projet'!$B$114,BY77+BX78-CG77)))</f>
        <v>746</v>
      </c>
      <c r="BZ78" s="13">
        <f>BY78*VLOOKUP('Données projet'!$B$12,Paramètres!$A$1:$I$89,3,0)*VLOOKUP('Données projet'!$B$12,Paramètres!$A$1:$I$89,5,0)</f>
        <v>300.63799999999998</v>
      </c>
      <c r="CA78" s="13">
        <f t="shared" si="93"/>
        <v>71.310196240206068</v>
      </c>
      <c r="CB78" s="20">
        <f t="shared" si="64"/>
        <v>647.80977511835874</v>
      </c>
      <c r="CC78" s="59">
        <f t="shared" si="65"/>
        <v>941.14310845169211</v>
      </c>
      <c r="CD78" s="59">
        <f ca="1">AVERAGE(OFFSET($CC$3,0,0,'Données projet'!$E$12+1,1))-AVERAGE(OFFSET($H$3,0,0,'Données projet'!$E$12+1,1))</f>
        <v>291.0962681460345</v>
      </c>
      <c r="CE78" s="59">
        <f t="shared" si="94"/>
        <v>240.28311826371385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43</v>
      </c>
      <c r="CH78" s="16">
        <f>IF(ISNA(VLOOKUP(A78,'Données projet'!$A$113:$I$133,5,0)),0%,VLOOKUP(A78,'Données projet'!$A$113:$I$133,5,0)*VLOOKUP('Données projet'!$B$12,Paramètres!$A$1:$I$89,7,0))</f>
        <v>0.44767441860465118</v>
      </c>
      <c r="CI78" s="16">
        <f>IF(ISNA(VLOOKUP(A78,'Données projet'!$A$113:$I$133,6,0)),0%,VLOOKUP(A78,'Données projet'!$A$113:$I$133,6,0)*VLOOKUP('Données projet'!$B$12,Paramètres!$A$1:$I$89,7,0))</f>
        <v>6.3953488372093026E-2</v>
      </c>
      <c r="CJ78" s="16">
        <f>IF(ISNA(VLOOKUP(A78,'Données projet'!$A$113:$I$133,7,0)),0%,VLOOKUP(A78,'Données projet'!$A$113:$I$133,7,0))</f>
        <v>3.4883720930232558E-2</v>
      </c>
      <c r="CK78" s="21">
        <f>EXP(-LN(2)/35)*CK77+(1-EXP(-LN(2)/35))/(LN(2)/35)*CG78*CH78*VLOOKUP('Données projet'!$B$12,Paramètres!$A$1:$I$89,3,0)*0.475*44/12</f>
        <v>45.765540977241201</v>
      </c>
      <c r="CL78" s="21">
        <f>EXP(-LN(2)/25)*CL77+(1-EXP(-LN(2)/25))/(LN(2)/25)*Calculateur!CG78*Calculateur!CI78*VLOOKUP('Données projet'!$B$12,Paramètres!$A$1:$I$89,3,0)*0.475*44/12</f>
        <v>23.759939340115402</v>
      </c>
      <c r="CM78" s="21">
        <f>EXP(-LN(2)/2)*CM77+(1-EXP(-LN(2)/2))/(LN(2)/2)*CG78*CJ78*VLOOKUP('Données projet'!$B$12,Paramètres!$A$1:$I$89,3,0)*0.475*44/12</f>
        <v>0.85324963739392889</v>
      </c>
      <c r="CN78" s="22">
        <f t="shared" si="66"/>
        <v>70.378729954750526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-1.1368683772161603E-13</v>
      </c>
      <c r="CU78" s="17">
        <f>CT78*VLOOKUP('Données projet'!$B$13,Paramètres!$A$1:$I$89,3,0)*VLOOKUP('Données projet'!$B$13,Paramètres!$A$1:$I$89,5,0)</f>
        <v>-5.3205440053716299E-14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225.92546546283018</v>
      </c>
      <c r="CZ78" s="59">
        <f t="shared" si="96"/>
        <v>309.38786160614563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66.917889057810569</v>
      </c>
      <c r="DG78" s="21">
        <f>EXP(-LN(2)/25)*DG77+(1-EXP(-LN(2)/25))/(LN(2)/25)*Calculateur!DB78*Calculateur!DD78*VLOOKUP('Données projet'!$B$13,Paramètres!$A$1:$I$89,3,0)*0.475*44/12</f>
        <v>57.7428418688432</v>
      </c>
      <c r="DH78" s="21">
        <f>EXP(-LN(2)/2)*DH77+(1-EXP(-LN(2)/2))/(LN(2)/2)*DB78*DE78*VLOOKUP('Données projet'!$B$13,Paramètres!$A$1:$I$89,3,0)*0.475*44/12</f>
        <v>4.0607034866358666E-7</v>
      </c>
      <c r="DI78" s="22">
        <f t="shared" si="69"/>
        <v>124.66073133272411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156</v>
      </c>
      <c r="DM78" s="12">
        <f>VLOOKUP(A78,'Données projet'!$A$165:$I$185,9,0)</f>
        <v>2.8</v>
      </c>
      <c r="DN78" s="12">
        <f t="array" ref="DN78">INDEX(DM:DM,MIN(IF(ISNUMBER(DM78:DM274),ROW(DM78:DM274),"")))</f>
        <v>2.8</v>
      </c>
      <c r="DO78" s="12">
        <f>IF('Données projet'!$A$166&gt;35,DO77+DN78-DW77,IF(A78&lt;'Données projet'!$A$166,$DL$205^A78,IF(A78='Données projet'!$A$166,'Données projet'!$B$166,DO77+DN78-DW77)))</f>
        <v>155.99999999999997</v>
      </c>
      <c r="DP78" s="17">
        <f>DO78*VLOOKUP('Données projet'!$B$14,Paramètres!$A$1:$I$89,3,0)*VLOOKUP('Données projet'!$B$14,Paramètres!$A$1:$I$89,5,0)</f>
        <v>136.2816</v>
      </c>
      <c r="DQ78" s="13">
        <f t="shared" si="97"/>
        <v>35.443842312892279</v>
      </c>
      <c r="DR78" s="20">
        <f t="shared" si="70"/>
        <v>299.08847869495406</v>
      </c>
      <c r="DS78" s="59">
        <f t="shared" si="71"/>
        <v>592.42181202828738</v>
      </c>
      <c r="DT78" s="59">
        <f ca="1">AVERAGE(OFFSET($DS$3,0,0,'Données projet'!$E$14+1,1))-AVERAGE(OFFSET($H$3,0,0,'Données projet'!$E$14+1,1))</f>
        <v>150.06600397498823</v>
      </c>
      <c r="DU78" s="59">
        <f t="shared" si="98"/>
        <v>170.53034305929714</v>
      </c>
      <c r="DV78" s="15">
        <f>IF(ISNA(VLOOKUP(A78,'Données projet'!$A$165:$I$185,3,0)),0,VLOOKUP(A78,'Données projet'!$A$165:$I$185,3,0))</f>
        <v>10</v>
      </c>
      <c r="DW78" s="15">
        <f>IF(ISNA(VLOOKUP(A78,'Données projet'!$A$165:$I$185,4,0)),0,VLOOKUP(A78,'Données projet'!$A$165:$I$185,4,0))</f>
        <v>8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6.0500435736472369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6.0500435736472369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-5.3205440053716299E-14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294.94285920643927</v>
      </c>
      <c r="T79" s="59">
        <f t="shared" si="88"/>
        <v>399.89535338426606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100.48234266247682</v>
      </c>
      <c r="AA79" s="21">
        <f>EXP(-LN(2)/25)*AA78+(1-EXP(-LN(2)/25))/(LN(2)/25)*Calculateur!V79*Calculateur!X79*VLOOKUP('Données projet'!$B$9,Paramètres!$A$1:$I$89,3,0)*0.475*44/12</f>
        <v>88.460611849248579</v>
      </c>
      <c r="AB79" s="21">
        <f>EXP(-LN(2)/2)*AB78+(1-EXP(-LN(2)/2))/(LN(2)/2)*V79*Y79*VLOOKUP('Données projet'!$B$9,Paramètres!$A$1:$I$89,3,0)*0.475*44/12</f>
        <v>1.0342202998288635E-6</v>
      </c>
      <c r="AC79" s="22">
        <f t="shared" si="57"/>
        <v>188.94295554594572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-1.0197709343628959E-13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200.14675249215634</v>
      </c>
      <c r="AO79" s="59">
        <f t="shared" si="90"/>
        <v>200.55017434999968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94.493081450245953</v>
      </c>
      <c r="AV79" s="21">
        <f>EXP(-LN(2)/25)*AV78+(1-EXP(-LN(2)/25))/(LN(2)/25)*Calculateur!AQ79*Calculateur!AS79*VLOOKUP('Données projet'!$B$10,Paramètres!$A$1:$I$89,3,0)*0.475*44/12</f>
        <v>23.190339985698476</v>
      </c>
      <c r="AW79" s="21">
        <f>EXP(-LN(2)/2)*AW78+(1-EXP(-LN(2)/2))/(LN(2)/2)*AQ79*AT79*VLOOKUP('Données projet'!$B$10,Paramètres!$A$1:$I$89,3,0)*0.475*44/12</f>
        <v>0.1248548769139774</v>
      </c>
      <c r="AX79" s="21">
        <f t="shared" si="60"/>
        <v>117.8082763128584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5.5269230769230742</v>
      </c>
      <c r="BD79" s="12">
        <f>IF('Données projet'!$A$88&gt;35,BD78+BC79-BL78,IF(A79&lt;'Données projet'!$A$88,$BA$205^A79,IF(A79='Données projet'!$A$88,'Données projet'!$B$88,BD78+BC79-BL78)))</f>
        <v>282.33846153846139</v>
      </c>
      <c r="BE79" s="13">
        <f>BD79*VLOOKUP('Données projet'!$B$11,Paramètres!$A$1:$I$89,3,0)*VLOOKUP('Données projet'!$B$11,Paramètres!$A$1:$I$89,5,0)</f>
        <v>161.49759999999992</v>
      </c>
      <c r="BF79" s="13">
        <f t="shared" si="91"/>
        <v>41.180119894168456</v>
      </c>
      <c r="BG79" s="20">
        <f t="shared" si="61"/>
        <v>352.99702881567652</v>
      </c>
      <c r="BH79" s="59">
        <f t="shared" si="62"/>
        <v>646.33036214900983</v>
      </c>
      <c r="BI79" s="59">
        <f ca="1">AVERAGE(OFFSET($BH$3,0,0,'Données projet'!$E$11+1,1))-AVERAGE(OFFSET($H$3,0,0,'Données projet'!$E$11+1,1))</f>
        <v>182.46132340647313</v>
      </c>
      <c r="BJ79" s="59">
        <f t="shared" si="92"/>
        <v>130.51706975490481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31.434940123772822</v>
      </c>
      <c r="BQ79" s="21">
        <f>EXP(-LN(2)/25)*BQ78+(1-EXP(-LN(2)/25))/(LN(2)/25)*Calculateur!BL79*Calculateur!BN79*VLOOKUP('Données projet'!$B$11,Paramètres!$A$1:$I$89,3,0)*0.475*44/12</f>
        <v>10.58450287498923</v>
      </c>
      <c r="BR79" s="21">
        <f>EXP(-LN(2)/2)*BR78+(1-EXP(-LN(2)/2))/(LN(2)/2)*BL79*BO79*VLOOKUP('Données projet'!$B$11,Paramètres!$A$1:$I$89,3,0)*0.475*44/12</f>
        <v>0.47748844909461113</v>
      </c>
      <c r="BS79" s="22">
        <f t="shared" si="63"/>
        <v>42.49693144785666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14.6</v>
      </c>
      <c r="BY79" s="12">
        <f>IF('Données projet'!$A$114&gt;35,BY78+BX79-CG78,IF(A79&lt;'Données projet'!$A$114,$BV$205^A79,IF(A79='Données projet'!$A$114,'Données projet'!$B$114,BY78+BX79-CG78)))</f>
        <v>717.6</v>
      </c>
      <c r="BZ79" s="13">
        <f>BY79*VLOOKUP('Données projet'!$B$12,Paramètres!$A$1:$I$89,3,0)*VLOOKUP('Données projet'!$B$12,Paramètres!$A$1:$I$89,5,0)</f>
        <v>289.19280000000003</v>
      </c>
      <c r="CA79" s="13">
        <f t="shared" si="93"/>
        <v>68.906044268306289</v>
      </c>
      <c r="CB79" s="20">
        <f t="shared" si="64"/>
        <v>623.68882043396684</v>
      </c>
      <c r="CC79" s="59">
        <f t="shared" si="65"/>
        <v>917.0221537673001</v>
      </c>
      <c r="CD79" s="59">
        <f ca="1">AVERAGE(OFFSET($CC$3,0,0,'Données projet'!$E$12+1,1))-AVERAGE(OFFSET($H$3,0,0,'Données projet'!$E$12+1,1))</f>
        <v>291.0962681460345</v>
      </c>
      <c r="CE79" s="59">
        <f t="shared" si="94"/>
        <v>240.28311826371385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44.868106632901195</v>
      </c>
      <c r="CL79" s="21">
        <f>EXP(-LN(2)/25)*CL78+(1-EXP(-LN(2)/25))/(LN(2)/25)*Calculateur!CG79*Calculateur!CI79*VLOOKUP('Données projet'!$B$12,Paramètres!$A$1:$I$89,3,0)*0.475*44/12</f>
        <v>23.110222549379039</v>
      </c>
      <c r="CM79" s="21">
        <f>EXP(-LN(2)/2)*CM78+(1-EXP(-LN(2)/2))/(LN(2)/2)*CG79*CJ79*VLOOKUP('Données projet'!$B$12,Paramètres!$A$1:$I$89,3,0)*0.475*44/12</f>
        <v>0.60333860464620992</v>
      </c>
      <c r="CN79" s="22">
        <f t="shared" si="66"/>
        <v>68.581667786926445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-1.1368683772161603E-13</v>
      </c>
      <c r="CU79" s="17">
        <f>CT79*VLOOKUP('Données projet'!$B$13,Paramètres!$A$1:$I$89,3,0)*VLOOKUP('Données projet'!$B$13,Paramètres!$A$1:$I$89,5,0)</f>
        <v>-5.3205440053716299E-14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225.92546546283018</v>
      </c>
      <c r="CZ79" s="59">
        <f t="shared" si="96"/>
        <v>309.38786160614563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65.605670069268996</v>
      </c>
      <c r="DG79" s="21">
        <f>EXP(-LN(2)/25)*DG78+(1-EXP(-LN(2)/25))/(LN(2)/25)*Calculateur!DB79*Calculateur!DD79*VLOOKUP('Données projet'!$B$13,Paramètres!$A$1:$I$89,3,0)*0.475*44/12</f>
        <v>56.1638608213756</v>
      </c>
      <c r="DH79" s="21">
        <f>EXP(-LN(2)/2)*DH78+(1-EXP(-LN(2)/2))/(LN(2)/2)*DB79*DE79*VLOOKUP('Données projet'!$B$13,Paramètres!$A$1:$I$89,3,0)*0.475*44/12</f>
        <v>2.8713509717880783E-7</v>
      </c>
      <c r="DI79" s="22">
        <f t="shared" si="69"/>
        <v>121.7695311777797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2.4</v>
      </c>
      <c r="DO79" s="12">
        <f>IF('Données projet'!$A$166&gt;35,DO78+DN79-DW78,IF(A79&lt;'Données projet'!$A$166,$DL$205^A79,IF(A79='Données projet'!$A$166,'Données projet'!$B$166,DO78+DN79-DW78)))</f>
        <v>150.39999999999998</v>
      </c>
      <c r="DP79" s="17">
        <f>DO79*VLOOKUP('Données projet'!$B$14,Paramètres!$A$1:$I$89,3,0)*VLOOKUP('Données projet'!$B$14,Paramètres!$A$1:$I$89,5,0)</f>
        <v>131.38943999999998</v>
      </c>
      <c r="DQ79" s="13">
        <f t="shared" si="97"/>
        <v>34.317219199328726</v>
      </c>
      <c r="DR79" s="20">
        <f t="shared" si="70"/>
        <v>288.60576477216415</v>
      </c>
      <c r="DS79" s="59">
        <f t="shared" si="71"/>
        <v>581.93909810549746</v>
      </c>
      <c r="DT79" s="59">
        <f ca="1">AVERAGE(OFFSET($DS$3,0,0,'Données projet'!$E$14+1,1))-AVERAGE(OFFSET($H$3,0,0,'Données projet'!$E$14+1,1))</f>
        <v>150.06600397498823</v>
      </c>
      <c r="DU79" s="59">
        <f t="shared" si="98"/>
        <v>170.53034305929714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5.884604813967889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5.884604813967889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-5.3205440053716299E-14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294.94285920643927</v>
      </c>
      <c r="T80" s="59">
        <f t="shared" si="88"/>
        <v>399.89535338426606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98.511945211042971</v>
      </c>
      <c r="AA80" s="21">
        <f>EXP(-LN(2)/25)*AA79+(1-EXP(-LN(2)/25))/(LN(2)/25)*Calculateur!V80*Calculateur!X80*VLOOKUP('Données projet'!$B$9,Paramètres!$A$1:$I$89,3,0)*0.475*44/12</f>
        <v>86.041651766289476</v>
      </c>
      <c r="AB80" s="21">
        <f>EXP(-LN(2)/2)*AB79+(1-EXP(-LN(2)/2))/(LN(2)/2)*V80*Y80*VLOOKUP('Données projet'!$B$9,Paramètres!$A$1:$I$89,3,0)*0.475*44/12</f>
        <v>7.3130418724977375E-7</v>
      </c>
      <c r="AC80" s="22">
        <f t="shared" si="57"/>
        <v>184.55359770863666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-1.0197709343628959E-13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200.14675249215634</v>
      </c>
      <c r="AO80" s="59">
        <f t="shared" si="90"/>
        <v>200.55017434999968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92.640129758095327</v>
      </c>
      <c r="AV80" s="21">
        <f>EXP(-LN(2)/25)*AV79+(1-EXP(-LN(2)/25))/(LN(2)/25)*Calculateur!AQ80*Calculateur!AS80*VLOOKUP('Données projet'!$B$10,Paramètres!$A$1:$I$89,3,0)*0.475*44/12</f>
        <v>22.556198919262574</v>
      </c>
      <c r="AW80" s="21">
        <f>EXP(-LN(2)/2)*AW79+(1-EXP(-LN(2)/2))/(LN(2)/2)*AQ80*AT80*VLOOKUP('Données projet'!$B$10,Paramètres!$A$1:$I$89,3,0)*0.475*44/12</f>
        <v>8.8285730130085144E-2</v>
      </c>
      <c r="AX80" s="21">
        <f t="shared" si="60"/>
        <v>115.28461440748798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5.5269230769230742</v>
      </c>
      <c r="BD80" s="12">
        <f>IF('Données projet'!$A$88&gt;35,BD79+BC80-BL79,IF(A80&lt;'Données projet'!$A$88,$BA$205^A80,IF(A80='Données projet'!$A$88,'Données projet'!$B$88,BD79+BC80-BL79)))</f>
        <v>287.86538461538447</v>
      </c>
      <c r="BE80" s="13">
        <f>BD80*VLOOKUP('Données projet'!$B$11,Paramètres!$A$1:$I$89,3,0)*VLOOKUP('Données projet'!$B$11,Paramètres!$A$1:$I$89,5,0)</f>
        <v>164.65899999999991</v>
      </c>
      <c r="BF80" s="13">
        <f t="shared" si="91"/>
        <v>41.891603979210757</v>
      </c>
      <c r="BG80" s="20">
        <f t="shared" si="61"/>
        <v>359.74230193045855</v>
      </c>
      <c r="BH80" s="59">
        <f t="shared" si="62"/>
        <v>653.07563526379181</v>
      </c>
      <c r="BI80" s="59">
        <f ca="1">AVERAGE(OFFSET($BH$3,0,0,'Données projet'!$E$11+1,1))-AVERAGE(OFFSET($H$3,0,0,'Données projet'!$E$11+1,1))</f>
        <v>182.46132340647313</v>
      </c>
      <c r="BJ80" s="59">
        <f t="shared" si="92"/>
        <v>130.51706975490481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30.818520121365896</v>
      </c>
      <c r="BQ80" s="21">
        <f>EXP(-LN(2)/25)*BQ79+(1-EXP(-LN(2)/25))/(LN(2)/25)*Calculateur!BL80*Calculateur!BN80*VLOOKUP('Données projet'!$B$11,Paramètres!$A$1:$I$89,3,0)*0.475*44/12</f>
        <v>10.295069087257835</v>
      </c>
      <c r="BR80" s="21">
        <f>EXP(-LN(2)/2)*BR79+(1-EXP(-LN(2)/2))/(LN(2)/2)*BL80*BO80*VLOOKUP('Données projet'!$B$11,Paramètres!$A$1:$I$89,3,0)*0.475*44/12</f>
        <v>0.33763532029304716</v>
      </c>
      <c r="BS80" s="22">
        <f t="shared" si="63"/>
        <v>41.451224528916775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14.6</v>
      </c>
      <c r="BY80" s="12">
        <f>IF('Données projet'!$A$114&gt;35,BY79+BX80-CG79,IF(A80&lt;'Données projet'!$A$114,$BV$205^A80,IF(A80='Données projet'!$A$114,'Données projet'!$B$114,BY79+BX80-CG79)))</f>
        <v>732.2</v>
      </c>
      <c r="BZ80" s="13">
        <f>BY80*VLOOKUP('Données projet'!$B$12,Paramètres!$A$1:$I$89,3,0)*VLOOKUP('Données projet'!$B$12,Paramètres!$A$1:$I$89,5,0)</f>
        <v>295.07659999999998</v>
      </c>
      <c r="CA80" s="13">
        <f t="shared" si="93"/>
        <v>70.143337820495091</v>
      </c>
      <c r="CB80" s="20">
        <f t="shared" si="64"/>
        <v>636.09139170402898</v>
      </c>
      <c r="CC80" s="59">
        <f t="shared" si="65"/>
        <v>929.42472503736235</v>
      </c>
      <c r="CD80" s="59">
        <f ca="1">AVERAGE(OFFSET($CC$3,0,0,'Données projet'!$E$12+1,1))-AVERAGE(OFFSET($H$3,0,0,'Données projet'!$E$12+1,1))</f>
        <v>291.0962681460345</v>
      </c>
      <c r="CE80" s="59">
        <f t="shared" si="94"/>
        <v>240.28311826371385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43.988270428672799</v>
      </c>
      <c r="CL80" s="21">
        <f>EXP(-LN(2)/25)*CL79+(1-EXP(-LN(2)/25))/(LN(2)/25)*Calculateur!CG80*Calculateur!CI80*VLOOKUP('Données projet'!$B$12,Paramètres!$A$1:$I$89,3,0)*0.475*44/12</f>
        <v>22.478272298452485</v>
      </c>
      <c r="CM80" s="21">
        <f>EXP(-LN(2)/2)*CM79+(1-EXP(-LN(2)/2))/(LN(2)/2)*CG80*CJ80*VLOOKUP('Données projet'!$B$12,Paramètres!$A$1:$I$89,3,0)*0.475*44/12</f>
        <v>0.4266248186969645</v>
      </c>
      <c r="CN80" s="22">
        <f t="shared" si="66"/>
        <v>66.893167545822251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-1.1368683772161603E-13</v>
      </c>
      <c r="CU80" s="17">
        <f>CT80*VLOOKUP('Données projet'!$B$13,Paramètres!$A$1:$I$89,3,0)*VLOOKUP('Données projet'!$B$13,Paramètres!$A$1:$I$89,5,0)</f>
        <v>-5.3205440053716299E-14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225.92546546283018</v>
      </c>
      <c r="CZ80" s="59">
        <f t="shared" si="96"/>
        <v>309.38786160614563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64.319182894718168</v>
      </c>
      <c r="DG80" s="21">
        <f>EXP(-LN(2)/25)*DG79+(1-EXP(-LN(2)/25))/(LN(2)/25)*Calculateur!DB80*Calculateur!DD80*VLOOKUP('Données projet'!$B$13,Paramètres!$A$1:$I$89,3,0)*0.475*44/12</f>
        <v>54.62805709368601</v>
      </c>
      <c r="DH80" s="21">
        <f>EXP(-LN(2)/2)*DH79+(1-EXP(-LN(2)/2))/(LN(2)/2)*DB80*DE80*VLOOKUP('Données projet'!$B$13,Paramètres!$A$1:$I$89,3,0)*0.475*44/12</f>
        <v>2.0303517433179333E-7</v>
      </c>
      <c r="DI80" s="22">
        <f t="shared" si="69"/>
        <v>118.94724019143935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2.4</v>
      </c>
      <c r="DO80" s="12">
        <f>IF('Données projet'!$A$166&gt;35,DO79+DN80-DW79,IF(A80&lt;'Données projet'!$A$166,$DL$205^A80,IF(A80='Données projet'!$A$166,'Données projet'!$B$166,DO79+DN80-DW79)))</f>
        <v>152.79999999999998</v>
      </c>
      <c r="DP80" s="17">
        <f>DO80*VLOOKUP('Données projet'!$B$14,Paramètres!$A$1:$I$89,3,0)*VLOOKUP('Données projet'!$B$14,Paramètres!$A$1:$I$89,5,0)</f>
        <v>133.48608000000002</v>
      </c>
      <c r="DQ80" s="13">
        <f t="shared" si="97"/>
        <v>34.800645252320514</v>
      </c>
      <c r="DR80" s="20">
        <f t="shared" si="70"/>
        <v>293.09937981445825</v>
      </c>
      <c r="DS80" s="59">
        <f t="shared" si="71"/>
        <v>586.43271314779156</v>
      </c>
      <c r="DT80" s="59">
        <f ca="1">AVERAGE(OFFSET($DS$3,0,0,'Données projet'!$E$14+1,1))-AVERAGE(OFFSET($H$3,0,0,'Données projet'!$E$14+1,1))</f>
        <v>150.06600397498823</v>
      </c>
      <c r="DU80" s="59">
        <f t="shared" si="98"/>
        <v>170.53034305929714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5.7236899858720198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5.7236899858720198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-5.3205440053716299E-14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294.94285920643927</v>
      </c>
      <c r="T81" s="59">
        <f t="shared" si="88"/>
        <v>399.89535338426606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96.580186051807956</v>
      </c>
      <c r="AA81" s="21">
        <f>EXP(-LN(2)/25)*AA80+(1-EXP(-LN(2)/25))/(LN(2)/25)*Calculateur!V81*Calculateur!X81*VLOOKUP('Données projet'!$B$9,Paramètres!$A$1:$I$89,3,0)*0.475*44/12</f>
        <v>83.688838274006471</v>
      </c>
      <c r="AB81" s="21">
        <f>EXP(-LN(2)/2)*AB80+(1-EXP(-LN(2)/2))/(LN(2)/2)*V81*Y81*VLOOKUP('Données projet'!$B$9,Paramètres!$A$1:$I$89,3,0)*0.475*44/12</f>
        <v>5.1711014991443174E-7</v>
      </c>
      <c r="AC81" s="22">
        <f t="shared" si="57"/>
        <v>180.26902484292458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-1.0197709343628959E-13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200.14675249215634</v>
      </c>
      <c r="AO81" s="59">
        <f t="shared" si="90"/>
        <v>200.55017434999968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90.823513318438827</v>
      </c>
      <c r="AV81" s="21">
        <f>EXP(-LN(2)/25)*AV80+(1-EXP(-LN(2)/25))/(LN(2)/25)*Calculateur!AQ81*Calculateur!AS81*VLOOKUP('Données projet'!$B$10,Paramètres!$A$1:$I$89,3,0)*0.475*44/12</f>
        <v>21.939398473636391</v>
      </c>
      <c r="AW81" s="21">
        <f>EXP(-LN(2)/2)*AW80+(1-EXP(-LN(2)/2))/(LN(2)/2)*AQ81*AT81*VLOOKUP('Données projet'!$B$10,Paramètres!$A$1:$I$89,3,0)*0.475*44/12</f>
        <v>6.2427438456988706E-2</v>
      </c>
      <c r="AX81" s="21">
        <f t="shared" si="60"/>
        <v>112.82533923053221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5.5269230769230742</v>
      </c>
      <c r="BD81" s="12">
        <f>IF('Données projet'!$A$88&gt;35,BD80+BC81-BL80,IF(A81&lt;'Données projet'!$A$88,$BA$205^A81,IF(A81='Données projet'!$A$88,'Données projet'!$B$88,BD80+BC81-BL80)))</f>
        <v>293.39230769230755</v>
      </c>
      <c r="BE81" s="13">
        <f>BD81*VLOOKUP('Données projet'!$B$11,Paramètres!$A$1:$I$89,3,0)*VLOOKUP('Données projet'!$B$11,Paramètres!$A$1:$I$89,5,0)</f>
        <v>167.82039999999992</v>
      </c>
      <c r="BF81" s="13">
        <f t="shared" si="91"/>
        <v>42.601499681535394</v>
      </c>
      <c r="BG81" s="20">
        <f t="shared" si="61"/>
        <v>366.48480861200733</v>
      </c>
      <c r="BH81" s="59">
        <f t="shared" si="62"/>
        <v>659.81814194534059</v>
      </c>
      <c r="BI81" s="59">
        <f ca="1">AVERAGE(OFFSET($BH$3,0,0,'Données projet'!$E$11+1,1))-AVERAGE(OFFSET($H$3,0,0,'Données projet'!$E$11+1,1))</f>
        <v>182.46132340647313</v>
      </c>
      <c r="BJ81" s="59">
        <f t="shared" si="92"/>
        <v>130.51706975490481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30.214187739227093</v>
      </c>
      <c r="BQ81" s="21">
        <f>EXP(-LN(2)/25)*BQ80+(1-EXP(-LN(2)/25))/(LN(2)/25)*Calculateur!BL81*Calculateur!BN81*VLOOKUP('Données projet'!$B$11,Paramètres!$A$1:$I$89,3,0)*0.475*44/12</f>
        <v>10.013549881672615</v>
      </c>
      <c r="BR81" s="21">
        <f>EXP(-LN(2)/2)*BR80+(1-EXP(-LN(2)/2))/(LN(2)/2)*BL81*BO81*VLOOKUP('Données projet'!$B$11,Paramètres!$A$1:$I$89,3,0)*0.475*44/12</f>
        <v>0.23874422454730559</v>
      </c>
      <c r="BS81" s="22">
        <f t="shared" si="63"/>
        <v>40.466481845447014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14.6</v>
      </c>
      <c r="BY81" s="12">
        <f>IF('Données projet'!$A$114&gt;35,BY80+BX81-CG80,IF(A81&lt;'Données projet'!$A$114,$BV$205^A81,IF(A81='Données projet'!$A$114,'Données projet'!$B$114,BY80+BX81-CG80)))</f>
        <v>746.80000000000007</v>
      </c>
      <c r="BZ81" s="13">
        <f>BY81*VLOOKUP('Données projet'!$B$12,Paramètres!$A$1:$I$89,3,0)*VLOOKUP('Données projet'!$B$12,Paramètres!$A$1:$I$89,5,0)</f>
        <v>300.96040000000005</v>
      </c>
      <c r="CA81" s="13">
        <f t="shared" si="93"/>
        <v>71.377762737097115</v>
      </c>
      <c r="CB81" s="20">
        <f t="shared" si="64"/>
        <v>648.48896676711081</v>
      </c>
      <c r="CC81" s="59">
        <f t="shared" si="65"/>
        <v>941.82230010044418</v>
      </c>
      <c r="CD81" s="59">
        <f ca="1">AVERAGE(OFFSET($CC$3,0,0,'Données projet'!$E$12+1,1))-AVERAGE(OFFSET($H$3,0,0,'Données projet'!$E$12+1,1))</f>
        <v>291.0962681460345</v>
      </c>
      <c r="CE81" s="59">
        <f t="shared" si="94"/>
        <v>240.28311826371385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43.125687275762225</v>
      </c>
      <c r="CL81" s="21">
        <f>EXP(-LN(2)/25)*CL80+(1-EXP(-LN(2)/25))/(LN(2)/25)*Calculateur!CG81*Calculateur!CI81*VLOOKUP('Données projet'!$B$12,Paramètres!$A$1:$I$89,3,0)*0.475*44/12</f>
        <v>21.863602760370338</v>
      </c>
      <c r="CM81" s="21">
        <f>EXP(-LN(2)/2)*CM80+(1-EXP(-LN(2)/2))/(LN(2)/2)*CG81*CJ81*VLOOKUP('Données projet'!$B$12,Paramètres!$A$1:$I$89,3,0)*0.475*44/12</f>
        <v>0.30166930232310502</v>
      </c>
      <c r="CN81" s="22">
        <f t="shared" si="66"/>
        <v>65.290959338455664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-1.1368683772161603E-13</v>
      </c>
      <c r="CU81" s="17">
        <f>CT81*VLOOKUP('Données projet'!$B$13,Paramètres!$A$1:$I$89,3,0)*VLOOKUP('Données projet'!$B$13,Paramètres!$A$1:$I$89,5,0)</f>
        <v>-5.3205440053716299E-14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225.92546546283018</v>
      </c>
      <c r="CZ81" s="59">
        <f t="shared" si="96"/>
        <v>309.38786160614563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63.05792294898059</v>
      </c>
      <c r="DG81" s="21">
        <f>EXP(-LN(2)/25)*DG80+(1-EXP(-LN(2)/25))/(LN(2)/25)*Calculateur!DB81*Calculateur!DD81*VLOOKUP('Données projet'!$B$13,Paramètres!$A$1:$I$89,3,0)*0.475*44/12</f>
        <v>53.134249999694497</v>
      </c>
      <c r="DH81" s="21">
        <f>EXP(-LN(2)/2)*DH80+(1-EXP(-LN(2)/2))/(LN(2)/2)*DB81*DE81*VLOOKUP('Données projet'!$B$13,Paramètres!$A$1:$I$89,3,0)*0.475*44/12</f>
        <v>1.4356754858940391E-7</v>
      </c>
      <c r="DI81" s="22">
        <f t="shared" si="69"/>
        <v>116.19217309224263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2.4</v>
      </c>
      <c r="DO81" s="12">
        <f>IF('Données projet'!$A$166&gt;35,DO80+DN81-DW80,IF(A81&lt;'Données projet'!$A$166,$DL$205^A81,IF(A81='Données projet'!$A$166,'Données projet'!$B$166,DO80+DN81-DW80)))</f>
        <v>155.19999999999999</v>
      </c>
      <c r="DP81" s="17">
        <f>DO81*VLOOKUP('Données projet'!$B$14,Paramètres!$A$1:$I$89,3,0)*VLOOKUP('Données projet'!$B$14,Paramètres!$A$1:$I$89,5,0)</f>
        <v>135.58272000000002</v>
      </c>
      <c r="DQ81" s="13">
        <f t="shared" si="97"/>
        <v>35.283188239937196</v>
      </c>
      <c r="DR81" s="20">
        <f t="shared" si="70"/>
        <v>297.591456851224</v>
      </c>
      <c r="DS81" s="59">
        <f t="shared" si="71"/>
        <v>590.92479018455731</v>
      </c>
      <c r="DT81" s="59">
        <f ca="1">AVERAGE(OFFSET($DS$3,0,0,'Données projet'!$E$14+1,1))-AVERAGE(OFFSET($H$3,0,0,'Données projet'!$E$14+1,1))</f>
        <v>150.06600397498823</v>
      </c>
      <c r="DU81" s="59">
        <f t="shared" si="98"/>
        <v>170.53034305929714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5.5671753822125751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5.5671753822125751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-5.3205440053716299E-14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294.94285920643927</v>
      </c>
      <c r="T82" s="59">
        <f t="shared" si="88"/>
        <v>399.89535338426606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94.686307511428808</v>
      </c>
      <c r="AA82" s="21">
        <f>EXP(-LN(2)/25)*AA81+(1-EXP(-LN(2)/25))/(LN(2)/25)*Calculateur!V82*Calculateur!X82*VLOOKUP('Données projet'!$B$9,Paramètres!$A$1:$I$89,3,0)*0.475*44/12</f>
        <v>81.400362590399027</v>
      </c>
      <c r="AB82" s="21">
        <f>EXP(-LN(2)/2)*AB81+(1-EXP(-LN(2)/2))/(LN(2)/2)*V82*Y82*VLOOKUP('Données projet'!$B$9,Paramètres!$A$1:$I$89,3,0)*0.475*44/12</f>
        <v>3.6565209362488687E-7</v>
      </c>
      <c r="AC82" s="22">
        <f t="shared" si="57"/>
        <v>176.08667046747993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-1.0197709343628959E-13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200.14675249215634</v>
      </c>
      <c r="AO82" s="59">
        <f t="shared" si="90"/>
        <v>200.55017434999968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89.04251961913738</v>
      </c>
      <c r="AV82" s="21">
        <f>EXP(-LN(2)/25)*AV81+(1-EXP(-LN(2)/25))/(LN(2)/25)*Calculateur!AQ82*Calculateur!AS82*VLOOKUP('Données projet'!$B$10,Paramètres!$A$1:$I$89,3,0)*0.475*44/12</f>
        <v>21.339464468631981</v>
      </c>
      <c r="AW82" s="21">
        <f>EXP(-LN(2)/2)*AW81+(1-EXP(-LN(2)/2))/(LN(2)/2)*AQ82*AT82*VLOOKUP('Données projet'!$B$10,Paramètres!$A$1:$I$89,3,0)*0.475*44/12</f>
        <v>4.4142865065042579E-2</v>
      </c>
      <c r="AX82" s="21">
        <f t="shared" si="60"/>
        <v>110.42612695283439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5.5269230769230742</v>
      </c>
      <c r="BD82" s="12">
        <f>IF('Données projet'!$A$88&gt;35,BD81+BC82-BL81,IF(A82&lt;'Données projet'!$A$88,$BA$205^A82,IF(A82='Données projet'!$A$88,'Données projet'!$B$88,BD81+BC82-BL81)))</f>
        <v>298.91923076923064</v>
      </c>
      <c r="BE82" s="13">
        <f>BD82*VLOOKUP('Données projet'!$B$11,Paramètres!$A$1:$I$89,3,0)*VLOOKUP('Données projet'!$B$11,Paramètres!$A$1:$I$89,5,0)</f>
        <v>170.98179999999994</v>
      </c>
      <c r="BF82" s="13">
        <f t="shared" si="91"/>
        <v>43.309840373388212</v>
      </c>
      <c r="BG82" s="20">
        <f t="shared" si="61"/>
        <v>373.22460698365103</v>
      </c>
      <c r="BH82" s="59">
        <f t="shared" si="62"/>
        <v>666.55794031698429</v>
      </c>
      <c r="BI82" s="59">
        <f ca="1">AVERAGE(OFFSET($BH$3,0,0,'Données projet'!$E$11+1,1))-AVERAGE(OFFSET($H$3,0,0,'Données projet'!$E$11+1,1))</f>
        <v>182.46132340647313</v>
      </c>
      <c r="BJ82" s="59">
        <f t="shared" si="92"/>
        <v>130.51706975490481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29.621705946495673</v>
      </c>
      <c r="BQ82" s="21">
        <f>EXP(-LN(2)/25)*BQ81+(1-EXP(-LN(2)/25))/(LN(2)/25)*Calculateur!BL82*Calculateur!BN82*VLOOKUP('Données projet'!$B$11,Paramètres!$A$1:$I$89,3,0)*0.475*44/12</f>
        <v>9.7397288335685754</v>
      </c>
      <c r="BR82" s="21">
        <f>EXP(-LN(2)/2)*BR81+(1-EXP(-LN(2)/2))/(LN(2)/2)*BL82*BO82*VLOOKUP('Données projet'!$B$11,Paramètres!$A$1:$I$89,3,0)*0.475*44/12</f>
        <v>0.16881766014652361</v>
      </c>
      <c r="BS82" s="22">
        <f t="shared" si="63"/>
        <v>39.530252440210774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14.6</v>
      </c>
      <c r="BY82" s="12">
        <f>IF('Données projet'!$A$114&gt;35,BY81+BX82-CG81,IF(A82&lt;'Données projet'!$A$114,$BV$205^A82,IF(A82='Données projet'!$A$114,'Données projet'!$B$114,BY81+BX82-CG81)))</f>
        <v>761.40000000000009</v>
      </c>
      <c r="BZ82" s="13">
        <f>BY82*VLOOKUP('Données projet'!$B$12,Paramètres!$A$1:$I$89,3,0)*VLOOKUP('Données projet'!$B$12,Paramètres!$A$1:$I$89,5,0)</f>
        <v>306.84420000000006</v>
      </c>
      <c r="CA82" s="13">
        <f t="shared" si="93"/>
        <v>72.609381564974782</v>
      </c>
      <c r="CB82" s="20">
        <f t="shared" si="64"/>
        <v>660.88165455899787</v>
      </c>
      <c r="CC82" s="59">
        <f t="shared" si="65"/>
        <v>954.21498789233124</v>
      </c>
      <c r="CD82" s="59">
        <f ca="1">AVERAGE(OFFSET($CC$3,0,0,'Données projet'!$E$12+1,1))-AVERAGE(OFFSET($H$3,0,0,'Données projet'!$E$12+1,1))</f>
        <v>291.0962681460345</v>
      </c>
      <c r="CE82" s="59">
        <f t="shared" si="94"/>
        <v>240.28311826371385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42.280018852356456</v>
      </c>
      <c r="CL82" s="21">
        <f>EXP(-LN(2)/25)*CL81+(1-EXP(-LN(2)/25))/(LN(2)/25)*Calculateur!CG82*Calculateur!CI82*VLOOKUP('Données projet'!$B$12,Paramètres!$A$1:$I$89,3,0)*0.475*44/12</f>
        <v>21.265741393131112</v>
      </c>
      <c r="CM82" s="21">
        <f>EXP(-LN(2)/2)*CM81+(1-EXP(-LN(2)/2))/(LN(2)/2)*CG82*CJ82*VLOOKUP('Données projet'!$B$12,Paramètres!$A$1:$I$89,3,0)*0.475*44/12</f>
        <v>0.21331240934848228</v>
      </c>
      <c r="CN82" s="22">
        <f t="shared" si="66"/>
        <v>63.759072654836054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-1.1368683772161603E-13</v>
      </c>
      <c r="CU82" s="17">
        <f>CT82*VLOOKUP('Données projet'!$B$13,Paramètres!$A$1:$I$89,3,0)*VLOOKUP('Données projet'!$B$13,Paramètres!$A$1:$I$89,5,0)</f>
        <v>-5.3205440053716299E-14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225.92546546283018</v>
      </c>
      <c r="CZ82" s="59">
        <f t="shared" si="96"/>
        <v>309.38786160614563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61.821395541486318</v>
      </c>
      <c r="DG82" s="21">
        <f>EXP(-LN(2)/25)*DG81+(1-EXP(-LN(2)/25))/(LN(2)/25)*Calculateur!DB82*Calculateur!DD82*VLOOKUP('Données projet'!$B$13,Paramètres!$A$1:$I$89,3,0)*0.475*44/12</f>
        <v>51.681291139244081</v>
      </c>
      <c r="DH82" s="21">
        <f>EXP(-LN(2)/2)*DH81+(1-EXP(-LN(2)/2))/(LN(2)/2)*DB82*DE82*VLOOKUP('Données projet'!$B$13,Paramètres!$A$1:$I$89,3,0)*0.475*44/12</f>
        <v>1.0151758716589666E-7</v>
      </c>
      <c r="DI82" s="22">
        <f t="shared" si="69"/>
        <v>113.50268678224798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2.4</v>
      </c>
      <c r="DO82" s="12">
        <f>IF('Données projet'!$A$166&gt;35,DO81+DN82-DW81,IF(A82&lt;'Données projet'!$A$166,$DL$205^A82,IF(A82='Données projet'!$A$166,'Données projet'!$B$166,DO81+DN82-DW81)))</f>
        <v>157.6</v>
      </c>
      <c r="DP82" s="17">
        <f>DO82*VLOOKUP('Données projet'!$B$14,Paramètres!$A$1:$I$89,3,0)*VLOOKUP('Données projet'!$B$14,Paramètres!$A$1:$I$89,5,0)</f>
        <v>137.67936</v>
      </c>
      <c r="DQ82" s="13">
        <f t="shared" si="97"/>
        <v>35.764863394856881</v>
      </c>
      <c r="DR82" s="20">
        <f t="shared" si="70"/>
        <v>302.08202241270902</v>
      </c>
      <c r="DS82" s="59">
        <f t="shared" si="71"/>
        <v>595.41535574604234</v>
      </c>
      <c r="DT82" s="59">
        <f ca="1">AVERAGE(OFFSET($DS$3,0,0,'Données projet'!$E$14+1,1))-AVERAGE(OFFSET($H$3,0,0,'Données projet'!$E$14+1,1))</f>
        <v>150.06600397498823</v>
      </c>
      <c r="DU82" s="59">
        <f t="shared" si="98"/>
        <v>170.53034305929714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5.4149406786209431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5.4149406786209431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-5.3205440053716299E-14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294.94285920643927</v>
      </c>
      <c r="T83" s="59">
        <f t="shared" si="88"/>
        <v>399.89535338426606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92.829566774074635</v>
      </c>
      <c r="AA83" s="21">
        <f>EXP(-LN(2)/25)*AA82+(1-EXP(-LN(2)/25))/(LN(2)/25)*Calculateur!V83*Calculateur!X83*VLOOKUP('Données projet'!$B$9,Paramètres!$A$1:$I$89,3,0)*0.475*44/12</f>
        <v>79.174465394705535</v>
      </c>
      <c r="AB83" s="21">
        <f>EXP(-LN(2)/2)*AB82+(1-EXP(-LN(2)/2))/(LN(2)/2)*V83*Y83*VLOOKUP('Données projet'!$B$9,Paramètres!$A$1:$I$89,3,0)*0.475*44/12</f>
        <v>2.5855507495721587E-7</v>
      </c>
      <c r="AC83" s="22">
        <f t="shared" si="57"/>
        <v>172.00403242733523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-1.0197709343628959E-13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200.14675249215634</v>
      </c>
      <c r="AO83" s="59">
        <f t="shared" si="90"/>
        <v>200.55017434999968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87.296450119980335</v>
      </c>
      <c r="AV83" s="21">
        <f>EXP(-LN(2)/25)*AV82+(1-EXP(-LN(2)/25))/(LN(2)/25)*Calculateur!AQ83*Calculateur!AS83*VLOOKUP('Données projet'!$B$10,Paramètres!$A$1:$I$89,3,0)*0.475*44/12</f>
        <v>20.755935690543573</v>
      </c>
      <c r="AW83" s="21">
        <f>EXP(-LN(2)/2)*AW82+(1-EXP(-LN(2)/2))/(LN(2)/2)*AQ83*AT83*VLOOKUP('Données projet'!$B$10,Paramètres!$A$1:$I$89,3,0)*0.475*44/12</f>
        <v>3.1213719228494356E-2</v>
      </c>
      <c r="AX83" s="21">
        <f t="shared" si="60"/>
        <v>108.08359952975239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304.44615384615383</v>
      </c>
      <c r="BB83" s="12">
        <f>VLOOKUP(A83,'Données projet'!$A$87:$I$107,9,0)</f>
        <v>5.5269230769230742</v>
      </c>
      <c r="BC83" s="12">
        <f t="array" ref="BC83">INDEX(BB:BB,MIN(IF(ISNUMBER(BB83:BB279),ROW(BB83:BB279),"")))</f>
        <v>5.5269230769230742</v>
      </c>
      <c r="BD83" s="12">
        <f>IF('Données projet'!$A$88&gt;35,BD82+BC83-BL82,IF(A83&lt;'Données projet'!$A$88,$BA$205^A83,IF(A83='Données projet'!$A$88,'Données projet'!$B$88,BD82+BC83-BL82)))</f>
        <v>304.44615384615372</v>
      </c>
      <c r="BE83" s="13">
        <f>BD83*VLOOKUP('Données projet'!$B$11,Paramètres!$A$1:$I$89,3,0)*VLOOKUP('Données projet'!$B$11,Paramètres!$A$1:$I$89,5,0)</f>
        <v>174.14319999999992</v>
      </c>
      <c r="BF83" s="13">
        <f t="shared" si="91"/>
        <v>44.016658122288042</v>
      </c>
      <c r="BG83" s="20">
        <f t="shared" si="61"/>
        <v>379.96175289631816</v>
      </c>
      <c r="BH83" s="59">
        <f t="shared" si="62"/>
        <v>673.29508622965147</v>
      </c>
      <c r="BI83" s="59">
        <f ca="1">AVERAGE(OFFSET($BH$3,0,0,'Données projet'!$E$11+1,1))-AVERAGE(OFFSET($H$3,0,0,'Données projet'!$E$11+1,1))</f>
        <v>182.46132340647313</v>
      </c>
      <c r="BJ83" s="59">
        <f t="shared" si="92"/>
        <v>130.51706975490481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34.915384615384617</v>
      </c>
      <c r="BM83" s="16">
        <f>IF(ISNA(VLOOKUP(A83,'Données projet'!$A$87:$I$107,5,0)),0%,VLOOKUP(A83,'Données projet'!$A$87:$I$107,5,0)*VLOOKUP('Données projet'!$B$11,Paramètres!$A$1:$I$89,7,0))</f>
        <v>0.315</v>
      </c>
      <c r="BN83" s="16">
        <f>IF(ISNA(VLOOKUP(A83,'Données projet'!$A$87:$I$107,6,0)),0%,VLOOKUP(A83,'Données projet'!$A$87:$I$107,6,0)*VLOOKUP('Données projet'!$B$11,Paramètres!$A$1:$I$89,7,0))</f>
        <v>7.6500000000000012E-2</v>
      </c>
      <c r="BO83" s="16">
        <f>IF(ISNA(VLOOKUP(A83,'Données projet'!$A$87:$I$107,7,0)),0%,VLOOKUP(A83,'Données projet'!$A$87:$I$107,7,0))</f>
        <v>0.13</v>
      </c>
      <c r="BP83" s="21">
        <f>EXP(-LN(2)/35)*BP82+(1-EXP(-LN(2)/35))/(LN(2)/35)*BL83*BM83*VLOOKUP('Données projet'!$B$11,Paramètres!$A$1:$I$89,3,0)*0.475*44/12</f>
        <v>37.386330983992245</v>
      </c>
      <c r="BQ83" s="21">
        <f>EXP(-LN(2)/25)*BQ82+(1-EXP(-LN(2)/25))/(LN(2)/25)*Calculateur!BL83*Calculateur!BN83*VLOOKUP('Données projet'!$B$11,Paramètres!$A$1:$I$89,3,0)*0.475*44/12</f>
        <v>11.492176826938884</v>
      </c>
      <c r="BR83" s="21">
        <f>EXP(-LN(2)/2)*BR82+(1-EXP(-LN(2)/2))/(LN(2)/2)*BL83*BO83*VLOOKUP('Données projet'!$B$11,Paramètres!$A$1:$I$89,3,0)*0.475*44/12</f>
        <v>3.0589958841999967</v>
      </c>
      <c r="BS83" s="22">
        <f t="shared" si="63"/>
        <v>51.93750369513112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776</v>
      </c>
      <c r="BW83" s="12">
        <f>VLOOKUP(A83,'Données projet'!$A$113:$I$133,9,0)</f>
        <v>14.6</v>
      </c>
      <c r="BX83" s="12">
        <f t="array" ref="BX83">INDEX(BW:BW,MIN(IF(ISNUMBER(BW83:BW279),ROW(BW83:BW279),"")))</f>
        <v>14.6</v>
      </c>
      <c r="BY83" s="12">
        <f>IF('Données projet'!$A$114&gt;35,BY82+BX83-CG82,IF(A83&lt;'Données projet'!$A$114,$BV$205^A83,IF(A83='Données projet'!$A$114,'Données projet'!$B$114,BY82+BX83-CG82)))</f>
        <v>776.00000000000011</v>
      </c>
      <c r="BZ83" s="13">
        <f>BY83*VLOOKUP('Données projet'!$B$12,Paramètres!$A$1:$I$89,3,0)*VLOOKUP('Données projet'!$B$12,Paramètres!$A$1:$I$89,5,0)</f>
        <v>312.72800000000007</v>
      </c>
      <c r="CA83" s="13">
        <f t="shared" si="93"/>
        <v>73.838254315053803</v>
      </c>
      <c r="CB83" s="20">
        <f t="shared" si="64"/>
        <v>673.26955959871884</v>
      </c>
      <c r="CC83" s="59">
        <f t="shared" si="65"/>
        <v>966.6028929320521</v>
      </c>
      <c r="CD83" s="59">
        <f ca="1">AVERAGE(OFFSET($CC$3,0,0,'Données projet'!$E$12+1,1))-AVERAGE(OFFSET($H$3,0,0,'Données projet'!$E$12+1,1))</f>
        <v>291.0962681460345</v>
      </c>
      <c r="CE83" s="59">
        <f t="shared" si="94"/>
        <v>240.28311826371385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41</v>
      </c>
      <c r="CH83" s="16">
        <f>IF(ISNA(VLOOKUP(A83,'Données projet'!$A$113:$I$133,5,0)),0%,VLOOKUP(A83,'Données projet'!$A$113:$I$133,5,0)*VLOOKUP('Données projet'!$B$12,Paramètres!$A$1:$I$89,7,0))</f>
        <v>0.46951219512195125</v>
      </c>
      <c r="CI83" s="16">
        <f>IF(ISNA(VLOOKUP(A83,'Données projet'!$A$113:$I$133,6,0)),0%,VLOOKUP(A83,'Données projet'!$A$113:$I$133,6,0)*VLOOKUP('Données projet'!$B$12,Paramètres!$A$1:$I$89,7,0))</f>
        <v>5.365853658536586E-2</v>
      </c>
      <c r="CJ83" s="16">
        <f>IF(ISNA(VLOOKUP(A83,'Données projet'!$A$113:$I$133,7,0)),0%,VLOOKUP(A83,'Données projet'!$A$113:$I$133,7,0))</f>
        <v>2.4390243902439025E-2</v>
      </c>
      <c r="CK83" s="21">
        <f>EXP(-LN(2)/35)*CK82+(1-EXP(-LN(2)/35))/(LN(2)/35)*CG83*CH83*VLOOKUP('Données projet'!$B$12,Paramètres!$A$1:$I$89,3,0)*0.475*44/12</f>
        <v>51.742088875112955</v>
      </c>
      <c r="CL83" s="21">
        <f>EXP(-LN(2)/25)*CL82+(1-EXP(-LN(2)/25))/(LN(2)/25)*Calculateur!CG83*Calculateur!CI83*VLOOKUP('Données projet'!$B$12,Paramètres!$A$1:$I$89,3,0)*0.475*44/12</f>
        <v>21.855729742604598</v>
      </c>
      <c r="CM83" s="21">
        <f>EXP(-LN(2)/2)*CM82+(1-EXP(-LN(2)/2))/(LN(2)/2)*CG83*CJ83*VLOOKUP('Données projet'!$B$12,Paramètres!$A$1:$I$89,3,0)*0.475*44/12</f>
        <v>0.60712426706471834</v>
      </c>
      <c r="CN83" s="22">
        <f t="shared" si="66"/>
        <v>74.20494288478227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-1.1368683772161603E-13</v>
      </c>
      <c r="CU83" s="17">
        <f>CT83*VLOOKUP('Données projet'!$B$13,Paramètres!$A$1:$I$89,3,0)*VLOOKUP('Données projet'!$B$13,Paramètres!$A$1:$I$89,5,0)</f>
        <v>-5.3205440053716299E-14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225.92546546283018</v>
      </c>
      <c r="CZ83" s="59">
        <f t="shared" si="96"/>
        <v>309.38786160614563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60.609115682245765</v>
      </c>
      <c r="DG83" s="21">
        <f>EXP(-LN(2)/25)*DG82+(1-EXP(-LN(2)/25))/(LN(2)/25)*Calculateur!DB83*Calculateur!DD83*VLOOKUP('Données projet'!$B$13,Paramètres!$A$1:$I$89,3,0)*0.475*44/12</f>
        <v>50.26806351524047</v>
      </c>
      <c r="DH83" s="21">
        <f>EXP(-LN(2)/2)*DH82+(1-EXP(-LN(2)/2))/(LN(2)/2)*DB83*DE83*VLOOKUP('Données projet'!$B$13,Paramètres!$A$1:$I$89,3,0)*0.475*44/12</f>
        <v>7.1783774294701956E-8</v>
      </c>
      <c r="DI83" s="22">
        <f t="shared" si="69"/>
        <v>110.87717926927002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160</v>
      </c>
      <c r="DM83" s="12">
        <f>VLOOKUP(A83,'Données projet'!$A$165:$I$185,9,0)</f>
        <v>2.4</v>
      </c>
      <c r="DN83" s="12">
        <f t="array" ref="DN83">INDEX(DM:DM,MIN(IF(ISNUMBER(DM83:DM279),ROW(DM83:DM279),"")))</f>
        <v>2.4</v>
      </c>
      <c r="DO83" s="12">
        <f>IF('Données projet'!$A$166&gt;35,DO82+DN83-DW82,IF(A83&lt;'Données projet'!$A$166,$DL$205^A83,IF(A83='Données projet'!$A$166,'Données projet'!$B$166,DO82+DN83-DW82)))</f>
        <v>160</v>
      </c>
      <c r="DP83" s="17">
        <f>DO83*VLOOKUP('Données projet'!$B$14,Paramètres!$A$1:$I$89,3,0)*VLOOKUP('Données projet'!$B$14,Paramètres!$A$1:$I$89,5,0)</f>
        <v>139.77600000000001</v>
      </c>
      <c r="DQ83" s="13">
        <f t="shared" si="97"/>
        <v>36.245685459195286</v>
      </c>
      <c r="DR83" s="20">
        <f t="shared" si="70"/>
        <v>306.57110217476514</v>
      </c>
      <c r="DS83" s="59">
        <f t="shared" si="71"/>
        <v>599.90443550809846</v>
      </c>
      <c r="DT83" s="59">
        <f ca="1">AVERAGE(OFFSET($DS$3,0,0,'Données projet'!$E$14+1,1))-AVERAGE(OFFSET($H$3,0,0,'Données projet'!$E$14+1,1))</f>
        <v>150.06600397498823</v>
      </c>
      <c r="DU83" s="59">
        <f t="shared" si="98"/>
        <v>170.53034305929714</v>
      </c>
      <c r="DV83" s="15">
        <f>IF(ISNA(VLOOKUP(A83,'Données projet'!$A$165:$I$185,3,0)),0,VLOOKUP(A83,'Données projet'!$A$165:$I$185,3,0))</f>
        <v>11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0.215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6.9213995202858873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6.9213995202858873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-5.3205440053716299E-14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294.94285920643927</v>
      </c>
      <c r="T84" s="59">
        <f t="shared" si="88"/>
        <v>399.89535338426606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91.009235590079953</v>
      </c>
      <c r="AA84" s="21">
        <f>EXP(-LN(2)/25)*AA83+(1-EXP(-LN(2)/25))/(LN(2)/25)*Calculateur!V84*Calculateur!X84*VLOOKUP('Données projet'!$B$9,Paramètres!$A$1:$I$89,3,0)*0.475*44/12</f>
        <v>77.009435474883134</v>
      </c>
      <c r="AB84" s="21">
        <f>EXP(-LN(2)/2)*AB83+(1-EXP(-LN(2)/2))/(LN(2)/2)*V84*Y84*VLOOKUP('Données projet'!$B$9,Paramètres!$A$1:$I$89,3,0)*0.475*44/12</f>
        <v>1.8282604681244344E-7</v>
      </c>
      <c r="AC84" s="22">
        <f t="shared" si="57"/>
        <v>168.01867124778914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-1.0197709343628959E-13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200.14675249215634</v>
      </c>
      <c r="AO84" s="59">
        <f t="shared" si="90"/>
        <v>200.55017434999968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85.584619978704524</v>
      </c>
      <c r="AV84" s="21">
        <f>EXP(-LN(2)/25)*AV83+(1-EXP(-LN(2)/25))/(LN(2)/25)*Calculateur!AQ84*Calculateur!AS84*VLOOKUP('Données projet'!$B$10,Paramètres!$A$1:$I$89,3,0)*0.475*44/12</f>
        <v>20.188363537578439</v>
      </c>
      <c r="AW84" s="21">
        <f>EXP(-LN(2)/2)*AW83+(1-EXP(-LN(2)/2))/(LN(2)/2)*AQ84*AT84*VLOOKUP('Données projet'!$B$10,Paramètres!$A$1:$I$89,3,0)*0.475*44/12</f>
        <v>2.2071432532521293E-2</v>
      </c>
      <c r="AX84" s="21">
        <f t="shared" si="60"/>
        <v>105.79505494881549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4.7676923076923057</v>
      </c>
      <c r="BD84" s="12">
        <f>IF('Données projet'!$A$88&gt;35,BD83+BC84-BL83,IF(A84&lt;'Données projet'!$A$88,$BA$205^A84,IF(A84='Données projet'!$A$88,'Données projet'!$B$88,BD83+BC84-BL83)))</f>
        <v>274.29846153846142</v>
      </c>
      <c r="BE84" s="13">
        <f>BD84*VLOOKUP('Données projet'!$B$11,Paramètres!$A$1:$I$89,3,0)*VLOOKUP('Données projet'!$B$11,Paramètres!$A$1:$I$89,5,0)</f>
        <v>156.89871999999994</v>
      </c>
      <c r="BF84" s="13">
        <f t="shared" si="91"/>
        <v>40.142218193023027</v>
      </c>
      <c r="BG84" s="20">
        <f t="shared" si="61"/>
        <v>343.17963401951494</v>
      </c>
      <c r="BH84" s="59">
        <f t="shared" si="62"/>
        <v>636.51296735284825</v>
      </c>
      <c r="BI84" s="59">
        <f ca="1">AVERAGE(OFFSET($BH$3,0,0,'Données projet'!$E$11+1,1))-AVERAGE(OFFSET($H$3,0,0,'Données projet'!$E$11+1,1))</f>
        <v>182.46132340647313</v>
      </c>
      <c r="BJ84" s="59">
        <f t="shared" si="92"/>
        <v>130.51706975490481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36.653207836806409</v>
      </c>
      <c r="BQ84" s="21">
        <f>EXP(-LN(2)/25)*BQ83+(1-EXP(-LN(2)/25))/(LN(2)/25)*Calculateur!BL84*Calculateur!BN84*VLOOKUP('Données projet'!$B$11,Paramètres!$A$1:$I$89,3,0)*0.475*44/12</f>
        <v>11.177922647258926</v>
      </c>
      <c r="BR84" s="21">
        <f>EXP(-LN(2)/2)*BR83+(1-EXP(-LN(2)/2))/(LN(2)/2)*BL84*BO84*VLOOKUP('Données projet'!$B$11,Paramètres!$A$1:$I$89,3,0)*0.475*44/12</f>
        <v>2.1630367333395566</v>
      </c>
      <c r="BS84" s="22">
        <f t="shared" si="63"/>
        <v>49.994167217404893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735.00000000000011</v>
      </c>
      <c r="BZ84" s="13">
        <f>BY84*VLOOKUP('Données projet'!$B$12,Paramètres!$A$1:$I$89,3,0)*VLOOKUP('Données projet'!$B$12,Paramètres!$A$1:$I$89,5,0)</f>
        <v>296.20500000000004</v>
      </c>
      <c r="CA84" s="13">
        <f t="shared" si="93"/>
        <v>70.380297204000939</v>
      </c>
      <c r="CB84" s="20">
        <f t="shared" si="64"/>
        <v>638.46939263030174</v>
      </c>
      <c r="CC84" s="59">
        <f t="shared" si="65"/>
        <v>931.80272596363511</v>
      </c>
      <c r="CD84" s="59">
        <f ca="1">AVERAGE(OFFSET($CC$3,0,0,'Données projet'!$E$12+1,1))-AVERAGE(OFFSET($H$3,0,0,'Données projet'!$E$12+1,1))</f>
        <v>291.0962681460345</v>
      </c>
      <c r="CE84" s="59">
        <f t="shared" si="94"/>
        <v>240.28311826371385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50.727458071829957</v>
      </c>
      <c r="CL84" s="21">
        <f>EXP(-LN(2)/25)*CL83+(1-EXP(-LN(2)/25))/(LN(2)/25)*Calculateur!CG84*Calculateur!CI84*VLOOKUP('Données projet'!$B$12,Paramètres!$A$1:$I$89,3,0)*0.475*44/12</f>
        <v>21.258083663450201</v>
      </c>
      <c r="CM84" s="21">
        <f>EXP(-LN(2)/2)*CM83+(1-EXP(-LN(2)/2))/(LN(2)/2)*CG84*CJ84*VLOOKUP('Données projet'!$B$12,Paramètres!$A$1:$I$89,3,0)*0.475*44/12</f>
        <v>0.42930168626437487</v>
      </c>
      <c r="CN84" s="22">
        <f t="shared" si="66"/>
        <v>72.414843421544532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-5.3205440053716299E-14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225.92546546283018</v>
      </c>
      <c r="CZ84" s="59">
        <f t="shared" si="96"/>
        <v>309.38786160614563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59.420607891627213</v>
      </c>
      <c r="DG84" s="21">
        <f>EXP(-LN(2)/25)*DG83+(1-EXP(-LN(2)/25))/(LN(2)/25)*Calculateur!DB84*Calculateur!DD84*VLOOKUP('Données projet'!$B$13,Paramètres!$A$1:$I$89,3,0)*0.475*44/12</f>
        <v>48.893480674933649</v>
      </c>
      <c r="DH84" s="21">
        <f>EXP(-LN(2)/2)*DH83+(1-EXP(-LN(2)/2))/(LN(2)/2)*DB84*DE84*VLOOKUP('Données projet'!$B$13,Paramètres!$A$1:$I$89,3,0)*0.475*44/12</f>
        <v>5.0758793582948332E-8</v>
      </c>
      <c r="DI84" s="22">
        <f t="shared" si="69"/>
        <v>108.31408861731965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2.6</v>
      </c>
      <c r="DO84" s="12">
        <f>IF('Données projet'!$A$166&gt;35,DO83+DN84-DW83,IF(A84&lt;'Données projet'!$A$166,$DL$205^A84,IF(A84='Données projet'!$A$166,'Données projet'!$B$166,DO83+DN84-DW83)))</f>
        <v>154.6</v>
      </c>
      <c r="DP84" s="17">
        <f>DO84*VLOOKUP('Données projet'!$B$14,Paramètres!$A$1:$I$89,3,0)*VLOOKUP('Données projet'!$B$14,Paramètres!$A$1:$I$89,5,0)</f>
        <v>135.05856000000003</v>
      </c>
      <c r="DQ84" s="13">
        <f t="shared" si="97"/>
        <v>35.16263443880888</v>
      </c>
      <c r="DR84" s="20">
        <f t="shared" si="70"/>
        <v>296.46858031425882</v>
      </c>
      <c r="DS84" s="59">
        <f t="shared" si="71"/>
        <v>589.80191364759207</v>
      </c>
      <c r="DT84" s="59">
        <f ca="1">AVERAGE(OFFSET($DS$3,0,0,'Données projet'!$E$14+1,1))-AVERAGE(OFFSET($H$3,0,0,'Données projet'!$E$14+1,1))</f>
        <v>150.06600397498823</v>
      </c>
      <c r="DU84" s="59">
        <f t="shared" si="98"/>
        <v>170.53034305929714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6.7321334864230877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6.7321334864230877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-5.3205440053716299E-14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294.94285920643927</v>
      </c>
      <c r="T85" s="59">
        <f t="shared" si="88"/>
        <v>399.89535338426606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89.22459999031102</v>
      </c>
      <c r="AA85" s="21">
        <f>EXP(-LN(2)/25)*AA84+(1-EXP(-LN(2)/25))/(LN(2)/25)*Calculateur!V85*Calculateur!X85*VLOOKUP('Données projet'!$B$9,Paramètres!$A$1:$I$89,3,0)*0.475*44/12</f>
        <v>74.903608412072245</v>
      </c>
      <c r="AB85" s="21">
        <f>EXP(-LN(2)/2)*AB84+(1-EXP(-LN(2)/2))/(LN(2)/2)*V85*Y85*VLOOKUP('Données projet'!$B$9,Paramètres!$A$1:$I$89,3,0)*0.475*44/12</f>
        <v>1.2927753747860794E-7</v>
      </c>
      <c r="AC85" s="22">
        <f t="shared" si="57"/>
        <v>164.12820853166082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-1.0197709343628959E-13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200.14675249215634</v>
      </c>
      <c r="AO85" s="59">
        <f t="shared" si="90"/>
        <v>200.55017434999968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83.906357782385854</v>
      </c>
      <c r="AV85" s="21">
        <f>EXP(-LN(2)/25)*AV84+(1-EXP(-LN(2)/25))/(LN(2)/25)*Calculateur!AQ85*Calculateur!AS85*VLOOKUP('Données projet'!$B$10,Paramètres!$A$1:$I$89,3,0)*0.475*44/12</f>
        <v>19.63631167498346</v>
      </c>
      <c r="AW85" s="21">
        <f>EXP(-LN(2)/2)*AW84+(1-EXP(-LN(2)/2))/(LN(2)/2)*AQ85*AT85*VLOOKUP('Données projet'!$B$10,Paramètres!$A$1:$I$89,3,0)*0.475*44/12</f>
        <v>1.5606859614247182E-2</v>
      </c>
      <c r="AX85" s="21">
        <f t="shared" si="60"/>
        <v>103.55827631698357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4.7676923076923057</v>
      </c>
      <c r="BD85" s="12">
        <f>IF('Données projet'!$A$88&gt;35,BD84+BC85-BL84,IF(A85&lt;'Données projet'!$A$88,$BA$205^A85,IF(A85='Données projet'!$A$88,'Données projet'!$B$88,BD84+BC85-BL84)))</f>
        <v>279.06615384615372</v>
      </c>
      <c r="BE85" s="13">
        <f>BD85*VLOOKUP('Données projet'!$B$11,Paramètres!$A$1:$I$89,3,0)*VLOOKUP('Données projet'!$B$11,Paramètres!$A$1:$I$89,5,0)</f>
        <v>159.62583999999993</v>
      </c>
      <c r="BF85" s="13">
        <f t="shared" si="91"/>
        <v>40.758111078359093</v>
      </c>
      <c r="BG85" s="20">
        <f t="shared" si="61"/>
        <v>349.00204812814195</v>
      </c>
      <c r="BH85" s="59">
        <f t="shared" si="62"/>
        <v>642.33538146147521</v>
      </c>
      <c r="BI85" s="59">
        <f ca="1">AVERAGE(OFFSET($BH$3,0,0,'Données projet'!$E$11+1,1))-AVERAGE(OFFSET($H$3,0,0,'Données projet'!$E$11+1,1))</f>
        <v>182.46132340647313</v>
      </c>
      <c r="BJ85" s="59">
        <f t="shared" si="92"/>
        <v>130.51706975490481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35.934460787375919</v>
      </c>
      <c r="BQ85" s="21">
        <f>EXP(-LN(2)/25)*BQ84+(1-EXP(-LN(2)/25))/(LN(2)/25)*Calculateur!BL85*Calculateur!BN85*VLOOKUP('Données projet'!$B$11,Paramètres!$A$1:$I$89,3,0)*0.475*44/12</f>
        <v>10.872261764648226</v>
      </c>
      <c r="BR85" s="21">
        <f>EXP(-LN(2)/2)*BR84+(1-EXP(-LN(2)/2))/(LN(2)/2)*BL85*BO85*VLOOKUP('Données projet'!$B$11,Paramètres!$A$1:$I$89,3,0)*0.475*44/12</f>
        <v>1.5294979420999986</v>
      </c>
      <c r="BS85" s="22">
        <f t="shared" si="63"/>
        <v>48.336220494124142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735.00000000000011</v>
      </c>
      <c r="BZ85" s="13">
        <f>BY85*VLOOKUP('Données projet'!$B$12,Paramètres!$A$1:$I$89,3,0)*VLOOKUP('Données projet'!$B$12,Paramètres!$A$1:$I$89,5,0)</f>
        <v>296.20500000000004</v>
      </c>
      <c r="CA85" s="13">
        <f t="shared" si="93"/>
        <v>70.380297204000939</v>
      </c>
      <c r="CB85" s="20">
        <f t="shared" si="64"/>
        <v>638.46939263030174</v>
      </c>
      <c r="CC85" s="59">
        <f t="shared" si="65"/>
        <v>931.80272596363511</v>
      </c>
      <c r="CD85" s="59">
        <f ca="1">AVERAGE(OFFSET($CC$3,0,0,'Données projet'!$E$12+1,1))-AVERAGE(OFFSET($H$3,0,0,'Données projet'!$E$12+1,1))</f>
        <v>291.0962681460345</v>
      </c>
      <c r="CE85" s="59">
        <f t="shared" si="94"/>
        <v>240.28311826371385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49.732723559735653</v>
      </c>
      <c r="CL85" s="21">
        <f>EXP(-LN(2)/25)*CL84+(1-EXP(-LN(2)/25))/(LN(2)/25)*Calculateur!CG85*Calculateur!CI85*VLOOKUP('Données projet'!$B$12,Paramètres!$A$1:$I$89,3,0)*0.475*44/12</f>
        <v>20.676780247759122</v>
      </c>
      <c r="CM85" s="21">
        <f>EXP(-LN(2)/2)*CM84+(1-EXP(-LN(2)/2))/(LN(2)/2)*CG85*CJ85*VLOOKUP('Données projet'!$B$12,Paramètres!$A$1:$I$89,3,0)*0.475*44/12</f>
        <v>0.30356213353235922</v>
      </c>
      <c r="CN85" s="22">
        <f t="shared" si="66"/>
        <v>70.713065941027125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-5.3205440053716299E-14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225.92546546283018</v>
      </c>
      <c r="CZ85" s="59">
        <f t="shared" si="96"/>
        <v>309.38786160614563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58.255406013864523</v>
      </c>
      <c r="DG85" s="21">
        <f>EXP(-LN(2)/25)*DG84+(1-EXP(-LN(2)/25))/(LN(2)/25)*Calculateur!DB85*Calculateur!DD85*VLOOKUP('Données projet'!$B$13,Paramètres!$A$1:$I$89,3,0)*0.475*44/12</f>
        <v>47.556485874681186</v>
      </c>
      <c r="DH85" s="21">
        <f>EXP(-LN(2)/2)*DH84+(1-EXP(-LN(2)/2))/(LN(2)/2)*DB85*DE85*VLOOKUP('Données projet'!$B$13,Paramètres!$A$1:$I$89,3,0)*0.475*44/12</f>
        <v>3.5891887147350978E-8</v>
      </c>
      <c r="DI85" s="22">
        <f t="shared" si="69"/>
        <v>105.8118919244376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2.6</v>
      </c>
      <c r="DO85" s="12">
        <f>IF('Données projet'!$A$166&gt;35,DO84+DN85-DW84,IF(A85&lt;'Données projet'!$A$166,$DL$205^A85,IF(A85='Données projet'!$A$166,'Données projet'!$B$166,DO84+DN85-DW84)))</f>
        <v>157.19999999999999</v>
      </c>
      <c r="DP85" s="17">
        <f>DO85*VLOOKUP('Données projet'!$B$14,Paramètres!$A$1:$I$89,3,0)*VLOOKUP('Données projet'!$B$14,Paramètres!$A$1:$I$89,5,0)</f>
        <v>137.32991999999999</v>
      </c>
      <c r="DQ85" s="13">
        <f t="shared" si="97"/>
        <v>35.684643836992151</v>
      </c>
      <c r="DR85" s="20">
        <f t="shared" si="70"/>
        <v>301.33369868276128</v>
      </c>
      <c r="DS85" s="59">
        <f t="shared" si="71"/>
        <v>594.66703201609459</v>
      </c>
      <c r="DT85" s="59">
        <f ca="1">AVERAGE(OFFSET($DS$3,0,0,'Données projet'!$E$14+1,1))-AVERAGE(OFFSET($H$3,0,0,'Données projet'!$E$14+1,1))</f>
        <v>150.06600397498823</v>
      </c>
      <c r="DU85" s="59">
        <f t="shared" si="98"/>
        <v>170.53034305929714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6.5480429422093351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6.5480429422093351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-5.3205440053716299E-14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294.94285920643927</v>
      </c>
      <c r="T86" s="59">
        <f t="shared" si="88"/>
        <v>399.89535338426606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87.47496000613333</v>
      </c>
      <c r="AA86" s="21">
        <f>EXP(-LN(2)/25)*AA85+(1-EXP(-LN(2)/25))/(LN(2)/25)*Calculateur!V86*Calculateur!X86*VLOOKUP('Données projet'!$B$9,Paramètres!$A$1:$I$89,3,0)*0.475*44/12</f>
        <v>72.855365301034553</v>
      </c>
      <c r="AB86" s="21">
        <f>EXP(-LN(2)/2)*AB85+(1-EXP(-LN(2)/2))/(LN(2)/2)*V86*Y86*VLOOKUP('Données projet'!$B$9,Paramètres!$A$1:$I$89,3,0)*0.475*44/12</f>
        <v>9.1413023406221719E-8</v>
      </c>
      <c r="AC86" s="22">
        <f t="shared" si="57"/>
        <v>160.3303253985809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-1.0197709343628959E-13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200.14675249215634</v>
      </c>
      <c r="AO86" s="59">
        <f t="shared" si="90"/>
        <v>200.55017434999968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82.261005284098118</v>
      </c>
      <c r="AV86" s="21">
        <f>EXP(-LN(2)/25)*AV85+(1-EXP(-LN(2)/25))/(LN(2)/25)*Calculateur!AQ86*Calculateur!AS86*VLOOKUP('Données projet'!$B$10,Paramètres!$A$1:$I$89,3,0)*0.475*44/12</f>
        <v>19.099355699602285</v>
      </c>
      <c r="AW86" s="21">
        <f>EXP(-LN(2)/2)*AW85+(1-EXP(-LN(2)/2))/(LN(2)/2)*AQ86*AT86*VLOOKUP('Données projet'!$B$10,Paramètres!$A$1:$I$89,3,0)*0.475*44/12</f>
        <v>1.1035716266260648E-2</v>
      </c>
      <c r="AX86" s="21">
        <f t="shared" si="60"/>
        <v>101.37139669996667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4.7676923076923057</v>
      </c>
      <c r="BD86" s="12">
        <f>IF('Données projet'!$A$88&gt;35,BD85+BC86-BL85,IF(A86&lt;'Données projet'!$A$88,$BA$205^A86,IF(A86='Données projet'!$A$88,'Données projet'!$B$88,BD85+BC86-BL85)))</f>
        <v>283.83384615384603</v>
      </c>
      <c r="BE86" s="13">
        <f>BD86*VLOOKUP('Données projet'!$B$11,Paramètres!$A$1:$I$89,3,0)*VLOOKUP('Données projet'!$B$11,Paramètres!$A$1:$I$89,5,0)</f>
        <v>162.35295999999994</v>
      </c>
      <c r="BF86" s="13">
        <f t="shared" si="91"/>
        <v>41.37278033457838</v>
      </c>
      <c r="BG86" s="20">
        <f t="shared" si="61"/>
        <v>354.82233108272385</v>
      </c>
      <c r="BH86" s="59">
        <f t="shared" si="62"/>
        <v>648.15566441605711</v>
      </c>
      <c r="BI86" s="59">
        <f ca="1">AVERAGE(OFFSET($BH$3,0,0,'Données projet'!$E$11+1,1))-AVERAGE(OFFSET($H$3,0,0,'Données projet'!$E$11+1,1))</f>
        <v>182.46132340647313</v>
      </c>
      <c r="BJ86" s="59">
        <f t="shared" si="92"/>
        <v>130.51706975490481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35.229807929192347</v>
      </c>
      <c r="BQ86" s="21">
        <f>EXP(-LN(2)/25)*BQ85+(1-EXP(-LN(2)/25))/(LN(2)/25)*Calculateur!BL86*Calculateur!BN86*VLOOKUP('Données projet'!$B$11,Paramètres!$A$1:$I$89,3,0)*0.475*44/12</f>
        <v>10.574959194946523</v>
      </c>
      <c r="BR86" s="21">
        <f>EXP(-LN(2)/2)*BR85+(1-EXP(-LN(2)/2))/(LN(2)/2)*BL86*BO86*VLOOKUP('Données projet'!$B$11,Paramètres!$A$1:$I$89,3,0)*0.475*44/12</f>
        <v>1.0815183666697785</v>
      </c>
      <c r="BS86" s="22">
        <f t="shared" si="63"/>
        <v>46.886285490808646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735.00000000000011</v>
      </c>
      <c r="BZ86" s="13">
        <f>BY86*VLOOKUP('Données projet'!$B$12,Paramètres!$A$1:$I$89,3,0)*VLOOKUP('Données projet'!$B$12,Paramètres!$A$1:$I$89,5,0)</f>
        <v>296.20500000000004</v>
      </c>
      <c r="CA86" s="13">
        <f t="shared" si="93"/>
        <v>70.380297204000939</v>
      </c>
      <c r="CB86" s="20">
        <f t="shared" si="64"/>
        <v>638.46939263030174</v>
      </c>
      <c r="CC86" s="59">
        <f t="shared" si="65"/>
        <v>931.80272596363511</v>
      </c>
      <c r="CD86" s="59">
        <f ca="1">AVERAGE(OFFSET($CC$3,0,0,'Données projet'!$E$12+1,1))-AVERAGE(OFFSET($H$3,0,0,'Données projet'!$E$12+1,1))</f>
        <v>291.0962681460345</v>
      </c>
      <c r="CE86" s="59">
        <f t="shared" si="94"/>
        <v>240.28311826371385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48.757495184695379</v>
      </c>
      <c r="CL86" s="21">
        <f>EXP(-LN(2)/25)*CL85+(1-EXP(-LN(2)/25))/(LN(2)/25)*Calculateur!CG86*Calculateur!CI86*VLOOKUP('Données projet'!$B$12,Paramètres!$A$1:$I$89,3,0)*0.475*44/12</f>
        <v>20.111372604539532</v>
      </c>
      <c r="CM86" s="21">
        <f>EXP(-LN(2)/2)*CM85+(1-EXP(-LN(2)/2))/(LN(2)/2)*CG86*CJ86*VLOOKUP('Données projet'!$B$12,Paramètres!$A$1:$I$89,3,0)*0.475*44/12</f>
        <v>0.21465084313218746</v>
      </c>
      <c r="CN86" s="22">
        <f t="shared" si="66"/>
        <v>69.083518632367102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-5.3205440053716299E-14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225.92546546283018</v>
      </c>
      <c r="CZ86" s="59">
        <f t="shared" si="96"/>
        <v>309.38786160614563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57.113053034221785</v>
      </c>
      <c r="DG86" s="21">
        <f>EXP(-LN(2)/25)*DG85+(1-EXP(-LN(2)/25))/(LN(2)/25)*Calculateur!DB86*Calculateur!DD86*VLOOKUP('Données projet'!$B$13,Paramètres!$A$1:$I$89,3,0)*0.475*44/12</f>
        <v>46.256051267551129</v>
      </c>
      <c r="DH86" s="21">
        <f>EXP(-LN(2)/2)*DH85+(1-EXP(-LN(2)/2))/(LN(2)/2)*DB86*DE86*VLOOKUP('Données projet'!$B$13,Paramètres!$A$1:$I$89,3,0)*0.475*44/12</f>
        <v>2.5379396791474166E-8</v>
      </c>
      <c r="DI86" s="22">
        <f t="shared" si="69"/>
        <v>103.36910432715231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2.6</v>
      </c>
      <c r="DO86" s="12">
        <f>IF('Données projet'!$A$166&gt;35,DO85+DN86-DW85,IF(A86&lt;'Données projet'!$A$166,$DL$205^A86,IF(A86='Données projet'!$A$166,'Données projet'!$B$166,DO85+DN86-DW85)))</f>
        <v>159.79999999999998</v>
      </c>
      <c r="DP86" s="17">
        <f>DO86*VLOOKUP('Données projet'!$B$14,Paramètres!$A$1:$I$89,3,0)*VLOOKUP('Données projet'!$B$14,Paramètres!$A$1:$I$89,5,0)</f>
        <v>139.60128</v>
      </c>
      <c r="DQ86" s="13">
        <f t="shared" si="97"/>
        <v>36.205649185823056</v>
      </c>
      <c r="DR86" s="20">
        <f t="shared" si="70"/>
        <v>306.19706833197517</v>
      </c>
      <c r="DS86" s="59">
        <f t="shared" si="71"/>
        <v>599.53040166530855</v>
      </c>
      <c r="DT86" s="59">
        <f ca="1">AVERAGE(OFFSET($DS$3,0,0,'Données projet'!$E$14+1,1))-AVERAGE(OFFSET($H$3,0,0,'Données projet'!$E$14+1,1))</f>
        <v>150.06600397498823</v>
      </c>
      <c r="DU86" s="59">
        <f t="shared" si="98"/>
        <v>170.53034305929714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6.3689863636080082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6.3689863636080082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-5.3205440053716299E-14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294.94285920643927</v>
      </c>
      <c r="T87" s="59">
        <f t="shared" si="88"/>
        <v>399.89535338426606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85.759629394870345</v>
      </c>
      <c r="AA87" s="21">
        <f>EXP(-LN(2)/25)*AA86+(1-EXP(-LN(2)/25))/(LN(2)/25)*Calculateur!V87*Calculateur!X87*VLOOKUP('Données projet'!$B$9,Paramètres!$A$1:$I$89,3,0)*0.475*44/12</f>
        <v>70.863131505580611</v>
      </c>
      <c r="AB87" s="21">
        <f>EXP(-LN(2)/2)*AB86+(1-EXP(-LN(2)/2))/(LN(2)/2)*V87*Y87*VLOOKUP('Données projet'!$B$9,Paramètres!$A$1:$I$89,3,0)*0.475*44/12</f>
        <v>6.4638768739303968E-8</v>
      </c>
      <c r="AC87" s="22">
        <f t="shared" si="57"/>
        <v>156.6227609650897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-1.0197709343628959E-13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200.14675249215634</v>
      </c>
      <c r="AO87" s="59">
        <f t="shared" si="90"/>
        <v>200.55017434999968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80.647917144735885</v>
      </c>
      <c r="AV87" s="21">
        <f>EXP(-LN(2)/25)*AV86+(1-EXP(-LN(2)/25))/(LN(2)/25)*Calculateur!AQ87*Calculateur!AS87*VLOOKUP('Données projet'!$B$10,Paramètres!$A$1:$I$89,3,0)*0.475*44/12</f>
        <v>18.577082813605195</v>
      </c>
      <c r="AW87" s="21">
        <f>EXP(-LN(2)/2)*AW86+(1-EXP(-LN(2)/2))/(LN(2)/2)*AQ87*AT87*VLOOKUP('Données projet'!$B$10,Paramètres!$A$1:$I$89,3,0)*0.475*44/12</f>
        <v>7.8034298071235917E-3</v>
      </c>
      <c r="AX87" s="21">
        <f t="shared" si="60"/>
        <v>99.232803388148199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4.7676923076923057</v>
      </c>
      <c r="BD87" s="12">
        <f>IF('Données projet'!$A$88&gt;35,BD86+BC87-BL86,IF(A87&lt;'Données projet'!$A$88,$BA$205^A87,IF(A87='Données projet'!$A$88,'Données projet'!$B$88,BD86+BC87-BL86)))</f>
        <v>288.60153846153833</v>
      </c>
      <c r="BE87" s="13">
        <f>BD87*VLOOKUP('Données projet'!$B$11,Paramètres!$A$1:$I$89,3,0)*VLOOKUP('Données projet'!$B$11,Paramètres!$A$1:$I$89,5,0)</f>
        <v>165.08007999999992</v>
      </c>
      <c r="BF87" s="13">
        <f t="shared" si="91"/>
        <v>41.986248887788349</v>
      </c>
      <c r="BG87" s="20">
        <f t="shared" si="61"/>
        <v>360.64052281289787</v>
      </c>
      <c r="BH87" s="59">
        <f t="shared" si="62"/>
        <v>653.97385614623113</v>
      </c>
      <c r="BI87" s="59">
        <f ca="1">AVERAGE(OFFSET($BH$3,0,0,'Données projet'!$E$11+1,1))-AVERAGE(OFFSET($H$3,0,0,'Données projet'!$E$11+1,1))</f>
        <v>182.46132340647313</v>
      </c>
      <c r="BJ87" s="59">
        <f t="shared" si="92"/>
        <v>130.51706975490481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34.53897288376195</v>
      </c>
      <c r="BQ87" s="21">
        <f>EXP(-LN(2)/25)*BQ86+(1-EXP(-LN(2)/25))/(LN(2)/25)*Calculateur!BL87*Calculateur!BN87*VLOOKUP('Données projet'!$B$11,Paramètres!$A$1:$I$89,3,0)*0.475*44/12</f>
        <v>10.285786379647776</v>
      </c>
      <c r="BR87" s="21">
        <f>EXP(-LN(2)/2)*BR86+(1-EXP(-LN(2)/2))/(LN(2)/2)*BL87*BO87*VLOOKUP('Données projet'!$B$11,Paramètres!$A$1:$I$89,3,0)*0.475*44/12</f>
        <v>0.76474897104999939</v>
      </c>
      <c r="BS87" s="22">
        <f t="shared" si="63"/>
        <v>45.589508234459721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735.00000000000011</v>
      </c>
      <c r="BZ87" s="13">
        <f>BY87*VLOOKUP('Données projet'!$B$12,Paramètres!$A$1:$I$89,3,0)*VLOOKUP('Données projet'!$B$12,Paramètres!$A$1:$I$89,5,0)</f>
        <v>296.20500000000004</v>
      </c>
      <c r="CA87" s="13">
        <f t="shared" si="93"/>
        <v>70.380297204000939</v>
      </c>
      <c r="CB87" s="20">
        <f t="shared" si="64"/>
        <v>638.46939263030174</v>
      </c>
      <c r="CC87" s="59">
        <f t="shared" si="65"/>
        <v>931.80272596363511</v>
      </c>
      <c r="CD87" s="59">
        <f ca="1">AVERAGE(OFFSET($CC$3,0,0,'Données projet'!$E$12+1,1))-AVERAGE(OFFSET($H$3,0,0,'Données projet'!$E$12+1,1))</f>
        <v>291.0962681460345</v>
      </c>
      <c r="CE87" s="59">
        <f t="shared" si="94"/>
        <v>240.28311826371385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47.801390443259073</v>
      </c>
      <c r="CL87" s="21">
        <f>EXP(-LN(2)/25)*CL86+(1-EXP(-LN(2)/25))/(LN(2)/25)*Calculateur!CG87*Calculateur!CI87*VLOOKUP('Données projet'!$B$12,Paramètres!$A$1:$I$89,3,0)*0.475*44/12</f>
        <v>19.561426063057279</v>
      </c>
      <c r="CM87" s="21">
        <f>EXP(-LN(2)/2)*CM86+(1-EXP(-LN(2)/2))/(LN(2)/2)*CG87*CJ87*VLOOKUP('Données projet'!$B$12,Paramètres!$A$1:$I$89,3,0)*0.475*44/12</f>
        <v>0.15178106676617964</v>
      </c>
      <c r="CN87" s="22">
        <f t="shared" si="66"/>
        <v>67.514597573082526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-5.3205440053716299E-14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225.92546546283018</v>
      </c>
      <c r="CZ87" s="59">
        <f t="shared" si="96"/>
        <v>309.38786160614563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55.993100899743325</v>
      </c>
      <c r="DG87" s="21">
        <f>EXP(-LN(2)/25)*DG86+(1-EXP(-LN(2)/25))/(LN(2)/25)*Calculateur!DB87*Calculateur!DD87*VLOOKUP('Données projet'!$B$13,Paramètres!$A$1:$I$89,3,0)*0.475*44/12</f>
        <v>44.991177113139926</v>
      </c>
      <c r="DH87" s="21">
        <f>EXP(-LN(2)/2)*DH86+(1-EXP(-LN(2)/2))/(LN(2)/2)*DB87*DE87*VLOOKUP('Données projet'!$B$13,Paramètres!$A$1:$I$89,3,0)*0.475*44/12</f>
        <v>1.7945943573675489E-8</v>
      </c>
      <c r="DI87" s="22">
        <f t="shared" si="69"/>
        <v>100.9842780308292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2.6</v>
      </c>
      <c r="DO87" s="12">
        <f>IF('Données projet'!$A$166&gt;35,DO86+DN87-DW86,IF(A87&lt;'Données projet'!$A$166,$DL$205^A87,IF(A87='Données projet'!$A$166,'Données projet'!$B$166,DO86+DN87-DW86)))</f>
        <v>162.39999999999998</v>
      </c>
      <c r="DP87" s="17">
        <f>DO87*VLOOKUP('Données projet'!$B$14,Paramètres!$A$1:$I$89,3,0)*VLOOKUP('Données projet'!$B$14,Paramètres!$A$1:$I$89,5,0)</f>
        <v>141.87264000000002</v>
      </c>
      <c r="DQ87" s="13">
        <f t="shared" si="97"/>
        <v>36.725668707420816</v>
      </c>
      <c r="DR87" s="20">
        <f t="shared" si="70"/>
        <v>311.05872099875796</v>
      </c>
      <c r="DS87" s="59">
        <f t="shared" si="71"/>
        <v>604.39205433209122</v>
      </c>
      <c r="DT87" s="59">
        <f ca="1">AVERAGE(OFFSET($DS$3,0,0,'Données projet'!$E$14+1,1))-AVERAGE(OFFSET($H$3,0,0,'Données projet'!$E$14+1,1))</f>
        <v>150.06600397498823</v>
      </c>
      <c r="DU87" s="59">
        <f t="shared" si="98"/>
        <v>170.53034305929714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6.1948260965647108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6.1948260965647108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-5.3205440053716299E-14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294.94285920643927</v>
      </c>
      <c r="T88" s="59">
        <f t="shared" si="88"/>
        <v>399.89535338426606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84.077935370645861</v>
      </c>
      <c r="AA88" s="21">
        <f>EXP(-LN(2)/25)*AA87+(1-EXP(-LN(2)/25))/(LN(2)/25)*Calculateur!V88*Calculateur!X88*VLOOKUP('Données projet'!$B$9,Paramètres!$A$1:$I$89,3,0)*0.475*44/12</f>
        <v>68.92537544803038</v>
      </c>
      <c r="AB88" s="21">
        <f>EXP(-LN(2)/2)*AB87+(1-EXP(-LN(2)/2))/(LN(2)/2)*V88*Y88*VLOOKUP('Données projet'!$B$9,Paramètres!$A$1:$I$89,3,0)*0.475*44/12</f>
        <v>4.5706511703110859E-8</v>
      </c>
      <c r="AC88" s="22">
        <f t="shared" si="57"/>
        <v>153.00331086438277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-1.0197709343628959E-13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200.14675249215634</v>
      </c>
      <c r="AO88" s="59">
        <f t="shared" si="90"/>
        <v>200.55017434999968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79.066460679899933</v>
      </c>
      <c r="AV88" s="21">
        <f>EXP(-LN(2)/25)*AV87+(1-EXP(-LN(2)/25))/(LN(2)/25)*Calculateur!AQ88*Calculateur!AS88*VLOOKUP('Données projet'!$B$10,Paramètres!$A$1:$I$89,3,0)*0.475*44/12</f>
        <v>18.069091507140833</v>
      </c>
      <c r="AW88" s="21">
        <f>EXP(-LN(2)/2)*AW87+(1-EXP(-LN(2)/2))/(LN(2)/2)*AQ88*AT88*VLOOKUP('Données projet'!$B$10,Paramètres!$A$1:$I$89,3,0)*0.475*44/12</f>
        <v>5.517858133130325E-3</v>
      </c>
      <c r="AX88" s="21">
        <f t="shared" si="60"/>
        <v>97.14107004517389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4.7676923076923057</v>
      </c>
      <c r="BD88" s="12">
        <f>IF('Données projet'!$A$88&gt;35,BD87+BC88-BL87,IF(A88&lt;'Données projet'!$A$88,$BA$205^A88,IF(A88='Données projet'!$A$88,'Données projet'!$B$88,BD87+BC88-BL87)))</f>
        <v>293.36923076923063</v>
      </c>
      <c r="BE88" s="13">
        <f>BD88*VLOOKUP('Données projet'!$B$11,Paramètres!$A$1:$I$89,3,0)*VLOOKUP('Données projet'!$B$11,Paramètres!$A$1:$I$89,5,0)</f>
        <v>167.80719999999991</v>
      </c>
      <c r="BF88" s="13">
        <f t="shared" si="91"/>
        <v>42.598538863194825</v>
      </c>
      <c r="BG88" s="20">
        <f t="shared" si="61"/>
        <v>366.45666185339746</v>
      </c>
      <c r="BH88" s="59">
        <f t="shared" si="62"/>
        <v>659.78999518673072</v>
      </c>
      <c r="BI88" s="59">
        <f ca="1">AVERAGE(OFFSET($BH$3,0,0,'Données projet'!$E$11+1,1))-AVERAGE(OFFSET($H$3,0,0,'Données projet'!$E$11+1,1))</f>
        <v>182.46132340647313</v>
      </c>
      <c r="BJ88" s="59">
        <f t="shared" si="92"/>
        <v>130.51706975490481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33.861684692204676</v>
      </c>
      <c r="BQ88" s="21">
        <f>EXP(-LN(2)/25)*BQ87+(1-EXP(-LN(2)/25))/(LN(2)/25)*Calculateur!BL88*Calculateur!BN88*VLOOKUP('Données projet'!$B$11,Paramètres!$A$1:$I$89,3,0)*0.475*44/12</f>
        <v>10.004521010190311</v>
      </c>
      <c r="BR88" s="21">
        <f>EXP(-LN(2)/2)*BR87+(1-EXP(-LN(2)/2))/(LN(2)/2)*BL88*BO88*VLOOKUP('Données projet'!$B$11,Paramètres!$A$1:$I$89,3,0)*0.475*44/12</f>
        <v>0.54075918333488937</v>
      </c>
      <c r="BS88" s="22">
        <f t="shared" si="63"/>
        <v>44.406964885729877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735.00000000000011</v>
      </c>
      <c r="BZ88" s="13">
        <f>BY88*VLOOKUP('Données projet'!$B$12,Paramètres!$A$1:$I$89,3,0)*VLOOKUP('Données projet'!$B$12,Paramètres!$A$1:$I$89,5,0)</f>
        <v>296.20500000000004</v>
      </c>
      <c r="CA88" s="13">
        <f t="shared" si="93"/>
        <v>70.380297204000939</v>
      </c>
      <c r="CB88" s="20">
        <f t="shared" si="64"/>
        <v>638.46939263030174</v>
      </c>
      <c r="CC88" s="59">
        <f t="shared" si="65"/>
        <v>931.80272596363511</v>
      </c>
      <c r="CD88" s="59">
        <f ca="1">AVERAGE(OFFSET($CC$3,0,0,'Données projet'!$E$12+1,1))-AVERAGE(OFFSET($H$3,0,0,'Données projet'!$E$12+1,1))</f>
        <v>291.0962681460345</v>
      </c>
      <c r="CE88" s="59">
        <f t="shared" si="94"/>
        <v>240.28311826371385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46.864034332636024</v>
      </c>
      <c r="CL88" s="21">
        <f>EXP(-LN(2)/25)*CL87+(1-EXP(-LN(2)/25))/(LN(2)/25)*Calculateur!CG88*Calculateur!CI88*VLOOKUP('Données projet'!$B$12,Paramètres!$A$1:$I$89,3,0)*0.475*44/12</f>
        <v>19.026517838672291</v>
      </c>
      <c r="CM88" s="21">
        <f>EXP(-LN(2)/2)*CM87+(1-EXP(-LN(2)/2))/(LN(2)/2)*CG88*CJ88*VLOOKUP('Données projet'!$B$12,Paramètres!$A$1:$I$89,3,0)*0.475*44/12</f>
        <v>0.10732542156609376</v>
      </c>
      <c r="CN88" s="22">
        <f t="shared" si="66"/>
        <v>65.997877592874403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-5.3205440053716299E-14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225.92546546283018</v>
      </c>
      <c r="CZ88" s="59">
        <f t="shared" si="96"/>
        <v>309.38786160614563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54.895110343518638</v>
      </c>
      <c r="DG88" s="21">
        <f>EXP(-LN(2)/25)*DG87+(1-EXP(-LN(2)/25))/(LN(2)/25)*Calculateur!DB88*Calculateur!DD88*VLOOKUP('Données projet'!$B$13,Paramètres!$A$1:$I$89,3,0)*0.475*44/12</f>
        <v>43.760891008997937</v>
      </c>
      <c r="DH88" s="21">
        <f>EXP(-LN(2)/2)*DH87+(1-EXP(-LN(2)/2))/(LN(2)/2)*DB88*DE88*VLOOKUP('Données projet'!$B$13,Paramètres!$A$1:$I$89,3,0)*0.475*44/12</f>
        <v>1.2689698395737083E-8</v>
      </c>
      <c r="DI88" s="22">
        <f t="shared" si="69"/>
        <v>98.656001365206265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165</v>
      </c>
      <c r="DM88" s="12">
        <f>VLOOKUP(A88,'Données projet'!$A$165:$I$185,9,0)</f>
        <v>2.6</v>
      </c>
      <c r="DN88" s="12">
        <f t="array" ref="DN88">INDEX(DM:DM,MIN(IF(ISNUMBER(DM88:DM284),ROW(DM88:DM284),"")))</f>
        <v>2.6</v>
      </c>
      <c r="DO88" s="12">
        <f>IF('Données projet'!$A$166&gt;35,DO87+DN88-DW87,IF(A88&lt;'Données projet'!$A$166,$DL$205^A88,IF(A88='Données projet'!$A$166,'Données projet'!$B$166,DO87+DN88-DW87)))</f>
        <v>164.99999999999997</v>
      </c>
      <c r="DP88" s="17">
        <f>DO88*VLOOKUP('Données projet'!$B$14,Paramètres!$A$1:$I$89,3,0)*VLOOKUP('Données projet'!$B$14,Paramètres!$A$1:$I$89,5,0)</f>
        <v>144.14400000000001</v>
      </c>
      <c r="DQ88" s="13">
        <f t="shared" si="97"/>
        <v>37.244720006976252</v>
      </c>
      <c r="DR88" s="20">
        <f t="shared" si="70"/>
        <v>315.91868734548365</v>
      </c>
      <c r="DS88" s="59">
        <f t="shared" si="71"/>
        <v>609.25202067881696</v>
      </c>
      <c r="DT88" s="59">
        <f ca="1">AVERAGE(OFFSET($DS$3,0,0,'Données projet'!$E$14+1,1))-AVERAGE(OFFSET($H$3,0,0,'Données projet'!$E$14+1,1))</f>
        <v>150.06600397498823</v>
      </c>
      <c r="DU88" s="59">
        <f t="shared" si="98"/>
        <v>170.53034305929714</v>
      </c>
      <c r="DV88" s="15">
        <f>IF(ISNA(VLOOKUP(A88,'Données projet'!$A$165:$I$185,3,0)),0,VLOOKUP(A88,'Données projet'!$A$165:$I$185,3,0))</f>
        <v>12</v>
      </c>
      <c r="DW88" s="15">
        <f>IF(ISNA(VLOOKUP(A88,'Données projet'!$A$165:$I$185,4,0)),0,VLOOKUP(A88,'Données projet'!$A$165:$I$185,4,0))</f>
        <v>8</v>
      </c>
      <c r="DX88" s="16">
        <f>IF(ISNA(VLOOKUP(A88,'Données projet'!$A$165:$I$185,5,0)),0%,VLOOKUP(A88,'Données projet'!$A$165:$I$185,5,0)*VLOOKUP('Données projet'!$B$14,Paramètres!$A$1:$I$89,7,0))</f>
        <v>0.17200000000000001</v>
      </c>
      <c r="DY88" s="16">
        <f>IF(ISNA(VLOOKUP(A88,'Données projet'!$A$165:$I$185,6,0)),0%,VLOOKUP(A88,'Données projet'!$A$165:$I$185,6,0)*VLOOKUP('Données projet'!$B$14,Paramètres!$A$1:$I$89,7,0))</f>
        <v>0.17200000000000001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1.3288567588185398</v>
      </c>
      <c r="EB88" s="21">
        <f>EXP(-LN(2)/25)*EB87+(1-EXP(-LN(2)/25))/(LN(2)/25)*Calculateur!DW88*Calculateur!DY88*VLOOKUP('Données projet'!$B$14,Paramètres!$A$1:$I$89,3,0)*0.475*44/12</f>
        <v>7.3490527946073527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8.6779095534258932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-5.3205440053716299E-14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294.94285920643927</v>
      </c>
      <c r="T89" s="59">
        <f t="shared" si="88"/>
        <v>399.89535338426606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82.429218340504349</v>
      </c>
      <c r="AA89" s="21">
        <f>EXP(-LN(2)/25)*AA88+(1-EXP(-LN(2)/25))/(LN(2)/25)*Calculateur!V89*Calculateur!X89*VLOOKUP('Données projet'!$B$9,Paramètres!$A$1:$I$89,3,0)*0.475*44/12</f>
        <v>67.040607431776024</v>
      </c>
      <c r="AB89" s="21">
        <f>EXP(-LN(2)/2)*AB88+(1-EXP(-LN(2)/2))/(LN(2)/2)*V89*Y89*VLOOKUP('Données projet'!$B$9,Paramètres!$A$1:$I$89,3,0)*0.475*44/12</f>
        <v>3.2319384369651984E-8</v>
      </c>
      <c r="AC89" s="22">
        <f t="shared" si="57"/>
        <v>149.46982580459976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-1.0197709343628959E-13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200.14675249215634</v>
      </c>
      <c r="AO89" s="59">
        <f t="shared" si="90"/>
        <v>200.55017434999968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77.516015611746212</v>
      </c>
      <c r="AV89" s="21">
        <f>EXP(-LN(2)/25)*AV88+(1-EXP(-LN(2)/25))/(LN(2)/25)*Calculateur!AQ89*Calculateur!AS89*VLOOKUP('Données projet'!$B$10,Paramètres!$A$1:$I$89,3,0)*0.475*44/12</f>
        <v>17.574991249665842</v>
      </c>
      <c r="AW89" s="21">
        <f>EXP(-LN(2)/2)*AW88+(1-EXP(-LN(2)/2))/(LN(2)/2)*AQ89*AT89*VLOOKUP('Données projet'!$B$10,Paramètres!$A$1:$I$89,3,0)*0.475*44/12</f>
        <v>3.9017149035617967E-3</v>
      </c>
      <c r="AX89" s="21">
        <f t="shared" si="60"/>
        <v>95.094908576315618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4.7676923076923057</v>
      </c>
      <c r="BD89" s="12">
        <f>IF('Données projet'!$A$88&gt;35,BD88+BC89-BL88,IF(A89&lt;'Données projet'!$A$88,$BA$205^A89,IF(A89='Données projet'!$A$88,'Données projet'!$B$88,BD88+BC89-BL88)))</f>
        <v>298.13692307692293</v>
      </c>
      <c r="BE89" s="13">
        <f>BD89*VLOOKUP('Données projet'!$B$11,Paramètres!$A$1:$I$89,3,0)*VLOOKUP('Données projet'!$B$11,Paramètres!$A$1:$I$89,5,0)</f>
        <v>170.53431999999992</v>
      </c>
      <c r="BF89" s="13">
        <f t="shared" si="91"/>
        <v>43.209671625633291</v>
      </c>
      <c r="BG89" s="20">
        <f t="shared" si="61"/>
        <v>372.27078541464448</v>
      </c>
      <c r="BH89" s="59">
        <f t="shared" si="62"/>
        <v>665.60411874797774</v>
      </c>
      <c r="BI89" s="59">
        <f ca="1">AVERAGE(OFFSET($BH$3,0,0,'Données projet'!$E$11+1,1))-AVERAGE(OFFSET($H$3,0,0,'Données projet'!$E$11+1,1))</f>
        <v>182.46132340647313</v>
      </c>
      <c r="BJ89" s="59">
        <f t="shared" si="92"/>
        <v>130.51706975490481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33.19767770897883</v>
      </c>
      <c r="BQ89" s="21">
        <f>EXP(-LN(2)/25)*BQ88+(1-EXP(-LN(2)/25))/(LN(2)/25)*Calculateur!BL89*Calculateur!BN89*VLOOKUP('Données projet'!$B$11,Paramètres!$A$1:$I$89,3,0)*0.475*44/12</f>
        <v>9.7309468570517623</v>
      </c>
      <c r="BR89" s="21">
        <f>EXP(-LN(2)/2)*BR88+(1-EXP(-LN(2)/2))/(LN(2)/2)*BL89*BO89*VLOOKUP('Données projet'!$B$11,Paramètres!$A$1:$I$89,3,0)*0.475*44/12</f>
        <v>0.38237448552499981</v>
      </c>
      <c r="BS89" s="22">
        <f t="shared" si="63"/>
        <v>43.310999051555591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735.00000000000011</v>
      </c>
      <c r="BZ89" s="13">
        <f>BY89*VLOOKUP('Données projet'!$B$12,Paramètres!$A$1:$I$89,3,0)*VLOOKUP('Données projet'!$B$12,Paramètres!$A$1:$I$89,5,0)</f>
        <v>296.20500000000004</v>
      </c>
      <c r="CA89" s="13">
        <f t="shared" si="93"/>
        <v>70.380297204000939</v>
      </c>
      <c r="CB89" s="20">
        <f t="shared" si="64"/>
        <v>638.46939263030174</v>
      </c>
      <c r="CC89" s="59">
        <f t="shared" si="65"/>
        <v>931.80272596363511</v>
      </c>
      <c r="CD89" s="59">
        <f ca="1">AVERAGE(OFFSET($CC$3,0,0,'Données projet'!$E$12+1,1))-AVERAGE(OFFSET($H$3,0,0,'Données projet'!$E$12+1,1))</f>
        <v>291.0962681460345</v>
      </c>
      <c r="CE89" s="59">
        <f t="shared" si="94"/>
        <v>240.28311826371385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45.945059203611514</v>
      </c>
      <c r="CL89" s="21">
        <f>EXP(-LN(2)/25)*CL88+(1-EXP(-LN(2)/25))/(LN(2)/25)*Calculateur!CG89*Calculateur!CI89*VLOOKUP('Données projet'!$B$12,Paramètres!$A$1:$I$89,3,0)*0.475*44/12</f>
        <v>18.506236707812711</v>
      </c>
      <c r="CM89" s="21">
        <f>EXP(-LN(2)/2)*CM88+(1-EXP(-LN(2)/2))/(LN(2)/2)*CG89*CJ89*VLOOKUP('Données projet'!$B$12,Paramètres!$A$1:$I$89,3,0)*0.475*44/12</f>
        <v>7.5890533383089834E-2</v>
      </c>
      <c r="CN89" s="22">
        <f t="shared" si="66"/>
        <v>64.527186444807313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-5.3205440053716299E-14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225.92546546283018</v>
      </c>
      <c r="CZ89" s="59">
        <f t="shared" si="96"/>
        <v>309.38786160614563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53.818650712393406</v>
      </c>
      <c r="DG89" s="21">
        <f>EXP(-LN(2)/25)*DG88+(1-EXP(-LN(2)/25))/(LN(2)/25)*Calculateur!DB89*Calculateur!DD89*VLOOKUP('Données projet'!$B$13,Paramètres!$A$1:$I$89,3,0)*0.475*44/12</f>
        <v>42.564247143071647</v>
      </c>
      <c r="DH89" s="21">
        <f>EXP(-LN(2)/2)*DH88+(1-EXP(-LN(2)/2))/(LN(2)/2)*DB89*DE89*VLOOKUP('Données projet'!$B$13,Paramètres!$A$1:$I$89,3,0)*0.475*44/12</f>
        <v>8.9729717868377446E-9</v>
      </c>
      <c r="DI89" s="22">
        <f t="shared" si="69"/>
        <v>96.382897864438021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2.4</v>
      </c>
      <c r="DO89" s="12">
        <f>IF('Données projet'!$A$166&gt;35,DO88+DN89-DW88,IF(A89&lt;'Données projet'!$A$166,$DL$205^A89,IF(A89='Données projet'!$A$166,'Données projet'!$B$166,DO88+DN89-DW88)))</f>
        <v>159.39999999999998</v>
      </c>
      <c r="DP89" s="17">
        <f>DO89*VLOOKUP('Données projet'!$B$14,Paramètres!$A$1:$I$89,3,0)*VLOOKUP('Données projet'!$B$14,Paramètres!$A$1:$I$89,5,0)</f>
        <v>139.25183999999999</v>
      </c>
      <c r="DQ89" s="13">
        <f t="shared" si="97"/>
        <v>36.12555913193269</v>
      </c>
      <c r="DR89" s="20">
        <f t="shared" si="70"/>
        <v>305.44897015478278</v>
      </c>
      <c r="DS89" s="59">
        <f t="shared" si="71"/>
        <v>598.7823034881161</v>
      </c>
      <c r="DT89" s="59">
        <f ca="1">AVERAGE(OFFSET($DS$3,0,0,'Données projet'!$E$14+1,1))-AVERAGE(OFFSET($H$3,0,0,'Données projet'!$E$14+1,1))</f>
        <v>150.06600397498823</v>
      </c>
      <c r="DU89" s="59">
        <f t="shared" si="98"/>
        <v>170.53034305929714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1.3027986883006988</v>
      </c>
      <c r="EB89" s="21">
        <f>EXP(-LN(2)/25)*EB88+(1-EXP(-LN(2)/25))/(LN(2)/25)*Calculateur!DW89*Calculateur!DY89*VLOOKUP('Données projet'!$B$14,Paramètres!$A$1:$I$89,3,0)*0.475*44/12</f>
        <v>7.1480925594689246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8.4508912477696239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-5.3205440053716299E-14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294.94285920643927</v>
      </c>
      <c r="T90" s="59">
        <f t="shared" si="88"/>
        <v>399.89535338426606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80.812831645705813</v>
      </c>
      <c r="AA90" s="21">
        <f>EXP(-LN(2)/25)*AA89+(1-EXP(-LN(2)/25))/(LN(2)/25)*Calculateur!V90*Calculateur!X90*VLOOKUP('Données projet'!$B$9,Paramètres!$A$1:$I$89,3,0)*0.475*44/12</f>
        <v>65.207378496041784</v>
      </c>
      <c r="AB90" s="21">
        <f>EXP(-LN(2)/2)*AB89+(1-EXP(-LN(2)/2))/(LN(2)/2)*V90*Y90*VLOOKUP('Données projet'!$B$9,Paramètres!$A$1:$I$89,3,0)*0.475*44/12</f>
        <v>2.285325585155543E-8</v>
      </c>
      <c r="AC90" s="22">
        <f t="shared" si="57"/>
        <v>146.02021016460085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-1.0197709343628959E-13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200.14675249215634</v>
      </c>
      <c r="AO90" s="59">
        <f t="shared" si="90"/>
        <v>200.55017434999968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75.995973825700872</v>
      </c>
      <c r="AV90" s="21">
        <f>EXP(-LN(2)/25)*AV89+(1-EXP(-LN(2)/25))/(LN(2)/25)*Calculateur!AQ90*Calculateur!AS90*VLOOKUP('Données projet'!$B$10,Paramètres!$A$1:$I$89,3,0)*0.475*44/12</f>
        <v>17.094402189715108</v>
      </c>
      <c r="AW90" s="21">
        <f>EXP(-LN(2)/2)*AW89+(1-EXP(-LN(2)/2))/(LN(2)/2)*AQ90*AT90*VLOOKUP('Données projet'!$B$10,Paramètres!$A$1:$I$89,3,0)*0.475*44/12</f>
        <v>2.7589290665651629E-3</v>
      </c>
      <c r="AX90" s="21">
        <f t="shared" si="60"/>
        <v>93.093134944482543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4.7676923076923057</v>
      </c>
      <c r="BD90" s="12">
        <f>IF('Données projet'!$A$88&gt;35,BD89+BC90-BL89,IF(A90&lt;'Données projet'!$A$88,$BA$205^A90,IF(A90='Données projet'!$A$88,'Données projet'!$B$88,BD89+BC90-BL89)))</f>
        <v>302.90461538461523</v>
      </c>
      <c r="BE90" s="13">
        <f>BD90*VLOOKUP('Données projet'!$B$11,Paramètres!$A$1:$I$89,3,0)*VLOOKUP('Données projet'!$B$11,Paramètres!$A$1:$I$89,5,0)</f>
        <v>173.26143999999991</v>
      </c>
      <c r="BF90" s="13">
        <f t="shared" si="91"/>
        <v>43.819667817434095</v>
      </c>
      <c r="BG90" s="20">
        <f t="shared" si="61"/>
        <v>378.08292944869754</v>
      </c>
      <c r="BH90" s="59">
        <f t="shared" si="62"/>
        <v>671.4162627820308</v>
      </c>
      <c r="BI90" s="59">
        <f ca="1">AVERAGE(OFFSET($BH$3,0,0,'Données projet'!$E$11+1,1))-AVERAGE(OFFSET($H$3,0,0,'Données projet'!$E$11+1,1))</f>
        <v>182.46132340647313</v>
      </c>
      <c r="BJ90" s="59">
        <f t="shared" si="92"/>
        <v>130.51706975490481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32.546691497689778</v>
      </c>
      <c r="BQ90" s="21">
        <f>EXP(-LN(2)/25)*BQ89+(1-EXP(-LN(2)/25))/(LN(2)/25)*Calculateur!BL90*Calculateur!BN90*VLOOKUP('Données projet'!$B$11,Paramètres!$A$1:$I$89,3,0)*0.475*44/12</f>
        <v>9.4648536035174278</v>
      </c>
      <c r="BR90" s="21">
        <f>EXP(-LN(2)/2)*BR89+(1-EXP(-LN(2)/2))/(LN(2)/2)*BL90*BO90*VLOOKUP('Données projet'!$B$11,Paramètres!$A$1:$I$89,3,0)*0.475*44/12</f>
        <v>0.27037959166744474</v>
      </c>
      <c r="BS90" s="22">
        <f t="shared" si="63"/>
        <v>42.281924692874647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735.00000000000011</v>
      </c>
      <c r="BZ90" s="13">
        <f>BY90*VLOOKUP('Données projet'!$B$12,Paramètres!$A$1:$I$89,3,0)*VLOOKUP('Données projet'!$B$12,Paramètres!$A$1:$I$89,5,0)</f>
        <v>296.20500000000004</v>
      </c>
      <c r="CA90" s="13">
        <f t="shared" si="93"/>
        <v>70.380297204000939</v>
      </c>
      <c r="CB90" s="20">
        <f t="shared" si="64"/>
        <v>638.46939263030174</v>
      </c>
      <c r="CC90" s="59">
        <f t="shared" si="65"/>
        <v>931.80272596363511</v>
      </c>
      <c r="CD90" s="59">
        <f ca="1">AVERAGE(OFFSET($CC$3,0,0,'Données projet'!$E$12+1,1))-AVERAGE(OFFSET($H$3,0,0,'Données projet'!$E$12+1,1))</f>
        <v>291.0962681460345</v>
      </c>
      <c r="CE90" s="59">
        <f t="shared" si="94"/>
        <v>240.28311826371385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45.044104616347695</v>
      </c>
      <c r="CL90" s="21">
        <f>EXP(-LN(2)/25)*CL89+(1-EXP(-LN(2)/25))/(LN(2)/25)*Calculateur!CG90*Calculateur!CI90*VLOOKUP('Données projet'!$B$12,Paramètres!$A$1:$I$89,3,0)*0.475*44/12</f>
        <v>18.00018269183688</v>
      </c>
      <c r="CM90" s="21">
        <f>EXP(-LN(2)/2)*CM89+(1-EXP(-LN(2)/2))/(LN(2)/2)*CG90*CJ90*VLOOKUP('Données projet'!$B$12,Paramètres!$A$1:$I$89,3,0)*0.475*44/12</f>
        <v>5.3662710783046887E-2</v>
      </c>
      <c r="CN90" s="22">
        <f t="shared" si="66"/>
        <v>63.097950018967623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-5.3205440053716299E-14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225.92546546283018</v>
      </c>
      <c r="CZ90" s="59">
        <f t="shared" si="96"/>
        <v>309.38786160614563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52.763299798058995</v>
      </c>
      <c r="DG90" s="21">
        <f>EXP(-LN(2)/25)*DG89+(1-EXP(-LN(2)/25))/(LN(2)/25)*Calculateur!DB90*Calculateur!DD90*VLOOKUP('Données projet'!$B$13,Paramètres!$A$1:$I$89,3,0)*0.475*44/12</f>
        <v>41.400325566587874</v>
      </c>
      <c r="DH90" s="21">
        <f>EXP(-LN(2)/2)*DH89+(1-EXP(-LN(2)/2))/(LN(2)/2)*DB90*DE90*VLOOKUP('Données projet'!$B$13,Paramètres!$A$1:$I$89,3,0)*0.475*44/12</f>
        <v>6.3448491978685415E-9</v>
      </c>
      <c r="DI90" s="22">
        <f t="shared" si="69"/>
        <v>94.16362537099171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2.4</v>
      </c>
      <c r="DO90" s="12">
        <f>IF('Données projet'!$A$166&gt;35,DO89+DN90-DW89,IF(A90&lt;'Données projet'!$A$166,$DL$205^A90,IF(A90='Données projet'!$A$166,'Données projet'!$B$166,DO89+DN90-DW89)))</f>
        <v>161.79999999999998</v>
      </c>
      <c r="DP90" s="17">
        <f>DO90*VLOOKUP('Données projet'!$B$14,Paramètres!$A$1:$I$89,3,0)*VLOOKUP('Données projet'!$B$14,Paramètres!$A$1:$I$89,5,0)</f>
        <v>141.34848000000002</v>
      </c>
      <c r="DQ90" s="13">
        <f t="shared" si="97"/>
        <v>36.605750770707807</v>
      </c>
      <c r="DR90" s="20">
        <f t="shared" si="70"/>
        <v>309.93695192564945</v>
      </c>
      <c r="DS90" s="59">
        <f t="shared" si="71"/>
        <v>603.27028525898277</v>
      </c>
      <c r="DT90" s="59">
        <f ca="1">AVERAGE(OFFSET($DS$3,0,0,'Données projet'!$E$14+1,1))-AVERAGE(OFFSET($H$3,0,0,'Données projet'!$E$14+1,1))</f>
        <v>150.06600397498823</v>
      </c>
      <c r="DU90" s="59">
        <f t="shared" si="98"/>
        <v>170.53034305929714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1.2772516006518588</v>
      </c>
      <c r="EB90" s="21">
        <f>EXP(-LN(2)/25)*EB89+(1-EXP(-LN(2)/25))/(LN(2)/25)*Calculateur!DW90*Calculateur!DY90*VLOOKUP('Données projet'!$B$14,Paramètres!$A$1:$I$89,3,0)*0.475*44/12</f>
        <v>6.9526275925283967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8.2298791931802562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-5.3205440053716299E-14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294.94285920643927</v>
      </c>
      <c r="T91" s="59">
        <f t="shared" si="88"/>
        <v>399.89535338426606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79.228141308093754</v>
      </c>
      <c r="AA91" s="21">
        <f>EXP(-LN(2)/25)*AA90+(1-EXP(-LN(2)/25))/(LN(2)/25)*Calculateur!V91*Calculateur!X91*VLOOKUP('Données projet'!$B$9,Paramètres!$A$1:$I$89,3,0)*0.475*44/12</f>
        <v>63.424279301960517</v>
      </c>
      <c r="AB91" s="21">
        <f>EXP(-LN(2)/2)*AB90+(1-EXP(-LN(2)/2))/(LN(2)/2)*V91*Y91*VLOOKUP('Données projet'!$B$9,Paramètres!$A$1:$I$89,3,0)*0.475*44/12</f>
        <v>1.6159692184825992E-8</v>
      </c>
      <c r="AC91" s="22">
        <f t="shared" si="57"/>
        <v>142.65242062621397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-1.0197709343628959E-13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200.14675249215634</v>
      </c>
      <c r="AO91" s="59">
        <f t="shared" si="90"/>
        <v>200.55017434999968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74.50573913194593</v>
      </c>
      <c r="AV91" s="21">
        <f>EXP(-LN(2)/25)*AV90+(1-EXP(-LN(2)/25))/(LN(2)/25)*Calculateur!AQ91*Calculateur!AS91*VLOOKUP('Données projet'!$B$10,Paramètres!$A$1:$I$89,3,0)*0.475*44/12</f>
        <v>16.626954862881806</v>
      </c>
      <c r="AW91" s="21">
        <f>EXP(-LN(2)/2)*AW90+(1-EXP(-LN(2)/2))/(LN(2)/2)*AQ91*AT91*VLOOKUP('Données projet'!$B$10,Paramètres!$A$1:$I$89,3,0)*0.475*44/12</f>
        <v>1.9508574517808986E-3</v>
      </c>
      <c r="AX91" s="21">
        <f t="shared" si="60"/>
        <v>91.134644852279507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4.7676923076923057</v>
      </c>
      <c r="BD91" s="12">
        <f>IF('Données projet'!$A$88&gt;35,BD90+BC91-BL90,IF(A91&lt;'Données projet'!$A$88,$BA$205^A91,IF(A91='Données projet'!$A$88,'Données projet'!$B$88,BD90+BC91-BL90)))</f>
        <v>307.67230769230753</v>
      </c>
      <c r="BE91" s="13">
        <f>BD91*VLOOKUP('Données projet'!$B$11,Paramètres!$A$1:$I$89,3,0)*VLOOKUP('Données projet'!$B$11,Paramètres!$A$1:$I$89,5,0)</f>
        <v>175.98855999999992</v>
      </c>
      <c r="BF91" s="13">
        <f t="shared" si="91"/>
        <v>44.428547393836148</v>
      </c>
      <c r="BG91" s="20">
        <f t="shared" si="61"/>
        <v>383.89312871093108</v>
      </c>
      <c r="BH91" s="59">
        <f t="shared" si="62"/>
        <v>677.22646204426439</v>
      </c>
      <c r="BI91" s="59">
        <f ca="1">AVERAGE(OFFSET($BH$3,0,0,'Données projet'!$E$11+1,1))-AVERAGE(OFFSET($H$3,0,0,'Données projet'!$E$11+1,1))</f>
        <v>182.46132340647313</v>
      </c>
      <c r="BJ91" s="59">
        <f t="shared" si="92"/>
        <v>130.51706975490481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31.908470728941719</v>
      </c>
      <c r="BQ91" s="21">
        <f>EXP(-LN(2)/25)*BQ90+(1-EXP(-LN(2)/25))/(LN(2)/25)*Calculateur!BL91*Calculateur!BN91*VLOOKUP('Données projet'!$B$11,Paramètres!$A$1:$I$89,3,0)*0.475*44/12</f>
        <v>9.206036683994224</v>
      </c>
      <c r="BR91" s="21">
        <f>EXP(-LN(2)/2)*BR90+(1-EXP(-LN(2)/2))/(LN(2)/2)*BL91*BO91*VLOOKUP('Données projet'!$B$11,Paramètres!$A$1:$I$89,3,0)*0.475*44/12</f>
        <v>0.19118724276249993</v>
      </c>
      <c r="BS91" s="22">
        <f t="shared" si="63"/>
        <v>41.305694655698446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735.00000000000011</v>
      </c>
      <c r="BZ91" s="13">
        <f>BY91*VLOOKUP('Données projet'!$B$12,Paramètres!$A$1:$I$89,3,0)*VLOOKUP('Données projet'!$B$12,Paramètres!$A$1:$I$89,5,0)</f>
        <v>296.20500000000004</v>
      </c>
      <c r="CA91" s="13">
        <f t="shared" si="93"/>
        <v>70.380297204000939</v>
      </c>
      <c r="CB91" s="20">
        <f t="shared" si="64"/>
        <v>638.46939263030174</v>
      </c>
      <c r="CC91" s="59">
        <f t="shared" si="65"/>
        <v>931.80272596363511</v>
      </c>
      <c r="CD91" s="59">
        <f ca="1">AVERAGE(OFFSET($CC$3,0,0,'Données projet'!$E$12+1,1))-AVERAGE(OFFSET($H$3,0,0,'Données projet'!$E$12+1,1))</f>
        <v>291.0962681460345</v>
      </c>
      <c r="CE91" s="59">
        <f t="shared" si="94"/>
        <v>240.28311826371385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44.160817199012079</v>
      </c>
      <c r="CL91" s="21">
        <f>EXP(-LN(2)/25)*CL90+(1-EXP(-LN(2)/25))/(LN(2)/25)*Calculateur!CG91*Calculateur!CI91*VLOOKUP('Données projet'!$B$12,Paramètres!$A$1:$I$89,3,0)*0.475*44/12</f>
        <v>17.507966749540131</v>
      </c>
      <c r="CM91" s="21">
        <f>EXP(-LN(2)/2)*CM90+(1-EXP(-LN(2)/2))/(LN(2)/2)*CG91*CJ91*VLOOKUP('Données projet'!$B$12,Paramètres!$A$1:$I$89,3,0)*0.475*44/12</f>
        <v>3.7945266691544924E-2</v>
      </c>
      <c r="CN91" s="22">
        <f t="shared" si="66"/>
        <v>61.706729215243755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-5.3205440053716299E-14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225.92546546283018</v>
      </c>
      <c r="CZ91" s="59">
        <f t="shared" si="96"/>
        <v>309.38786160614563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51.728643671454186</v>
      </c>
      <c r="DG91" s="21">
        <f>EXP(-LN(2)/25)*DG90+(1-EXP(-LN(2)/25))/(LN(2)/25)*Calculateur!DB91*Calculateur!DD91*VLOOKUP('Données projet'!$B$13,Paramètres!$A$1:$I$89,3,0)*0.475*44/12</f>
        <v>40.26823148682103</v>
      </c>
      <c r="DH91" s="21">
        <f>EXP(-LN(2)/2)*DH90+(1-EXP(-LN(2)/2))/(LN(2)/2)*DB91*DE91*VLOOKUP('Données projet'!$B$13,Paramètres!$A$1:$I$89,3,0)*0.475*44/12</f>
        <v>4.4864858934188723E-9</v>
      </c>
      <c r="DI91" s="22">
        <f t="shared" si="69"/>
        <v>91.996875162761697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2.4</v>
      </c>
      <c r="DO91" s="12">
        <f>IF('Données projet'!$A$166&gt;35,DO90+DN91-DW90,IF(A91&lt;'Données projet'!$A$166,$DL$205^A91,IF(A91='Données projet'!$A$166,'Données projet'!$B$166,DO90+DN91-DW90)))</f>
        <v>164.2</v>
      </c>
      <c r="DP91" s="17">
        <f>DO91*VLOOKUP('Données projet'!$B$14,Paramètres!$A$1:$I$89,3,0)*VLOOKUP('Données projet'!$B$14,Paramètres!$A$1:$I$89,5,0)</f>
        <v>143.44512</v>
      </c>
      <c r="DQ91" s="13">
        <f t="shared" si="97"/>
        <v>37.085114005324186</v>
      </c>
      <c r="DR91" s="20">
        <f t="shared" si="70"/>
        <v>314.42349089260625</v>
      </c>
      <c r="DS91" s="59">
        <f t="shared" si="71"/>
        <v>607.75682422593957</v>
      </c>
      <c r="DT91" s="59">
        <f ca="1">AVERAGE(OFFSET($DS$3,0,0,'Données projet'!$E$14+1,1))-AVERAGE(OFFSET($H$3,0,0,'Données projet'!$E$14+1,1))</f>
        <v>150.06600397498823</v>
      </c>
      <c r="DU91" s="59">
        <f t="shared" si="98"/>
        <v>170.53034305929714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1.2522054758096277</v>
      </c>
      <c r="EB91" s="21">
        <f>EXP(-LN(2)/25)*EB90+(1-EXP(-LN(2)/25))/(LN(2)/25)*Calculateur!DW91*Calculateur!DY91*VLOOKUP('Données projet'!$B$14,Paramètres!$A$1:$I$89,3,0)*0.475*44/12</f>
        <v>6.7625076253879133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8.0147131011975414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-5.3205440053716299E-14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294.94285920643927</v>
      </c>
      <c r="T92" s="59">
        <f t="shared" si="88"/>
        <v>399.89535338426606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77.6745257814366</v>
      </c>
      <c r="AA92" s="21">
        <f>EXP(-LN(2)/25)*AA91+(1-EXP(-LN(2)/25))/(LN(2)/25)*Calculateur!V92*Calculateur!X92*VLOOKUP('Données projet'!$B$9,Paramètres!$A$1:$I$89,3,0)*0.475*44/12</f>
        <v>61.689939049110514</v>
      </c>
      <c r="AB92" s="21">
        <f>EXP(-LN(2)/2)*AB91+(1-EXP(-LN(2)/2))/(LN(2)/2)*V92*Y92*VLOOKUP('Données projet'!$B$9,Paramètres!$A$1:$I$89,3,0)*0.475*44/12</f>
        <v>1.1426627925777715E-8</v>
      </c>
      <c r="AC92" s="22">
        <f t="shared" si="57"/>
        <v>139.36446484197376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-1.0197709343628959E-13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200.14675249215634</v>
      </c>
      <c r="AO92" s="59">
        <f t="shared" si="90"/>
        <v>200.55017434999968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73.044727031582113</v>
      </c>
      <c r="AV92" s="21">
        <f>EXP(-LN(2)/25)*AV91+(1-EXP(-LN(2)/25))/(LN(2)/25)*Calculateur!AQ92*Calculateur!AS92*VLOOKUP('Données projet'!$B$10,Paramètres!$A$1:$I$89,3,0)*0.475*44/12</f>
        <v>16.172289907782748</v>
      </c>
      <c r="AW92" s="21">
        <f>EXP(-LN(2)/2)*AW91+(1-EXP(-LN(2)/2))/(LN(2)/2)*AQ92*AT92*VLOOKUP('Données projet'!$B$10,Paramètres!$A$1:$I$89,3,0)*0.475*44/12</f>
        <v>1.3794645332825817E-3</v>
      </c>
      <c r="AX92" s="21">
        <f t="shared" si="60"/>
        <v>89.218396403898154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4.7676923076923057</v>
      </c>
      <c r="BD92" s="12">
        <f>IF('Données projet'!$A$88&gt;35,BD91+BC92-BL91,IF(A92&lt;'Données projet'!$A$88,$BA$205^A92,IF(A92='Données projet'!$A$88,'Données projet'!$B$88,BD91+BC92-BL91)))</f>
        <v>312.43999999999983</v>
      </c>
      <c r="BE92" s="13">
        <f>BD92*VLOOKUP('Données projet'!$B$11,Paramètres!$A$1:$I$89,3,0)*VLOOKUP('Données projet'!$B$11,Paramètres!$A$1:$I$89,5,0)</f>
        <v>178.71567999999991</v>
      </c>
      <c r="BF92" s="13">
        <f t="shared" si="91"/>
        <v>45.03632965614289</v>
      </c>
      <c r="BG92" s="20">
        <f t="shared" si="61"/>
        <v>389.70141681778205</v>
      </c>
      <c r="BH92" s="59">
        <f t="shared" si="62"/>
        <v>683.0347501511153</v>
      </c>
      <c r="BI92" s="59">
        <f ca="1">AVERAGE(OFFSET($BH$3,0,0,'Données projet'!$E$11+1,1))-AVERAGE(OFFSET($H$3,0,0,'Données projet'!$E$11+1,1))</f>
        <v>182.46132340647313</v>
      </c>
      <c r="BJ92" s="59">
        <f t="shared" si="92"/>
        <v>130.51706975490481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31.282765080192579</v>
      </c>
      <c r="BQ92" s="21">
        <f>EXP(-LN(2)/25)*BQ91+(1-EXP(-LN(2)/25))/(LN(2)/25)*Calculateur!BL92*Calculateur!BN92*VLOOKUP('Données projet'!$B$11,Paramètres!$A$1:$I$89,3,0)*0.475*44/12</f>
        <v>8.9542971267459741</v>
      </c>
      <c r="BR92" s="21">
        <f>EXP(-LN(2)/2)*BR91+(1-EXP(-LN(2)/2))/(LN(2)/2)*BL92*BO92*VLOOKUP('Données projet'!$B$11,Paramètres!$A$1:$I$89,3,0)*0.475*44/12</f>
        <v>0.1351897958337224</v>
      </c>
      <c r="BS92" s="22">
        <f t="shared" si="63"/>
        <v>40.372252002772278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735.00000000000011</v>
      </c>
      <c r="BZ92" s="13">
        <f>BY92*VLOOKUP('Données projet'!$B$12,Paramètres!$A$1:$I$89,3,0)*VLOOKUP('Données projet'!$B$12,Paramètres!$A$1:$I$89,5,0)</f>
        <v>296.20500000000004</v>
      </c>
      <c r="CA92" s="13">
        <f t="shared" si="93"/>
        <v>70.380297204000939</v>
      </c>
      <c r="CB92" s="20">
        <f t="shared" si="64"/>
        <v>638.46939263030174</v>
      </c>
      <c r="CC92" s="59">
        <f t="shared" si="65"/>
        <v>931.80272596363511</v>
      </c>
      <c r="CD92" s="59">
        <f ca="1">AVERAGE(OFFSET($CC$3,0,0,'Données projet'!$E$12+1,1))-AVERAGE(OFFSET($H$3,0,0,'Données projet'!$E$12+1,1))</f>
        <v>291.0962681460345</v>
      </c>
      <c r="CE92" s="59">
        <f t="shared" si="94"/>
        <v>240.28311826371385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43.294850509178289</v>
      </c>
      <c r="CL92" s="21">
        <f>EXP(-LN(2)/25)*CL91+(1-EXP(-LN(2)/25))/(LN(2)/25)*Calculateur!CG92*Calculateur!CI92*VLOOKUP('Données projet'!$B$12,Paramètres!$A$1:$I$89,3,0)*0.475*44/12</f>
        <v>17.029210478069999</v>
      </c>
      <c r="CM92" s="21">
        <f>EXP(-LN(2)/2)*CM91+(1-EXP(-LN(2)/2))/(LN(2)/2)*CG92*CJ92*VLOOKUP('Données projet'!$B$12,Paramètres!$A$1:$I$89,3,0)*0.475*44/12</f>
        <v>2.6831355391523447E-2</v>
      </c>
      <c r="CN92" s="22">
        <f t="shared" si="66"/>
        <v>60.35089234263981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-5.3205440053716299E-14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225.92546546283018</v>
      </c>
      <c r="CZ92" s="59">
        <f t="shared" si="96"/>
        <v>309.38786160614563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50.714276520414174</v>
      </c>
      <c r="DG92" s="21">
        <f>EXP(-LN(2)/25)*DG91+(1-EXP(-LN(2)/25))/(LN(2)/25)*Calculateur!DB92*Calculateur!DD92*VLOOKUP('Données projet'!$B$13,Paramètres!$A$1:$I$89,3,0)*0.475*44/12</f>
        <v>39.167094579199649</v>
      </c>
      <c r="DH92" s="21">
        <f>EXP(-LN(2)/2)*DH91+(1-EXP(-LN(2)/2))/(LN(2)/2)*DB92*DE92*VLOOKUP('Données projet'!$B$13,Paramètres!$A$1:$I$89,3,0)*0.475*44/12</f>
        <v>3.1724245989342707E-9</v>
      </c>
      <c r="DI92" s="22">
        <f t="shared" si="69"/>
        <v>89.881371102786261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2.4</v>
      </c>
      <c r="DO92" s="12">
        <f>IF('Données projet'!$A$166&gt;35,DO91+DN92-DW91,IF(A92&lt;'Données projet'!$A$166,$DL$205^A92,IF(A92='Données projet'!$A$166,'Données projet'!$B$166,DO91+DN92-DW91)))</f>
        <v>166.6</v>
      </c>
      <c r="DP92" s="17">
        <f>DO92*VLOOKUP('Données projet'!$B$14,Paramètres!$A$1:$I$89,3,0)*VLOOKUP('Données projet'!$B$14,Paramètres!$A$1:$I$89,5,0)</f>
        <v>145.54176000000001</v>
      </c>
      <c r="DQ92" s="13">
        <f t="shared" si="97"/>
        <v>37.563662342876064</v>
      </c>
      <c r="DR92" s="20">
        <f t="shared" si="70"/>
        <v>318.90861058050916</v>
      </c>
      <c r="DS92" s="59">
        <f t="shared" si="71"/>
        <v>612.24194391384253</v>
      </c>
      <c r="DT92" s="59">
        <f ca="1">AVERAGE(OFFSET($DS$3,0,0,'Données projet'!$E$14+1,1))-AVERAGE(OFFSET($H$3,0,0,'Données projet'!$E$14+1,1))</f>
        <v>150.06600397498823</v>
      </c>
      <c r="DU92" s="59">
        <f t="shared" si="98"/>
        <v>170.53034305929714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1.2276504901989251</v>
      </c>
      <c r="EB92" s="21">
        <f>EXP(-LN(2)/25)*EB91+(1-EXP(-LN(2)/25))/(LN(2)/25)*Calculateur!DW92*Calculateur!DY92*VLOOKUP('Données projet'!$B$14,Paramètres!$A$1:$I$89,3,0)*0.475*44/12</f>
        <v>6.5775864987468609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7.8052369889457864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-5.3205440053716299E-14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294.94285920643927</v>
      </c>
      <c r="T93" s="59">
        <f t="shared" si="88"/>
        <v>399.89535338426606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76.151375707645286</v>
      </c>
      <c r="AA93" s="21">
        <f>EXP(-LN(2)/25)*AA92+(1-EXP(-LN(2)/25))/(LN(2)/25)*Calculateur!V93*Calculateur!X93*VLOOKUP('Données projet'!$B$9,Paramètres!$A$1:$I$89,3,0)*0.475*44/12</f>
        <v>60.003024421679683</v>
      </c>
      <c r="AB93" s="21">
        <f>EXP(-LN(2)/2)*AB92+(1-EXP(-LN(2)/2))/(LN(2)/2)*V93*Y93*VLOOKUP('Données projet'!$B$9,Paramètres!$A$1:$I$89,3,0)*0.475*44/12</f>
        <v>8.079846092412996E-9</v>
      </c>
      <c r="AC93" s="22">
        <f t="shared" si="57"/>
        <v>136.15440013740482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-1.0197709343628959E-13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200.14675249215634</v>
      </c>
      <c r="AO93" s="59">
        <f t="shared" si="90"/>
        <v>200.55017434999968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71.61236448737705</v>
      </c>
      <c r="AV93" s="21">
        <f>EXP(-LN(2)/25)*AV92+(1-EXP(-LN(2)/25))/(LN(2)/25)*Calculateur!AQ93*Calculateur!AS93*VLOOKUP('Données projet'!$B$10,Paramètres!$A$1:$I$89,3,0)*0.475*44/12</f>
        <v>15.730057789790665</v>
      </c>
      <c r="AW93" s="21">
        <f>EXP(-LN(2)/2)*AW92+(1-EXP(-LN(2)/2))/(LN(2)/2)*AQ93*AT93*VLOOKUP('Données projet'!$B$10,Paramètres!$A$1:$I$89,3,0)*0.475*44/12</f>
        <v>9.754287258904495E-4</v>
      </c>
      <c r="AX93" s="21">
        <f t="shared" si="60"/>
        <v>87.343397705893608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317.2076923076923</v>
      </c>
      <c r="BB93" s="12">
        <f>VLOOKUP(A93,'Données projet'!$A$87:$I$107,9,0)</f>
        <v>4.7676923076923057</v>
      </c>
      <c r="BC93" s="12">
        <f t="array" ref="BC93">INDEX(BB:BB,MIN(IF(ISNUMBER(BB93:BB289),ROW(BB93:BB289),"")))</f>
        <v>4.7676923076923057</v>
      </c>
      <c r="BD93" s="12">
        <f>IF('Données projet'!$A$88&gt;35,BD92+BC93-BL92,IF(A93&lt;'Données projet'!$A$88,$BA$205^A93,IF(A93='Données projet'!$A$88,'Données projet'!$B$88,BD92+BC93-BL92)))</f>
        <v>317.20769230769213</v>
      </c>
      <c r="BE93" s="13">
        <f>BD93*VLOOKUP('Données projet'!$B$11,Paramètres!$A$1:$I$89,3,0)*VLOOKUP('Données projet'!$B$11,Paramètres!$A$1:$I$89,5,0)</f>
        <v>181.44279999999992</v>
      </c>
      <c r="BF93" s="13">
        <f t="shared" si="91"/>
        <v>45.64303328279761</v>
      </c>
      <c r="BG93" s="20">
        <f t="shared" si="61"/>
        <v>395.5078263008723</v>
      </c>
      <c r="BH93" s="59">
        <f t="shared" si="62"/>
        <v>688.84115963420561</v>
      </c>
      <c r="BI93" s="59">
        <f ca="1">AVERAGE(OFFSET($BH$3,0,0,'Données projet'!$E$11+1,1))-AVERAGE(OFFSET($H$3,0,0,'Données projet'!$E$11+1,1))</f>
        <v>182.46132340647313</v>
      </c>
      <c r="BJ93" s="59">
        <f t="shared" si="92"/>
        <v>130.51706975490481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35.161538461538463</v>
      </c>
      <c r="BM93" s="16">
        <f>IF(ISNA(VLOOKUP(A93,'Données projet'!$A$87:$I$107,5,0)),0%,VLOOKUP(A93,'Données projet'!$A$87:$I$107,5,0)*VLOOKUP('Données projet'!$B$11,Paramètres!$A$1:$I$89,7,0))</f>
        <v>0.315</v>
      </c>
      <c r="BN93" s="16">
        <f>IF(ISNA(VLOOKUP(A93,'Données projet'!$A$87:$I$107,6,0)),0%,VLOOKUP(A93,'Données projet'!$A$87:$I$107,6,0)*VLOOKUP('Données projet'!$B$11,Paramètres!$A$1:$I$89,7,0))</f>
        <v>7.6500000000000012E-2</v>
      </c>
      <c r="BO93" s="16">
        <f>IF(ISNA(VLOOKUP(A93,'Données projet'!$A$87:$I$107,7,0)),0%,VLOOKUP(A93,'Données projet'!$A$87:$I$107,7,0))</f>
        <v>0.13</v>
      </c>
      <c r="BP93" s="21">
        <f>EXP(-LN(2)/35)*BP92+(1-EXP(-LN(2)/35))/(LN(2)/35)*BL93*BM93*VLOOKUP('Données projet'!$B$11,Paramètres!$A$1:$I$89,3,0)*0.475*44/12</f>
        <v>39.073653547951047</v>
      </c>
      <c r="BQ93" s="21">
        <f>EXP(-LN(2)/25)*BQ92+(1-EXP(-LN(2)/25))/(LN(2)/25)*Calculateur!BL93*Calculateur!BN93*VLOOKUP('Données projet'!$B$11,Paramètres!$A$1:$I$89,3,0)*0.475*44/12</f>
        <v>10.742455222484706</v>
      </c>
      <c r="BR93" s="21">
        <f>EXP(-LN(2)/2)*BR92+(1-EXP(-LN(2)/2))/(LN(2)/2)*BL93*BO93*VLOOKUP('Données projet'!$B$11,Paramètres!$A$1:$I$89,3,0)*0.475*44/12</f>
        <v>3.0559417732815182</v>
      </c>
      <c r="BS93" s="22">
        <f t="shared" si="63"/>
        <v>52.872050543717272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735.00000000000011</v>
      </c>
      <c r="BZ93" s="13">
        <f>BY93*VLOOKUP('Données projet'!$B$12,Paramètres!$A$1:$I$89,3,0)*VLOOKUP('Données projet'!$B$12,Paramètres!$A$1:$I$89,5,0)</f>
        <v>296.20500000000004</v>
      </c>
      <c r="CA93" s="13">
        <f t="shared" si="93"/>
        <v>70.380297204000939</v>
      </c>
      <c r="CB93" s="20">
        <f t="shared" si="64"/>
        <v>638.46939263030174</v>
      </c>
      <c r="CC93" s="59">
        <f t="shared" si="65"/>
        <v>931.80272596363511</v>
      </c>
      <c r="CD93" s="59">
        <f ca="1">AVERAGE(OFFSET($CC$3,0,0,'Données projet'!$E$12+1,1))-AVERAGE(OFFSET($H$3,0,0,'Données projet'!$E$12+1,1))</f>
        <v>291.0962681460345</v>
      </c>
      <c r="CE93" s="59">
        <f t="shared" si="94"/>
        <v>240.28311826371385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42.445864897944617</v>
      </c>
      <c r="CL93" s="21">
        <f>EXP(-LN(2)/25)*CL92+(1-EXP(-LN(2)/25))/(LN(2)/25)*Calculateur!CG93*Calculateur!CI93*VLOOKUP('Données projet'!$B$12,Paramètres!$A$1:$I$89,3,0)*0.475*44/12</f>
        <v>16.563545822019915</v>
      </c>
      <c r="CM93" s="21">
        <f>EXP(-LN(2)/2)*CM92+(1-EXP(-LN(2)/2))/(LN(2)/2)*CG93*CJ93*VLOOKUP('Données projet'!$B$12,Paramètres!$A$1:$I$89,3,0)*0.475*44/12</f>
        <v>1.8972633345772462E-2</v>
      </c>
      <c r="CN93" s="22">
        <f t="shared" si="66"/>
        <v>59.028383353310311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-5.3205440053716299E-14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225.92546546283018</v>
      </c>
      <c r="CZ93" s="59">
        <f t="shared" si="96"/>
        <v>309.38786160614563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49.719800490503182</v>
      </c>
      <c r="DG93" s="21">
        <f>EXP(-LN(2)/25)*DG92+(1-EXP(-LN(2)/25))/(LN(2)/25)*Calculateur!DB93*Calculateur!DD93*VLOOKUP('Données projet'!$B$13,Paramètres!$A$1:$I$89,3,0)*0.475*44/12</f>
        <v>38.096068318223445</v>
      </c>
      <c r="DH93" s="21">
        <f>EXP(-LN(2)/2)*DH92+(1-EXP(-LN(2)/2))/(LN(2)/2)*DB93*DE93*VLOOKUP('Données projet'!$B$13,Paramètres!$A$1:$I$89,3,0)*0.475*44/12</f>
        <v>2.2432429467094361E-9</v>
      </c>
      <c r="DI93" s="22">
        <f t="shared" si="69"/>
        <v>87.815868810969874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169</v>
      </c>
      <c r="DM93" s="12">
        <f>VLOOKUP(A93,'Données projet'!$A$165:$I$185,9,0)</f>
        <v>2.4</v>
      </c>
      <c r="DN93" s="12">
        <f t="array" ref="DN93">INDEX(DM:DM,MIN(IF(ISNUMBER(DM93:DM289),ROW(DM93:DM289),"")))</f>
        <v>2.4</v>
      </c>
      <c r="DO93" s="12">
        <f>IF('Données projet'!$A$166&gt;35,DO92+DN93-DW92,IF(A93&lt;'Données projet'!$A$166,$DL$205^A93,IF(A93='Données projet'!$A$166,'Données projet'!$B$166,DO92+DN93-DW92)))</f>
        <v>169</v>
      </c>
      <c r="DP93" s="17">
        <f>DO93*VLOOKUP('Données projet'!$B$14,Paramètres!$A$1:$I$89,3,0)*VLOOKUP('Données projet'!$B$14,Paramètres!$A$1:$I$89,5,0)</f>
        <v>147.63840000000002</v>
      </c>
      <c r="DQ93" s="13">
        <f t="shared" si="97"/>
        <v>38.04140887895133</v>
      </c>
      <c r="DR93" s="20">
        <f t="shared" si="70"/>
        <v>323.39233379750692</v>
      </c>
      <c r="DS93" s="59">
        <f t="shared" si="71"/>
        <v>616.72566713084029</v>
      </c>
      <c r="DT93" s="59">
        <f ca="1">AVERAGE(OFFSET($DS$3,0,0,'Données projet'!$E$14+1,1))-AVERAGE(OFFSET($H$3,0,0,'Données projet'!$E$14+1,1))</f>
        <v>150.06600397498823</v>
      </c>
      <c r="DU93" s="59">
        <f t="shared" si="98"/>
        <v>170.53034305929714</v>
      </c>
      <c r="DV93" s="15">
        <f>IF(ISNA(VLOOKUP(A93,'Données projet'!$A$165:$I$185,3,0)),0,VLOOKUP(A93,'Données projet'!$A$165:$I$185,3,0))</f>
        <v>13</v>
      </c>
      <c r="DW93" s="15">
        <f>IF(ISNA(VLOOKUP(A93,'Données projet'!$A$165:$I$185,4,0)),0,VLOOKUP(A93,'Données projet'!$A$165:$I$185,4,0))</f>
        <v>8</v>
      </c>
      <c r="DX93" s="16">
        <f>IF(ISNA(VLOOKUP(A93,'Données projet'!$A$165:$I$185,5,0)),0%,VLOOKUP(A93,'Données projet'!$A$165:$I$185,5,0)*VLOOKUP('Données projet'!$B$14,Paramètres!$A$1:$I$89,7,0))</f>
        <v>0.17200000000000001</v>
      </c>
      <c r="DY93" s="16">
        <f>IF(ISNA(VLOOKUP(A93,'Données projet'!$A$165:$I$185,6,0)),0%,VLOOKUP(A93,'Données projet'!$A$165:$I$185,6,0)*VLOOKUP('Données projet'!$B$14,Paramètres!$A$1:$I$89,7,0))</f>
        <v>0.17200000000000001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2.5324337716975256</v>
      </c>
      <c r="EB93" s="21">
        <f>EXP(-LN(2)/25)*EB92+(1-EXP(-LN(2)/25))/(LN(2)/25)*Calculateur!DW93*Calculateur!DY93*VLOOKUP('Données projet'!$B$14,Paramètres!$A$1:$I$89,3,0)*0.475*44/12</f>
        <v>7.7213465934633376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10.253780365160864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-5.3205440053716299E-14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294.94285920643927</v>
      </c>
      <c r="T94" s="59">
        <f t="shared" si="88"/>
        <v>399.89535338426606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74.658093677771205</v>
      </c>
      <c r="AA94" s="21">
        <f>EXP(-LN(2)/25)*AA93+(1-EXP(-LN(2)/25))/(LN(2)/25)*Calculateur!V94*Calculateur!X94*VLOOKUP('Données projet'!$B$9,Paramètres!$A$1:$I$89,3,0)*0.475*44/12</f>
        <v>58.362238563446937</v>
      </c>
      <c r="AB94" s="21">
        <f>EXP(-LN(2)/2)*AB93+(1-EXP(-LN(2)/2))/(LN(2)/2)*V94*Y94*VLOOKUP('Données projet'!$B$9,Paramètres!$A$1:$I$89,3,0)*0.475*44/12</f>
        <v>5.7133139628888574E-9</v>
      </c>
      <c r="AC94" s="22">
        <f t="shared" si="57"/>
        <v>133.02033224693145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-1.0197709343628959E-13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200.14675249215634</v>
      </c>
      <c r="AO94" s="59">
        <f t="shared" si="90"/>
        <v>200.55017434999968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70.208089699008951</v>
      </c>
      <c r="AV94" s="21">
        <f>EXP(-LN(2)/25)*AV93+(1-EXP(-LN(2)/25))/(LN(2)/25)*Calculateur!AQ94*Calculateur!AS94*VLOOKUP('Données projet'!$B$10,Paramètres!$A$1:$I$89,3,0)*0.475*44/12</f>
        <v>15.299918532321051</v>
      </c>
      <c r="AW94" s="21">
        <f>EXP(-LN(2)/2)*AW93+(1-EXP(-LN(2)/2))/(LN(2)/2)*AQ94*AT94*VLOOKUP('Données projet'!$B$10,Paramètres!$A$1:$I$89,3,0)*0.475*44/12</f>
        <v>6.8973226664129094E-4</v>
      </c>
      <c r="AX94" s="21">
        <f t="shared" si="60"/>
        <v>85.508697963596632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4.1123076923076898</v>
      </c>
      <c r="BD94" s="12">
        <f>IF('Données projet'!$A$88&gt;35,BD93+BC94-BL93,IF(A94&lt;'Données projet'!$A$88,$BA$205^A94,IF(A94='Données projet'!$A$88,'Données projet'!$B$88,BD93+BC94-BL93)))</f>
        <v>286.15846153846138</v>
      </c>
      <c r="BE94" s="13">
        <f>BD94*VLOOKUP('Données projet'!$B$11,Paramètres!$A$1:$I$89,3,0)*VLOOKUP('Données projet'!$B$11,Paramètres!$A$1:$I$89,5,0)</f>
        <v>163.68263999999994</v>
      </c>
      <c r="BF94" s="13">
        <f t="shared" si="91"/>
        <v>41.672041875460934</v>
      </c>
      <c r="BG94" s="20">
        <f t="shared" si="61"/>
        <v>357.65940426642766</v>
      </c>
      <c r="BH94" s="59">
        <f t="shared" si="62"/>
        <v>650.99273759976097</v>
      </c>
      <c r="BI94" s="59">
        <f ca="1">AVERAGE(OFFSET($BH$3,0,0,'Données projet'!$E$11+1,1))-AVERAGE(OFFSET($H$3,0,0,'Données projet'!$E$11+1,1))</f>
        <v>182.46132340647313</v>
      </c>
      <c r="BJ94" s="59">
        <f t="shared" si="92"/>
        <v>130.51706975490481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38.307443034451119</v>
      </c>
      <c r="BQ94" s="21">
        <f>EXP(-LN(2)/25)*BQ93+(1-EXP(-LN(2)/25))/(LN(2)/25)*Calculateur!BL94*Calculateur!BN94*VLOOKUP('Données projet'!$B$11,Paramètres!$A$1:$I$89,3,0)*0.475*44/12</f>
        <v>10.448702219504694</v>
      </c>
      <c r="BR94" s="21">
        <f>EXP(-LN(2)/2)*BR93+(1-EXP(-LN(2)/2))/(LN(2)/2)*BL94*BO94*VLOOKUP('Données projet'!$B$11,Paramètres!$A$1:$I$89,3,0)*0.475*44/12</f>
        <v>2.1608771507986044</v>
      </c>
      <c r="BS94" s="22">
        <f t="shared" si="63"/>
        <v>50.91702240475442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735.00000000000011</v>
      </c>
      <c r="BZ94" s="13">
        <f>BY94*VLOOKUP('Données projet'!$B$12,Paramètres!$A$1:$I$89,3,0)*VLOOKUP('Données projet'!$B$12,Paramètres!$A$1:$I$89,5,0)</f>
        <v>296.20500000000004</v>
      </c>
      <c r="CA94" s="13">
        <f t="shared" si="93"/>
        <v>70.380297204000939</v>
      </c>
      <c r="CB94" s="20">
        <f t="shared" si="64"/>
        <v>638.46939263030174</v>
      </c>
      <c r="CC94" s="59">
        <f t="shared" si="65"/>
        <v>931.80272596363511</v>
      </c>
      <c r="CD94" s="59">
        <f ca="1">AVERAGE(OFFSET($CC$3,0,0,'Données projet'!$E$12+1,1))-AVERAGE(OFFSET($H$3,0,0,'Données projet'!$E$12+1,1))</f>
        <v>291.0962681460345</v>
      </c>
      <c r="CE94" s="59">
        <f t="shared" si="94"/>
        <v>240.28311826371385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41.613527376717144</v>
      </c>
      <c r="CL94" s="21">
        <f>EXP(-LN(2)/25)*CL93+(1-EXP(-LN(2)/25))/(LN(2)/25)*Calculateur!CG94*Calculateur!CI94*VLOOKUP('Données projet'!$B$12,Paramètres!$A$1:$I$89,3,0)*0.475*44/12</f>
        <v>16.110614790477761</v>
      </c>
      <c r="CM94" s="21">
        <f>EXP(-LN(2)/2)*CM93+(1-EXP(-LN(2)/2))/(LN(2)/2)*CG94*CJ94*VLOOKUP('Données projet'!$B$12,Paramètres!$A$1:$I$89,3,0)*0.475*44/12</f>
        <v>1.3415677695761723E-2</v>
      </c>
      <c r="CN94" s="22">
        <f t="shared" si="66"/>
        <v>57.737557844890667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-5.3205440053716299E-14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225.92546546283018</v>
      </c>
      <c r="CZ94" s="59">
        <f t="shared" si="96"/>
        <v>309.38786160614563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48.744825528968263</v>
      </c>
      <c r="DG94" s="21">
        <f>EXP(-LN(2)/25)*DG93+(1-EXP(-LN(2)/25))/(LN(2)/25)*Calculateur!DB94*Calculateur!DD94*VLOOKUP('Données projet'!$B$13,Paramètres!$A$1:$I$89,3,0)*0.475*44/12</f>
        <v>37.054329326676459</v>
      </c>
      <c r="DH94" s="21">
        <f>EXP(-LN(2)/2)*DH93+(1-EXP(-LN(2)/2))/(LN(2)/2)*DB94*DE94*VLOOKUP('Données projet'!$B$13,Paramètres!$A$1:$I$89,3,0)*0.475*44/12</f>
        <v>1.5862122994671354E-9</v>
      </c>
      <c r="DI94" s="22">
        <f t="shared" si="69"/>
        <v>85.799154857230945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2.6</v>
      </c>
      <c r="DO94" s="12">
        <f>IF('Données projet'!$A$166&gt;35,DO93+DN94-DW93,IF(A94&lt;'Données projet'!$A$166,$DL$205^A94,IF(A94='Données projet'!$A$166,'Données projet'!$B$166,DO93+DN94-DW93)))</f>
        <v>163.6</v>
      </c>
      <c r="DP94" s="17">
        <f>DO94*VLOOKUP('Données projet'!$B$14,Paramètres!$A$1:$I$89,3,0)*VLOOKUP('Données projet'!$B$14,Paramètres!$A$1:$I$89,5,0)</f>
        <v>142.92096000000001</v>
      </c>
      <c r="DQ94" s="13">
        <f t="shared" si="97"/>
        <v>36.965350113713654</v>
      </c>
      <c r="DR94" s="20">
        <f t="shared" si="70"/>
        <v>313.30199011471797</v>
      </c>
      <c r="DS94" s="59">
        <f t="shared" si="71"/>
        <v>606.63532344805128</v>
      </c>
      <c r="DT94" s="59">
        <f ca="1">AVERAGE(OFFSET($DS$3,0,0,'Données projet'!$E$14+1,1))-AVERAGE(OFFSET($H$3,0,0,'Données projet'!$E$14+1,1))</f>
        <v>150.06600397498823</v>
      </c>
      <c r="DU94" s="59">
        <f t="shared" si="98"/>
        <v>170.53034305929714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2.4827742900666183</v>
      </c>
      <c r="EB94" s="21">
        <f>EXP(-LN(2)/25)*EB93+(1-EXP(-LN(2)/25))/(LN(2)/25)*Calculateur!DW94*Calculateur!DY94*VLOOKUP('Données projet'!$B$14,Paramètres!$A$1:$I$89,3,0)*0.475*44/12</f>
        <v>7.5102059648171124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9.9929802548837312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-5.3205440053716299E-14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294.94285920643927</v>
      </c>
      <c r="T95" s="59">
        <f t="shared" si="88"/>
        <v>399.89535338426606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73.194093997690857</v>
      </c>
      <c r="AA95" s="21">
        <f>EXP(-LN(2)/25)*AA94+(1-EXP(-LN(2)/25))/(LN(2)/25)*Calculateur!V95*Calculateur!X95*VLOOKUP('Données projet'!$B$9,Paramètres!$A$1:$I$89,3,0)*0.475*44/12</f>
        <v>56.766320080792745</v>
      </c>
      <c r="AB95" s="21">
        <f>EXP(-LN(2)/2)*AB94+(1-EXP(-LN(2)/2))/(LN(2)/2)*V95*Y95*VLOOKUP('Données projet'!$B$9,Paramètres!$A$1:$I$89,3,0)*0.475*44/12</f>
        <v>4.039923046206498E-9</v>
      </c>
      <c r="AC95" s="22">
        <f t="shared" si="57"/>
        <v>129.96041408252353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-1.0197709343628959E-13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200.14675249215634</v>
      </c>
      <c r="AO95" s="59">
        <f t="shared" si="90"/>
        <v>200.55017434999968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68.831351882717712</v>
      </c>
      <c r="AV95" s="21">
        <f>EXP(-LN(2)/25)*AV94+(1-EXP(-LN(2)/25))/(LN(2)/25)*Calculateur!AQ95*Calculateur!AS95*VLOOKUP('Données projet'!$B$10,Paramètres!$A$1:$I$89,3,0)*0.475*44/12</f>
        <v>14.881541455466985</v>
      </c>
      <c r="AW95" s="21">
        <f>EXP(-LN(2)/2)*AW94+(1-EXP(-LN(2)/2))/(LN(2)/2)*AQ95*AT95*VLOOKUP('Données projet'!$B$10,Paramètres!$A$1:$I$89,3,0)*0.475*44/12</f>
        <v>4.877143629452248E-4</v>
      </c>
      <c r="AX95" s="21">
        <f t="shared" si="60"/>
        <v>83.713381052547646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4.1123076923076898</v>
      </c>
      <c r="BD95" s="12">
        <f>IF('Données projet'!$A$88&gt;35,BD94+BC95-BL94,IF(A95&lt;'Données projet'!$A$88,$BA$205^A95,IF(A95='Données projet'!$A$88,'Données projet'!$B$88,BD94+BC95-BL94)))</f>
        <v>290.27076923076908</v>
      </c>
      <c r="BE95" s="13">
        <f>BD95*VLOOKUP('Données projet'!$B$11,Paramètres!$A$1:$I$89,3,0)*VLOOKUP('Données projet'!$B$11,Paramètres!$A$1:$I$89,5,0)</f>
        <v>166.0348799999999</v>
      </c>
      <c r="BF95" s="13">
        <f t="shared" si="91"/>
        <v>42.200752504647333</v>
      </c>
      <c r="BG95" s="20">
        <f t="shared" si="61"/>
        <v>362.67705994559395</v>
      </c>
      <c r="BH95" s="59">
        <f t="shared" si="62"/>
        <v>656.01039327892727</v>
      </c>
      <c r="BI95" s="59">
        <f ca="1">AVERAGE(OFFSET($BH$3,0,0,'Données projet'!$E$11+1,1))-AVERAGE(OFFSET($H$3,0,0,'Données projet'!$E$11+1,1))</f>
        <v>182.46132340647313</v>
      </c>
      <c r="BJ95" s="59">
        <f t="shared" si="92"/>
        <v>130.51706975490481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37.556257441778655</v>
      </c>
      <c r="BQ95" s="21">
        <f>EXP(-LN(2)/25)*BQ94+(1-EXP(-LN(2)/25))/(LN(2)/25)*Calculateur!BL95*Calculateur!BN95*VLOOKUP('Données projet'!$B$11,Paramètres!$A$1:$I$89,3,0)*0.475*44/12</f>
        <v>10.162981907838969</v>
      </c>
      <c r="BR95" s="21">
        <f>EXP(-LN(2)/2)*BR94+(1-EXP(-LN(2)/2))/(LN(2)/2)*BL95*BO95*VLOOKUP('Données projet'!$B$11,Paramètres!$A$1:$I$89,3,0)*0.475*44/12</f>
        <v>1.5279708866407591</v>
      </c>
      <c r="BS95" s="22">
        <f t="shared" si="63"/>
        <v>49.247210236258383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735.00000000000011</v>
      </c>
      <c r="BZ95" s="13">
        <f>BY95*VLOOKUP('Données projet'!$B$12,Paramètres!$A$1:$I$89,3,0)*VLOOKUP('Données projet'!$B$12,Paramètres!$A$1:$I$89,5,0)</f>
        <v>296.20500000000004</v>
      </c>
      <c r="CA95" s="13">
        <f t="shared" si="93"/>
        <v>70.380297204000939</v>
      </c>
      <c r="CB95" s="20">
        <f t="shared" si="64"/>
        <v>638.46939263030174</v>
      </c>
      <c r="CC95" s="59">
        <f t="shared" si="65"/>
        <v>931.80272596363511</v>
      </c>
      <c r="CD95" s="59">
        <f ca="1">AVERAGE(OFFSET($CC$3,0,0,'Données projet'!$E$12+1,1))-AVERAGE(OFFSET($H$3,0,0,'Données projet'!$E$12+1,1))</f>
        <v>291.0962681460345</v>
      </c>
      <c r="CE95" s="59">
        <f t="shared" si="94"/>
        <v>240.28311826371385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40.797511486605181</v>
      </c>
      <c r="CL95" s="21">
        <f>EXP(-LN(2)/25)*CL94+(1-EXP(-LN(2)/25))/(LN(2)/25)*Calculateur!CG95*Calculateur!CI95*VLOOKUP('Données projet'!$B$12,Paramètres!$A$1:$I$89,3,0)*0.475*44/12</f>
        <v>15.670069181811737</v>
      </c>
      <c r="CM95" s="21">
        <f>EXP(-LN(2)/2)*CM94+(1-EXP(-LN(2)/2))/(LN(2)/2)*CG95*CJ95*VLOOKUP('Données projet'!$B$12,Paramètres!$A$1:$I$89,3,0)*0.475*44/12</f>
        <v>9.486316672886231E-3</v>
      </c>
      <c r="CN95" s="22">
        <f t="shared" si="66"/>
        <v>56.477066985089799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-5.3205440053716299E-14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225.92546546283018</v>
      </c>
      <c r="CZ95" s="59">
        <f t="shared" si="96"/>
        <v>309.38786160614563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47.788969231753036</v>
      </c>
      <c r="DG95" s="21">
        <f>EXP(-LN(2)/25)*DG94+(1-EXP(-LN(2)/25))/(LN(2)/25)*Calculateur!DB95*Calculateur!DD95*VLOOKUP('Données projet'!$B$13,Paramètres!$A$1:$I$89,3,0)*0.475*44/12</f>
        <v>36.041076742636001</v>
      </c>
      <c r="DH95" s="21">
        <f>EXP(-LN(2)/2)*DH94+(1-EXP(-LN(2)/2))/(LN(2)/2)*DB95*DE95*VLOOKUP('Données projet'!$B$13,Paramètres!$A$1:$I$89,3,0)*0.475*44/12</f>
        <v>1.1216214733547181E-9</v>
      </c>
      <c r="DI95" s="22">
        <f t="shared" si="69"/>
        <v>83.830045975510657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2.6</v>
      </c>
      <c r="DO95" s="12">
        <f>IF('Données projet'!$A$166&gt;35,DO94+DN95-DW94,IF(A95&lt;'Données projet'!$A$166,$DL$205^A95,IF(A95='Données projet'!$A$166,'Données projet'!$B$166,DO94+DN95-DW94)))</f>
        <v>166.2</v>
      </c>
      <c r="DP95" s="17">
        <f>DO95*VLOOKUP('Données projet'!$B$14,Paramètres!$A$1:$I$89,3,0)*VLOOKUP('Données projet'!$B$14,Paramètres!$A$1:$I$89,5,0)</f>
        <v>145.19232</v>
      </c>
      <c r="DQ95" s="13">
        <f t="shared" si="97"/>
        <v>37.48396031597408</v>
      </c>
      <c r="DR95" s="20">
        <f t="shared" si="70"/>
        <v>318.16118821698814</v>
      </c>
      <c r="DS95" s="59">
        <f t="shared" si="71"/>
        <v>611.49452155032145</v>
      </c>
      <c r="DT95" s="59">
        <f ca="1">AVERAGE(OFFSET($DS$3,0,0,'Données projet'!$E$14+1,1))-AVERAGE(OFFSET($H$3,0,0,'Données projet'!$E$14+1,1))</f>
        <v>150.06600397498823</v>
      </c>
      <c r="DU95" s="59">
        <f t="shared" si="98"/>
        <v>170.53034305929714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2.4340886005811999</v>
      </c>
      <c r="EB95" s="21">
        <f>EXP(-LN(2)/25)*EB94+(1-EXP(-LN(2)/25))/(LN(2)/25)*Calculateur!DW95*Calculateur!DY95*VLOOKUP('Données projet'!$B$14,Paramètres!$A$1:$I$89,3,0)*0.475*44/12</f>
        <v>7.3048389877646214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9.7389275883458204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-5.3205440053716299E-14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294.94285920643927</v>
      </c>
      <c r="T96" s="59">
        <f t="shared" si="88"/>
        <v>399.89535338426606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71.758802458385247</v>
      </c>
      <c r="AA96" s="21">
        <f>EXP(-LN(2)/25)*AA95+(1-EXP(-LN(2)/25))/(LN(2)/25)*Calculateur!V96*Calculateur!X96*VLOOKUP('Données projet'!$B$9,Paramètres!$A$1:$I$89,3,0)*0.475*44/12</f>
        <v>55.214042072972433</v>
      </c>
      <c r="AB96" s="21">
        <f>EXP(-LN(2)/2)*AB95+(1-EXP(-LN(2)/2))/(LN(2)/2)*V96*Y96*VLOOKUP('Données projet'!$B$9,Paramètres!$A$1:$I$89,3,0)*0.475*44/12</f>
        <v>2.8566569814444287E-9</v>
      </c>
      <c r="AC96" s="22">
        <f t="shared" si="57"/>
        <v>126.97284453421433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-1.0197709343628959E-13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200.14675249215634</v>
      </c>
      <c r="AO96" s="59">
        <f t="shared" si="90"/>
        <v>200.55017434999968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67.481611055276787</v>
      </c>
      <c r="AV96" s="21">
        <f>EXP(-LN(2)/25)*AV95+(1-EXP(-LN(2)/25))/(LN(2)/25)*Calculateur!AQ96*Calculateur!AS96*VLOOKUP('Données projet'!$B$10,Paramètres!$A$1:$I$89,3,0)*0.475*44/12</f>
        <v>14.474604921780987</v>
      </c>
      <c r="AW96" s="21">
        <f>EXP(-LN(2)/2)*AW95+(1-EXP(-LN(2)/2))/(LN(2)/2)*AQ96*AT96*VLOOKUP('Données projet'!$B$10,Paramètres!$A$1:$I$89,3,0)*0.475*44/12</f>
        <v>3.4486613332064553E-4</v>
      </c>
      <c r="AX96" s="21">
        <f t="shared" si="60"/>
        <v>81.956560843191099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4.1123076923076898</v>
      </c>
      <c r="BD96" s="12">
        <f>IF('Données projet'!$A$88&gt;35,BD95+BC96-BL95,IF(A96&lt;'Données projet'!$A$88,$BA$205^A96,IF(A96='Données projet'!$A$88,'Données projet'!$B$88,BD95+BC96-BL95)))</f>
        <v>294.38307692307677</v>
      </c>
      <c r="BE96" s="13">
        <f>BD96*VLOOKUP('Données projet'!$B$11,Paramètres!$A$1:$I$89,3,0)*VLOOKUP('Données projet'!$B$11,Paramètres!$A$1:$I$89,5,0)</f>
        <v>168.38711999999992</v>
      </c>
      <c r="BF96" s="13">
        <f t="shared" si="91"/>
        <v>42.728591948324492</v>
      </c>
      <c r="BG96" s="20">
        <f t="shared" si="61"/>
        <v>367.69319830999831</v>
      </c>
      <c r="BH96" s="59">
        <f t="shared" si="62"/>
        <v>661.02653164333162</v>
      </c>
      <c r="BI96" s="59">
        <f ca="1">AVERAGE(OFFSET($BH$3,0,0,'Données projet'!$E$11+1,1))-AVERAGE(OFFSET($H$3,0,0,'Données projet'!$E$11+1,1))</f>
        <v>182.46132340647313</v>
      </c>
      <c r="BJ96" s="59">
        <f t="shared" si="92"/>
        <v>130.51706975490481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36.819802140400533</v>
      </c>
      <c r="BQ96" s="21">
        <f>EXP(-LN(2)/25)*BQ95+(1-EXP(-LN(2)/25))/(LN(2)/25)*Calculateur!BL96*Calculateur!BN96*VLOOKUP('Données projet'!$B$11,Paramètres!$A$1:$I$89,3,0)*0.475*44/12</f>
        <v>9.8850746331211212</v>
      </c>
      <c r="BR96" s="21">
        <f>EXP(-LN(2)/2)*BR95+(1-EXP(-LN(2)/2))/(LN(2)/2)*BL96*BO96*VLOOKUP('Données projet'!$B$11,Paramètres!$A$1:$I$89,3,0)*0.475*44/12</f>
        <v>1.0804385753993022</v>
      </c>
      <c r="BS96" s="22">
        <f t="shared" si="63"/>
        <v>47.785315348920953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735.00000000000011</v>
      </c>
      <c r="BZ96" s="13">
        <f>BY96*VLOOKUP('Données projet'!$B$12,Paramètres!$A$1:$I$89,3,0)*VLOOKUP('Données projet'!$B$12,Paramètres!$A$1:$I$89,5,0)</f>
        <v>296.20500000000004</v>
      </c>
      <c r="CA96" s="13">
        <f t="shared" si="93"/>
        <v>70.380297204000939</v>
      </c>
      <c r="CB96" s="20">
        <f t="shared" si="64"/>
        <v>638.46939263030174</v>
      </c>
      <c r="CC96" s="59">
        <f t="shared" si="65"/>
        <v>931.80272596363511</v>
      </c>
      <c r="CD96" s="59">
        <f ca="1">AVERAGE(OFFSET($CC$3,0,0,'Données projet'!$E$12+1,1))-AVERAGE(OFFSET($H$3,0,0,'Données projet'!$E$12+1,1))</f>
        <v>291.0962681460345</v>
      </c>
      <c r="CE96" s="59">
        <f t="shared" si="94"/>
        <v>240.28311826371385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39.99749717037777</v>
      </c>
      <c r="CL96" s="21">
        <f>EXP(-LN(2)/25)*CL95+(1-EXP(-LN(2)/25))/(LN(2)/25)*Calculateur!CG96*Calculateur!CI96*VLOOKUP('Données projet'!$B$12,Paramètres!$A$1:$I$89,3,0)*0.475*44/12</f>
        <v>15.241570315981971</v>
      </c>
      <c r="CM96" s="21">
        <f>EXP(-LN(2)/2)*CM95+(1-EXP(-LN(2)/2))/(LN(2)/2)*CG96*CJ96*VLOOKUP('Données projet'!$B$12,Paramètres!$A$1:$I$89,3,0)*0.475*44/12</f>
        <v>6.7078388478808617E-3</v>
      </c>
      <c r="CN96" s="22">
        <f t="shared" si="66"/>
        <v>55.245775325207624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-5.3205440053716299E-14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225.92546546283018</v>
      </c>
      <c r="CZ96" s="59">
        <f t="shared" si="96"/>
        <v>309.38786160614563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46.851856693511422</v>
      </c>
      <c r="DG96" s="21">
        <f>EXP(-LN(2)/25)*DG95+(1-EXP(-LN(2)/25))/(LN(2)/25)*Calculateur!DB96*Calculateur!DD96*VLOOKUP('Données projet'!$B$13,Paramètres!$A$1:$I$89,3,0)*0.475*44/12</f>
        <v>35.055531603790769</v>
      </c>
      <c r="DH96" s="21">
        <f>EXP(-LN(2)/2)*DH95+(1-EXP(-LN(2)/2))/(LN(2)/2)*DB96*DE96*VLOOKUP('Données projet'!$B$13,Paramètres!$A$1:$I$89,3,0)*0.475*44/12</f>
        <v>7.9310614973356769E-10</v>
      </c>
      <c r="DI96" s="22">
        <f t="shared" si="69"/>
        <v>81.907388298095299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2.6</v>
      </c>
      <c r="DO96" s="12">
        <f>IF('Données projet'!$A$166&gt;35,DO95+DN96-DW95,IF(A96&lt;'Données projet'!$A$166,$DL$205^A96,IF(A96='Données projet'!$A$166,'Données projet'!$B$166,DO95+DN96-DW95)))</f>
        <v>168.79999999999998</v>
      </c>
      <c r="DP96" s="17">
        <f>DO96*VLOOKUP('Données projet'!$B$14,Paramètres!$A$1:$I$89,3,0)*VLOOKUP('Données projet'!$B$14,Paramètres!$A$1:$I$89,5,0)</f>
        <v>147.46368000000001</v>
      </c>
      <c r="DQ96" s="13">
        <f t="shared" si="97"/>
        <v>38.001626979480669</v>
      </c>
      <c r="DR96" s="20">
        <f t="shared" si="70"/>
        <v>323.01874298926219</v>
      </c>
      <c r="DS96" s="59">
        <f t="shared" si="71"/>
        <v>616.35207632259551</v>
      </c>
      <c r="DT96" s="59">
        <f ca="1">AVERAGE(OFFSET($DS$3,0,0,'Données projet'!$E$14+1,1))-AVERAGE(OFFSET($H$3,0,0,'Données projet'!$E$14+1,1))</f>
        <v>150.06600397498823</v>
      </c>
      <c r="DU96" s="59">
        <f t="shared" si="98"/>
        <v>170.53034305929714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2.3863576077712523</v>
      </c>
      <c r="EB96" s="21">
        <f>EXP(-LN(2)/25)*EB95+(1-EXP(-LN(2)/25))/(LN(2)/25)*Calculateur!DW96*Calculateur!DY96*VLOOKUP('Données projet'!$B$14,Paramètres!$A$1:$I$89,3,0)*0.475*44/12</f>
        <v>7.1050877814994111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9.4914453892706625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-5.3205440053716299E-14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294.94285920643927</v>
      </c>
      <c r="T97" s="59">
        <f t="shared" si="88"/>
        <v>399.89535338426606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70.351656110724022</v>
      </c>
      <c r="AA97" s="21">
        <f>EXP(-LN(2)/25)*AA96+(1-EXP(-LN(2)/25))/(LN(2)/25)*Calculateur!V97*Calculateur!X97*VLOOKUP('Données projet'!$B$9,Paramètres!$A$1:$I$89,3,0)*0.475*44/12</f>
        <v>53.704211188906726</v>
      </c>
      <c r="AB97" s="21">
        <f>EXP(-LN(2)/2)*AB96+(1-EXP(-LN(2)/2))/(LN(2)/2)*V97*Y97*VLOOKUP('Données projet'!$B$9,Paramètres!$A$1:$I$89,3,0)*0.475*44/12</f>
        <v>2.019961523103249E-9</v>
      </c>
      <c r="AC97" s="22">
        <f t="shared" si="57"/>
        <v>124.05586730165071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-1.0197709343628959E-13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200.14675249215634</v>
      </c>
      <c r="AO97" s="59">
        <f t="shared" si="90"/>
        <v>200.55017434999968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66.158337822201375</v>
      </c>
      <c r="AV97" s="21">
        <f>EXP(-LN(2)/25)*AV96+(1-EXP(-LN(2)/25))/(LN(2)/25)*Calculateur!AQ97*Calculateur!AS97*VLOOKUP('Données projet'!$B$10,Paramètres!$A$1:$I$89,3,0)*0.475*44/12</f>
        <v>14.078796089008495</v>
      </c>
      <c r="AW97" s="21">
        <f>EXP(-LN(2)/2)*AW96+(1-EXP(-LN(2)/2))/(LN(2)/2)*AQ97*AT97*VLOOKUP('Données projet'!$B$10,Paramètres!$A$1:$I$89,3,0)*0.475*44/12</f>
        <v>2.4385718147261243E-4</v>
      </c>
      <c r="AX97" s="21">
        <f t="shared" si="60"/>
        <v>80.23737776839134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4.1123076923076898</v>
      </c>
      <c r="BD97" s="12">
        <f>IF('Données projet'!$A$88&gt;35,BD96+BC97-BL96,IF(A97&lt;'Données projet'!$A$88,$BA$205^A97,IF(A97='Données projet'!$A$88,'Données projet'!$B$88,BD96+BC97-BL96)))</f>
        <v>298.49538461538447</v>
      </c>
      <c r="BE97" s="13">
        <f>BD97*VLOOKUP('Données projet'!$B$11,Paramètres!$A$1:$I$89,3,0)*VLOOKUP('Données projet'!$B$11,Paramètres!$A$1:$I$89,5,0)</f>
        <v>170.73935999999995</v>
      </c>
      <c r="BF97" s="13">
        <f t="shared" si="91"/>
        <v>43.255573782704637</v>
      </c>
      <c r="BG97" s="20">
        <f t="shared" si="61"/>
        <v>372.70784300487713</v>
      </c>
      <c r="BH97" s="59">
        <f t="shared" si="62"/>
        <v>666.04117633821045</v>
      </c>
      <c r="BI97" s="59">
        <f ca="1">AVERAGE(OFFSET($BH$3,0,0,'Données projet'!$E$11+1,1))-AVERAGE(OFFSET($H$3,0,0,'Données projet'!$E$11+1,1))</f>
        <v>182.46132340647313</v>
      </c>
      <c r="BJ97" s="59">
        <f t="shared" si="92"/>
        <v>130.51706975490481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36.097788278289052</v>
      </c>
      <c r="BQ97" s="21">
        <f>EXP(-LN(2)/25)*BQ96+(1-EXP(-LN(2)/25))/(LN(2)/25)*Calculateur!BL97*Calculateur!BN97*VLOOKUP('Données projet'!$B$11,Paramètres!$A$1:$I$89,3,0)*0.475*44/12</f>
        <v>9.614766747444941</v>
      </c>
      <c r="BR97" s="21">
        <f>EXP(-LN(2)/2)*BR96+(1-EXP(-LN(2)/2))/(LN(2)/2)*BL97*BO97*VLOOKUP('Données projet'!$B$11,Paramètres!$A$1:$I$89,3,0)*0.475*44/12</f>
        <v>0.76398544332037954</v>
      </c>
      <c r="BS97" s="22">
        <f t="shared" si="63"/>
        <v>46.47654046905437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735.00000000000011</v>
      </c>
      <c r="BZ97" s="13">
        <f>BY97*VLOOKUP('Données projet'!$B$12,Paramètres!$A$1:$I$89,3,0)*VLOOKUP('Données projet'!$B$12,Paramètres!$A$1:$I$89,5,0)</f>
        <v>296.20500000000004</v>
      </c>
      <c r="CA97" s="13">
        <f t="shared" si="93"/>
        <v>70.380297204000939</v>
      </c>
      <c r="CB97" s="20">
        <f t="shared" si="64"/>
        <v>638.46939263030174</v>
      </c>
      <c r="CC97" s="59">
        <f t="shared" si="65"/>
        <v>931.80272596363511</v>
      </c>
      <c r="CD97" s="59">
        <f ca="1">AVERAGE(OFFSET($CC$3,0,0,'Données projet'!$E$12+1,1))-AVERAGE(OFFSET($H$3,0,0,'Données projet'!$E$12+1,1))</f>
        <v>291.0962681460345</v>
      </c>
      <c r="CE97" s="59">
        <f t="shared" si="94"/>
        <v>240.28311826371385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39.213170646931026</v>
      </c>
      <c r="CL97" s="21">
        <f>EXP(-LN(2)/25)*CL96+(1-EXP(-LN(2)/25))/(LN(2)/25)*Calculateur!CG97*Calculateur!CI97*VLOOKUP('Données projet'!$B$12,Paramètres!$A$1:$I$89,3,0)*0.475*44/12</f>
        <v>14.824788774172095</v>
      </c>
      <c r="CM97" s="21">
        <f>EXP(-LN(2)/2)*CM96+(1-EXP(-LN(2)/2))/(LN(2)/2)*CG97*CJ97*VLOOKUP('Données projet'!$B$12,Paramètres!$A$1:$I$89,3,0)*0.475*44/12</f>
        <v>4.7431583364431155E-3</v>
      </c>
      <c r="CN97" s="22">
        <f t="shared" si="66"/>
        <v>54.04270257943957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-5.3205440053716299E-14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225.92546546283018</v>
      </c>
      <c r="CZ97" s="59">
        <f t="shared" si="96"/>
        <v>309.38786160614563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45.933120360562519</v>
      </c>
      <c r="DG97" s="21">
        <f>EXP(-LN(2)/25)*DG96+(1-EXP(-LN(2)/25))/(LN(2)/25)*Calculateur!DB97*Calculateur!DD97*VLOOKUP('Données projet'!$B$13,Paramètres!$A$1:$I$89,3,0)*0.475*44/12</f>
        <v>34.096936248594822</v>
      </c>
      <c r="DH97" s="21">
        <f>EXP(-LN(2)/2)*DH96+(1-EXP(-LN(2)/2))/(LN(2)/2)*DB97*DE97*VLOOKUP('Données projet'!$B$13,Paramètres!$A$1:$I$89,3,0)*0.475*44/12</f>
        <v>5.6081073667735903E-10</v>
      </c>
      <c r="DI97" s="22">
        <f t="shared" si="69"/>
        <v>80.030056609718159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2.6</v>
      </c>
      <c r="DO97" s="12">
        <f>IF('Données projet'!$A$166&gt;35,DO96+DN97-DW96,IF(A97&lt;'Données projet'!$A$166,$DL$205^A97,IF(A97='Données projet'!$A$166,'Données projet'!$B$166,DO96+DN97-DW96)))</f>
        <v>171.39999999999998</v>
      </c>
      <c r="DP97" s="17">
        <f>DO97*VLOOKUP('Données projet'!$B$14,Paramètres!$A$1:$I$89,3,0)*VLOOKUP('Données projet'!$B$14,Paramètres!$A$1:$I$89,5,0)</f>
        <v>149.73504</v>
      </c>
      <c r="DQ97" s="13">
        <f t="shared" si="97"/>
        <v>38.518366315830406</v>
      </c>
      <c r="DR97" s="20">
        <f t="shared" si="70"/>
        <v>327.87468266673795</v>
      </c>
      <c r="DS97" s="59">
        <f t="shared" si="71"/>
        <v>621.20801600007121</v>
      </c>
      <c r="DT97" s="59">
        <f ca="1">AVERAGE(OFFSET($DS$3,0,0,'Données projet'!$E$14+1,1))-AVERAGE(OFFSET($H$3,0,0,'Données projet'!$E$14+1,1))</f>
        <v>150.06600397498823</v>
      </c>
      <c r="DU97" s="59">
        <f t="shared" si="98"/>
        <v>170.53034305929714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2.3395625906172768</v>
      </c>
      <c r="EB97" s="21">
        <f>EXP(-LN(2)/25)*EB96+(1-EXP(-LN(2)/25))/(LN(2)/25)*Calculateur!DW97*Calculateur!DY97*VLOOKUP('Données projet'!$B$14,Paramètres!$A$1:$I$89,3,0)*0.475*44/12</f>
        <v>6.9107987824739823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9.2503613730912591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-5.3205440053716299E-14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294.94285920643927</v>
      </c>
      <c r="T98" s="59">
        <f t="shared" si="88"/>
        <v>399.89535338426606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68.972103044665914</v>
      </c>
      <c r="AA98" s="21">
        <f>EXP(-LN(2)/25)*AA97+(1-EXP(-LN(2)/25))/(LN(2)/25)*Calculateur!V98*Calculateur!X98*VLOOKUP('Données projet'!$B$9,Paramètres!$A$1:$I$89,3,0)*0.475*44/12</f>
        <v>52.235666709764345</v>
      </c>
      <c r="AB98" s="21">
        <f>EXP(-LN(2)/2)*AB97+(1-EXP(-LN(2)/2))/(LN(2)/2)*V98*Y98*VLOOKUP('Données projet'!$B$9,Paramètres!$A$1:$I$89,3,0)*0.475*44/12</f>
        <v>1.4283284907222144E-9</v>
      </c>
      <c r="AC98" s="22">
        <f t="shared" si="57"/>
        <v>121.20776975585859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-1.0197709343628959E-13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200.14675249215634</v>
      </c>
      <c r="AO98" s="59">
        <f t="shared" si="90"/>
        <v>200.55017434999968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64.861013170109587</v>
      </c>
      <c r="AV98" s="21">
        <f>EXP(-LN(2)/25)*AV97+(1-EXP(-LN(2)/25))/(LN(2)/25)*Calculateur!AQ98*Calculateur!AS98*VLOOKUP('Données projet'!$B$10,Paramètres!$A$1:$I$89,3,0)*0.475*44/12</f>
        <v>13.693810669582849</v>
      </c>
      <c r="AW98" s="21">
        <f>EXP(-LN(2)/2)*AW97+(1-EXP(-LN(2)/2))/(LN(2)/2)*AQ98*AT98*VLOOKUP('Données projet'!$B$10,Paramètres!$A$1:$I$89,3,0)*0.475*44/12</f>
        <v>1.7243306666032279E-4</v>
      </c>
      <c r="AX98" s="21">
        <f t="shared" si="60"/>
        <v>78.554996272759098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4.1123076923076898</v>
      </c>
      <c r="BD98" s="12">
        <f>IF('Données projet'!$A$88&gt;35,BD97+BC98-BL97,IF(A98&lt;'Données projet'!$A$88,$BA$205^A98,IF(A98='Données projet'!$A$88,'Données projet'!$B$88,BD97+BC98-BL97)))</f>
        <v>302.60769230769216</v>
      </c>
      <c r="BE98" s="13">
        <f>BD98*VLOOKUP('Données projet'!$B$11,Paramètres!$A$1:$I$89,3,0)*VLOOKUP('Données projet'!$B$11,Paramètres!$A$1:$I$89,5,0)</f>
        <v>173.09159999999991</v>
      </c>
      <c r="BF98" s="13">
        <f t="shared" si="91"/>
        <v>43.781711188435843</v>
      </c>
      <c r="BG98" s="20">
        <f t="shared" si="61"/>
        <v>377.72101698652563</v>
      </c>
      <c r="BH98" s="59">
        <f t="shared" si="62"/>
        <v>671.05435031985894</v>
      </c>
      <c r="BI98" s="59">
        <f ca="1">AVERAGE(OFFSET($BH$3,0,0,'Données projet'!$E$11+1,1))-AVERAGE(OFFSET($H$3,0,0,'Données projet'!$E$11+1,1))</f>
        <v>182.46132340647313</v>
      </c>
      <c r="BJ98" s="59">
        <f t="shared" si="92"/>
        <v>130.51706975490481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35.389932667628607</v>
      </c>
      <c r="BQ98" s="21">
        <f>EXP(-LN(2)/25)*BQ97+(1-EXP(-LN(2)/25))/(LN(2)/25)*Calculateur!BL98*Calculateur!BN98*VLOOKUP('Données projet'!$B$11,Paramètres!$A$1:$I$89,3,0)*0.475*44/12</f>
        <v>9.3518504451174511</v>
      </c>
      <c r="BR98" s="21">
        <f>EXP(-LN(2)/2)*BR97+(1-EXP(-LN(2)/2))/(LN(2)/2)*BL98*BO98*VLOOKUP('Données projet'!$B$11,Paramètres!$A$1:$I$89,3,0)*0.475*44/12</f>
        <v>0.54021928769965111</v>
      </c>
      <c r="BS98" s="22">
        <f t="shared" si="63"/>
        <v>45.282002400445705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735.00000000000011</v>
      </c>
      <c r="BZ98" s="13">
        <f>BY98*VLOOKUP('Données projet'!$B$12,Paramètres!$A$1:$I$89,3,0)*VLOOKUP('Données projet'!$B$12,Paramètres!$A$1:$I$89,5,0)</f>
        <v>296.20500000000004</v>
      </c>
      <c r="CA98" s="13">
        <f t="shared" si="93"/>
        <v>70.380297204000939</v>
      </c>
      <c r="CB98" s="20">
        <f t="shared" si="64"/>
        <v>638.46939263030174</v>
      </c>
      <c r="CC98" s="59">
        <f t="shared" si="65"/>
        <v>931.80272596363511</v>
      </c>
      <c r="CD98" s="59">
        <f ca="1">AVERAGE(OFFSET($CC$3,0,0,'Données projet'!$E$12+1,1))-AVERAGE(OFFSET($H$3,0,0,'Données projet'!$E$12+1,1))</f>
        <v>291.0962681460345</v>
      </c>
      <c r="CE98" s="59">
        <f t="shared" si="94"/>
        <v>240.28311826371385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38.444224288217129</v>
      </c>
      <c r="CL98" s="21">
        <f>EXP(-LN(2)/25)*CL97+(1-EXP(-LN(2)/25))/(LN(2)/25)*Calculateur!CG98*Calculateur!CI98*VLOOKUP('Données projet'!$B$12,Paramètres!$A$1:$I$89,3,0)*0.475*44/12</f>
        <v>14.4194041455406</v>
      </c>
      <c r="CM98" s="21">
        <f>EXP(-LN(2)/2)*CM97+(1-EXP(-LN(2)/2))/(LN(2)/2)*CG98*CJ98*VLOOKUP('Données projet'!$B$12,Paramètres!$A$1:$I$89,3,0)*0.475*44/12</f>
        <v>3.3539194239404308E-3</v>
      </c>
      <c r="CN98" s="22">
        <f t="shared" si="66"/>
        <v>52.866982353181669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-5.3205440053716299E-14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225.92546546283018</v>
      </c>
      <c r="CZ98" s="59">
        <f t="shared" si="96"/>
        <v>309.38786160614563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45.032399886728918</v>
      </c>
      <c r="DG98" s="21">
        <f>EXP(-LN(2)/25)*DG97+(1-EXP(-LN(2)/25))/(LN(2)/25)*Calculateur!DB98*Calculateur!DD98*VLOOKUP('Données projet'!$B$13,Paramètres!$A$1:$I$89,3,0)*0.475*44/12</f>
        <v>33.16455373379705</v>
      </c>
      <c r="DH98" s="21">
        <f>EXP(-LN(2)/2)*DH97+(1-EXP(-LN(2)/2))/(LN(2)/2)*DB98*DE98*VLOOKUP('Données projet'!$B$13,Paramètres!$A$1:$I$89,3,0)*0.475*44/12</f>
        <v>3.9655307486678384E-10</v>
      </c>
      <c r="DI98" s="22">
        <f t="shared" si="69"/>
        <v>78.196953620922514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174</v>
      </c>
      <c r="DM98" s="12">
        <f>VLOOKUP(A98,'Données projet'!$A$165:$I$185,9,0)</f>
        <v>2.6</v>
      </c>
      <c r="DN98" s="12">
        <f t="array" ref="DN98">INDEX(DM:DM,MIN(IF(ISNUMBER(DM98:DM294),ROW(DM98:DM294),"")))</f>
        <v>2.6</v>
      </c>
      <c r="DO98" s="12">
        <f>IF('Données projet'!$A$166&gt;35,DO97+DN98-DW97,IF(A98&lt;'Données projet'!$A$166,$DL$205^A98,IF(A98='Données projet'!$A$166,'Données projet'!$B$166,DO97+DN98-DW97)))</f>
        <v>173.99999999999997</v>
      </c>
      <c r="DP98" s="17">
        <f>DO98*VLOOKUP('Données projet'!$B$14,Paramètres!$A$1:$I$89,3,0)*VLOOKUP('Données projet'!$B$14,Paramètres!$A$1:$I$89,5,0)</f>
        <v>152.00640000000001</v>
      </c>
      <c r="DQ98" s="13">
        <f t="shared" si="97"/>
        <v>39.03419401656145</v>
      </c>
      <c r="DR98" s="20">
        <f t="shared" si="70"/>
        <v>332.72903457884451</v>
      </c>
      <c r="DS98" s="59">
        <f t="shared" si="71"/>
        <v>626.06236791217782</v>
      </c>
      <c r="DT98" s="59">
        <f ca="1">AVERAGE(OFFSET($DS$3,0,0,'Données projet'!$E$14+1,1))-AVERAGE(OFFSET($H$3,0,0,'Données projet'!$E$14+1,1))</f>
        <v>150.06600397498823</v>
      </c>
      <c r="DU98" s="59">
        <f t="shared" si="98"/>
        <v>170.53034305929714</v>
      </c>
      <c r="DV98" s="15">
        <f>IF(ISNA(VLOOKUP(A98,'Données projet'!$A$165:$I$185,3,0)),0,VLOOKUP(A98,'Données projet'!$A$165:$I$185,3,0))</f>
        <v>14</v>
      </c>
      <c r="DW98" s="15">
        <f>IF(ISNA(VLOOKUP(A98,'Données projet'!$A$165:$I$185,4,0)),0,VLOOKUP(A98,'Données projet'!$A$165:$I$185,4,0))</f>
        <v>9</v>
      </c>
      <c r="DX98" s="16">
        <f>IF(ISNA(VLOOKUP(A98,'Données projet'!$A$165:$I$185,5,0)),0%,VLOOKUP(A98,'Données projet'!$A$165:$I$185,5,0)*VLOOKUP('Données projet'!$B$14,Paramètres!$A$1:$I$89,7,0))</f>
        <v>0.17200000000000001</v>
      </c>
      <c r="DY98" s="16">
        <f>IF(ISNA(VLOOKUP(A98,'Données projet'!$A$165:$I$185,6,0)),0%,VLOOKUP(A98,'Données projet'!$A$165:$I$185,6,0)*VLOOKUP('Données projet'!$B$14,Paramètres!$A$1:$I$89,7,0))</f>
        <v>0.17200000000000001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3.7886490488784057</v>
      </c>
      <c r="EB98" s="21">
        <f>EXP(-LN(2)/25)*EB97+(1-EXP(-LN(2)/25))/(LN(2)/25)*Calculateur!DW98*Calculateur!DY98*VLOOKUP('Données projet'!$B$14,Paramètres!$A$1:$I$89,3,0)*0.475*44/12</f>
        <v>8.2109002376971869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11.999549286575593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-5.3205440053716299E-14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294.94285920643927</v>
      </c>
      <c r="T99" s="59">
        <f t="shared" si="88"/>
        <v>399.89535338426606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67.619602172788916</v>
      </c>
      <c r="AA99" s="21">
        <f>EXP(-LN(2)/25)*AA98+(1-EXP(-LN(2)/25))/(LN(2)/25)*Calculateur!V99*Calculateur!X99*VLOOKUP('Données projet'!$B$9,Paramètres!$A$1:$I$89,3,0)*0.475*44/12</f>
        <v>50.807279656631515</v>
      </c>
      <c r="AB99" s="21">
        <f>EXP(-LN(2)/2)*AB98+(1-EXP(-LN(2)/2))/(LN(2)/2)*V99*Y99*VLOOKUP('Données projet'!$B$9,Paramètres!$A$1:$I$89,3,0)*0.475*44/12</f>
        <v>1.0099807615516245E-9</v>
      </c>
      <c r="AC99" s="22">
        <f t="shared" si="57"/>
        <v>118.42688183043042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-1.0197709343628959E-13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200.14675249215634</v>
      </c>
      <c r="AO99" s="59">
        <f t="shared" si="90"/>
        <v>200.55017434999968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63.589128263155416</v>
      </c>
      <c r="AV99" s="21">
        <f>EXP(-LN(2)/25)*AV98+(1-EXP(-LN(2)/25))/(LN(2)/25)*Calculateur!AQ99*Calculateur!AS99*VLOOKUP('Données projet'!$B$10,Paramètres!$A$1:$I$89,3,0)*0.475*44/12</f>
        <v>13.3193526966969</v>
      </c>
      <c r="AW99" s="21">
        <f>EXP(-LN(2)/2)*AW98+(1-EXP(-LN(2)/2))/(LN(2)/2)*AQ99*AT99*VLOOKUP('Données projet'!$B$10,Paramètres!$A$1:$I$89,3,0)*0.475*44/12</f>
        <v>1.2192859073630624E-4</v>
      </c>
      <c r="AX99" s="21">
        <f t="shared" si="60"/>
        <v>76.908602888443042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4.1123076923076898</v>
      </c>
      <c r="BD99" s="12">
        <f>IF('Données projet'!$A$88&gt;35,BD98+BC99-BL98,IF(A99&lt;'Données projet'!$A$88,$BA$205^A99,IF(A99='Données projet'!$A$88,'Données projet'!$B$88,BD98+BC99-BL98)))</f>
        <v>306.71999999999986</v>
      </c>
      <c r="BE99" s="13">
        <f>BD99*VLOOKUP('Données projet'!$B$11,Paramètres!$A$1:$I$89,3,0)*VLOOKUP('Données projet'!$B$11,Paramètres!$A$1:$I$89,5,0)</f>
        <v>175.44383999999991</v>
      </c>
      <c r="BF99" s="13">
        <f t="shared" si="91"/>
        <v>44.307016967342939</v>
      </c>
      <c r="BG99" s="20">
        <f t="shared" si="61"/>
        <v>382.73274255145543</v>
      </c>
      <c r="BH99" s="59">
        <f t="shared" si="62"/>
        <v>676.06607588478869</v>
      </c>
      <c r="BI99" s="59">
        <f ca="1">AVERAGE(OFFSET($BH$3,0,0,'Données projet'!$E$11+1,1))-AVERAGE(OFFSET($H$3,0,0,'Données projet'!$E$11+1,1))</f>
        <v>182.46132340647313</v>
      </c>
      <c r="BJ99" s="59">
        <f t="shared" si="92"/>
        <v>130.51706975490481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34.695957673743926</v>
      </c>
      <c r="BQ99" s="21">
        <f>EXP(-LN(2)/25)*BQ98+(1-EXP(-LN(2)/25))/(LN(2)/25)*Calculateur!BL99*Calculateur!BN99*VLOOKUP('Données projet'!$B$11,Paramètres!$A$1:$I$89,3,0)*0.475*44/12</f>
        <v>9.0961236029032726</v>
      </c>
      <c r="BR99" s="21">
        <f>EXP(-LN(2)/2)*BR98+(1-EXP(-LN(2)/2))/(LN(2)/2)*BL99*BO99*VLOOKUP('Données projet'!$B$11,Paramètres!$A$1:$I$89,3,0)*0.475*44/12</f>
        <v>0.38199272166018977</v>
      </c>
      <c r="BS99" s="22">
        <f t="shared" si="63"/>
        <v>44.174073998307385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735.00000000000011</v>
      </c>
      <c r="BZ99" s="13">
        <f>BY99*VLOOKUP('Données projet'!$B$12,Paramètres!$A$1:$I$89,3,0)*VLOOKUP('Données projet'!$B$12,Paramètres!$A$1:$I$89,5,0)</f>
        <v>296.20500000000004</v>
      </c>
      <c r="CA99" s="13">
        <f t="shared" si="93"/>
        <v>70.380297204000939</v>
      </c>
      <c r="CB99" s="20">
        <f t="shared" si="64"/>
        <v>638.46939263030174</v>
      </c>
      <c r="CC99" s="59">
        <f t="shared" si="65"/>
        <v>931.80272596363511</v>
      </c>
      <c r="CD99" s="59">
        <f ca="1">AVERAGE(OFFSET($CC$3,0,0,'Données projet'!$E$12+1,1))-AVERAGE(OFFSET($H$3,0,0,'Données projet'!$E$12+1,1))</f>
        <v>291.0962681460345</v>
      </c>
      <c r="CE99" s="59">
        <f t="shared" si="94"/>
        <v>240.28311826371385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37.690356498586645</v>
      </c>
      <c r="CL99" s="21">
        <f>EXP(-LN(2)/25)*CL98+(1-EXP(-LN(2)/25))/(LN(2)/25)*Calculateur!CG99*Calculateur!CI99*VLOOKUP('Données projet'!$B$12,Paramètres!$A$1:$I$89,3,0)*0.475*44/12</f>
        <v>14.025104780897284</v>
      </c>
      <c r="CM99" s="21">
        <f>EXP(-LN(2)/2)*CM98+(1-EXP(-LN(2)/2))/(LN(2)/2)*CG99*CJ99*VLOOKUP('Données projet'!$B$12,Paramètres!$A$1:$I$89,3,0)*0.475*44/12</f>
        <v>2.3715791682215577E-3</v>
      </c>
      <c r="CN99" s="22">
        <f t="shared" si="66"/>
        <v>51.717832858652152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-5.3205440053716299E-14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225.92546546283018</v>
      </c>
      <c r="CZ99" s="59">
        <f t="shared" si="96"/>
        <v>309.38786160614563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44.149341992001951</v>
      </c>
      <c r="DG99" s="21">
        <f>EXP(-LN(2)/25)*DG98+(1-EXP(-LN(2)/25))/(LN(2)/25)*Calculateur!DB99*Calculateur!DD99*VLOOKUP('Données projet'!$B$13,Paramètres!$A$1:$I$89,3,0)*0.475*44/12</f>
        <v>32.257667267898285</v>
      </c>
      <c r="DH99" s="21">
        <f>EXP(-LN(2)/2)*DH98+(1-EXP(-LN(2)/2))/(LN(2)/2)*DB99*DE99*VLOOKUP('Données projet'!$B$13,Paramètres!$A$1:$I$89,3,0)*0.475*44/12</f>
        <v>2.8040536833867952E-10</v>
      </c>
      <c r="DI99" s="22">
        <f t="shared" si="69"/>
        <v>76.407009260180644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2.4</v>
      </c>
      <c r="DO99" s="12">
        <f>IF('Données projet'!$A$166&gt;35,DO98+DN99-DW98,IF(A99&lt;'Données projet'!$A$166,$DL$205^A99,IF(A99='Données projet'!$A$166,'Données projet'!$B$166,DO98+DN99-DW98)))</f>
        <v>167.39999999999998</v>
      </c>
      <c r="DP99" s="17">
        <f>DO99*VLOOKUP('Données projet'!$B$14,Paramètres!$A$1:$I$89,3,0)*VLOOKUP('Données projet'!$B$14,Paramètres!$A$1:$I$89,5,0)</f>
        <v>146.24064000000001</v>
      </c>
      <c r="DQ99" s="13">
        <f t="shared" si="97"/>
        <v>37.722999642090628</v>
      </c>
      <c r="DR99" s="20">
        <f t="shared" si="70"/>
        <v>320.40333904330788</v>
      </c>
      <c r="DS99" s="59">
        <f t="shared" si="71"/>
        <v>613.7366723766412</v>
      </c>
      <c r="DT99" s="59">
        <f ca="1">AVERAGE(OFFSET($DS$3,0,0,'Données projet'!$E$14+1,1))-AVERAGE(OFFSET($H$3,0,0,'Données projet'!$E$14+1,1))</f>
        <v>150.06600397498823</v>
      </c>
      <c r="DU99" s="59">
        <f t="shared" si="98"/>
        <v>170.53034305929714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3.7143559518776428</v>
      </c>
      <c r="EB99" s="21">
        <f>EXP(-LN(2)/25)*EB98+(1-EXP(-LN(2)/25))/(LN(2)/25)*Calculateur!DW99*Calculateur!DY99*VLOOKUP('Données projet'!$B$14,Paramètres!$A$1:$I$89,3,0)*0.475*44/12</f>
        <v>7.9863727389048798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11.700728690782523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-5.3205440053716299E-14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294.94285920643927</v>
      </c>
      <c r="T100" s="59">
        <f t="shared" si="88"/>
        <v>399.89535338426606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66.293623018065361</v>
      </c>
      <c r="AA100" s="21">
        <f>EXP(-LN(2)/25)*AA99+(1-EXP(-LN(2)/25))/(LN(2)/25)*Calculateur!V100*Calculateur!X100*VLOOKUP('Données projet'!$B$9,Paramètres!$A$1:$I$89,3,0)*0.475*44/12</f>
        <v>49.417951922582212</v>
      </c>
      <c r="AB100" s="21">
        <f>EXP(-LN(2)/2)*AB99+(1-EXP(-LN(2)/2))/(LN(2)/2)*V100*Y100*VLOOKUP('Données projet'!$B$9,Paramètres!$A$1:$I$89,3,0)*0.475*44/12</f>
        <v>7.1416424536110718E-10</v>
      </c>
      <c r="AC100" s="22">
        <f t="shared" si="57"/>
        <v>115.71157494136175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-1.0197709343628959E-13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200.14675249215634</v>
      </c>
      <c r="AO100" s="59">
        <f t="shared" si="90"/>
        <v>200.55017434999968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62.342184243453424</v>
      </c>
      <c r="AV100" s="21">
        <f>EXP(-LN(2)/25)*AV99+(1-EXP(-LN(2)/25))/(LN(2)/25)*Calculateur!AQ100*Calculateur!AS100*VLOOKUP('Données projet'!$B$10,Paramètres!$A$1:$I$89,3,0)*0.475*44/12</f>
        <v>12.955134296771407</v>
      </c>
      <c r="AW100" s="21">
        <f>EXP(-LN(2)/2)*AW99+(1-EXP(-LN(2)/2))/(LN(2)/2)*AQ100*AT100*VLOOKUP('Données projet'!$B$10,Paramètres!$A$1:$I$89,3,0)*0.475*44/12</f>
        <v>8.6216533330161409E-5</v>
      </c>
      <c r="AX100" s="21">
        <f t="shared" si="60"/>
        <v>75.297404756758169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4.1123076923076898</v>
      </c>
      <c r="BD100" s="12">
        <f>IF('Données projet'!$A$88&gt;35,BD99+BC100-BL99,IF(A100&lt;'Données projet'!$A$88,$BA$205^A100,IF(A100='Données projet'!$A$88,'Données projet'!$B$88,BD99+BC100-BL99)))</f>
        <v>310.83230769230755</v>
      </c>
      <c r="BE100" s="13">
        <f>BD100*VLOOKUP('Données projet'!$B$11,Paramètres!$A$1:$I$89,3,0)*VLOOKUP('Données projet'!$B$11,Paramètres!$A$1:$I$89,5,0)</f>
        <v>177.79607999999993</v>
      </c>
      <c r="BF100" s="13">
        <f t="shared" si="91"/>
        <v>44.831503558245444</v>
      </c>
      <c r="BG100" s="20">
        <f t="shared" si="61"/>
        <v>387.74304136394403</v>
      </c>
      <c r="BH100" s="59">
        <f t="shared" si="62"/>
        <v>681.07637469727729</v>
      </c>
      <c r="BI100" s="59">
        <f ca="1">AVERAGE(OFFSET($BH$3,0,0,'Données projet'!$E$11+1,1))-AVERAGE(OFFSET($H$3,0,0,'Données projet'!$E$11+1,1))</f>
        <v>182.46132340647313</v>
      </c>
      <c r="BJ100" s="59">
        <f t="shared" si="92"/>
        <v>130.51706975490481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34.015591106206372</v>
      </c>
      <c r="BQ100" s="21">
        <f>EXP(-LN(2)/25)*BQ99+(1-EXP(-LN(2)/25))/(LN(2)/25)*Calculateur!BL100*Calculateur!BN100*VLOOKUP('Données projet'!$B$11,Paramètres!$A$1:$I$89,3,0)*0.475*44/12</f>
        <v>8.8473896246375325</v>
      </c>
      <c r="BR100" s="21">
        <f>EXP(-LN(2)/2)*BR99+(1-EXP(-LN(2)/2))/(LN(2)/2)*BL100*BO100*VLOOKUP('Données projet'!$B$11,Paramètres!$A$1:$I$89,3,0)*0.475*44/12</f>
        <v>0.27010964384982555</v>
      </c>
      <c r="BS100" s="22">
        <f t="shared" si="63"/>
        <v>43.13309037469373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735.00000000000011</v>
      </c>
      <c r="BZ100" s="13">
        <f>BY100*VLOOKUP('Données projet'!$B$12,Paramètres!$A$1:$I$89,3,0)*VLOOKUP('Données projet'!$B$12,Paramètres!$A$1:$I$89,5,0)</f>
        <v>296.20500000000004</v>
      </c>
      <c r="CA100" s="13">
        <f t="shared" si="93"/>
        <v>70.380297204000939</v>
      </c>
      <c r="CB100" s="20">
        <f t="shared" si="64"/>
        <v>638.46939263030174</v>
      </c>
      <c r="CC100" s="59">
        <f t="shared" si="65"/>
        <v>931.80272596363511</v>
      </c>
      <c r="CD100" s="59">
        <f ca="1">AVERAGE(OFFSET($CC$3,0,0,'Données projet'!$E$12+1,1))-AVERAGE(OFFSET($H$3,0,0,'Données projet'!$E$12+1,1))</f>
        <v>291.0962681460345</v>
      </c>
      <c r="CE100" s="59">
        <f t="shared" si="94"/>
        <v>240.28311826371385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36.951271596496866</v>
      </c>
      <c r="CL100" s="21">
        <f>EXP(-LN(2)/25)*CL99+(1-EXP(-LN(2)/25))/(LN(2)/25)*Calculateur!CG100*Calculateur!CI100*VLOOKUP('Données projet'!$B$12,Paramètres!$A$1:$I$89,3,0)*0.475*44/12</f>
        <v>13.641587553115441</v>
      </c>
      <c r="CM100" s="21">
        <f>EXP(-LN(2)/2)*CM99+(1-EXP(-LN(2)/2))/(LN(2)/2)*CG100*CJ100*VLOOKUP('Données projet'!$B$12,Paramètres!$A$1:$I$89,3,0)*0.475*44/12</f>
        <v>1.6769597119702154E-3</v>
      </c>
      <c r="CN100" s="22">
        <f t="shared" si="66"/>
        <v>50.594536109324281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-5.3205440053716299E-14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225.92546546283018</v>
      </c>
      <c r="CZ100" s="59">
        <f t="shared" si="96"/>
        <v>309.38786160614563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43.283600323978447</v>
      </c>
      <c r="DG100" s="21">
        <f>EXP(-LN(2)/25)*DG99+(1-EXP(-LN(2)/25))/(LN(2)/25)*Calculateur!DB100*Calculateur!DD100*VLOOKUP('Données projet'!$B$13,Paramètres!$A$1:$I$89,3,0)*0.475*44/12</f>
        <v>31.375579660100609</v>
      </c>
      <c r="DH100" s="21">
        <f>EXP(-LN(2)/2)*DH99+(1-EXP(-LN(2)/2))/(LN(2)/2)*DB100*DE100*VLOOKUP('Données projet'!$B$13,Paramètres!$A$1:$I$89,3,0)*0.475*44/12</f>
        <v>1.9827653743339192E-10</v>
      </c>
      <c r="DI100" s="22">
        <f t="shared" si="69"/>
        <v>74.65917998427733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2.4</v>
      </c>
      <c r="DO100" s="12">
        <f>IF('Données projet'!$A$166&gt;35,DO99+DN100-DW99,IF(A100&lt;'Données projet'!$A$166,$DL$205^A100,IF(A100='Données projet'!$A$166,'Données projet'!$B$166,DO99+DN100-DW99)))</f>
        <v>169.79999999999998</v>
      </c>
      <c r="DP100" s="17">
        <f>DO100*VLOOKUP('Données projet'!$B$14,Paramètres!$A$1:$I$89,3,0)*VLOOKUP('Données projet'!$B$14,Paramètres!$A$1:$I$89,5,0)</f>
        <v>148.33727999999999</v>
      </c>
      <c r="DQ100" s="13">
        <f t="shared" si="97"/>
        <v>38.200481752654802</v>
      </c>
      <c r="DR100" s="20">
        <f t="shared" si="70"/>
        <v>324.88660171920714</v>
      </c>
      <c r="DS100" s="59">
        <f t="shared" si="71"/>
        <v>618.21993505254045</v>
      </c>
      <c r="DT100" s="59">
        <f ca="1">AVERAGE(OFFSET($DS$3,0,0,'Données projet'!$E$14+1,1))-AVERAGE(OFFSET($H$3,0,0,'Données projet'!$E$14+1,1))</f>
        <v>150.06600397498823</v>
      </c>
      <c r="DU100" s="59">
        <f t="shared" si="98"/>
        <v>170.53034305929714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3.6415196971947501</v>
      </c>
      <c r="EB100" s="21">
        <f>EXP(-LN(2)/25)*EB99+(1-EXP(-LN(2)/25))/(LN(2)/25)*Calculateur!DW100*Calculateur!DY100*VLOOKUP('Données projet'!$B$14,Paramètres!$A$1:$I$89,3,0)*0.475*44/12</f>
        <v>7.7679849563744368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11.409504653569186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-5.3205440053716299E-14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294.94285920643927</v>
      </c>
      <c r="T101" s="59">
        <f t="shared" si="88"/>
        <v>399.89535338426606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64.993645505798497</v>
      </c>
      <c r="AA101" s="21">
        <f>EXP(-LN(2)/25)*AA100+(1-EXP(-LN(2)/25))/(LN(2)/25)*Calculateur!V101*Calculateur!X101*VLOOKUP('Données projet'!$B$9,Paramètres!$A$1:$I$89,3,0)*0.475*44/12</f>
        <v>48.066615428482059</v>
      </c>
      <c r="AB101" s="21">
        <f>EXP(-LN(2)/2)*AB100+(1-EXP(-LN(2)/2))/(LN(2)/2)*V101*Y101*VLOOKUP('Données projet'!$B$9,Paramètres!$A$1:$I$89,3,0)*0.475*44/12</f>
        <v>5.0499038077581225E-10</v>
      </c>
      <c r="AC101" s="22">
        <f t="shared" si="57"/>
        <v>113.06026093478556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-1.0197709343628959E-13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200.14675249215634</v>
      </c>
      <c r="AO101" s="59">
        <f t="shared" si="90"/>
        <v>200.55017434999968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61.119692035417039</v>
      </c>
      <c r="AV101" s="21">
        <f>EXP(-LN(2)/25)*AV100+(1-EXP(-LN(2)/25))/(LN(2)/25)*Calculateur!AQ101*Calculateur!AS101*VLOOKUP('Données projet'!$B$10,Paramètres!$A$1:$I$89,3,0)*0.475*44/12</f>
        <v>12.60087546814529</v>
      </c>
      <c r="AW101" s="21">
        <f>EXP(-LN(2)/2)*AW100+(1-EXP(-LN(2)/2))/(LN(2)/2)*AQ101*AT101*VLOOKUP('Données projet'!$B$10,Paramètres!$A$1:$I$89,3,0)*0.475*44/12</f>
        <v>6.0964295368153128E-5</v>
      </c>
      <c r="AX101" s="21">
        <f t="shared" si="60"/>
        <v>73.720628467857708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4.1123076923076898</v>
      </c>
      <c r="BD101" s="12">
        <f>IF('Données projet'!$A$88&gt;35,BD100+BC101-BL100,IF(A101&lt;'Données projet'!$A$88,$BA$205^A101,IF(A101='Données projet'!$A$88,'Données projet'!$B$88,BD100+BC101-BL100)))</f>
        <v>314.94461538461525</v>
      </c>
      <c r="BE101" s="13">
        <f>BD101*VLOOKUP('Données projet'!$B$11,Paramètres!$A$1:$I$89,3,0)*VLOOKUP('Données projet'!$B$11,Paramètres!$A$1:$I$89,5,0)</f>
        <v>180.14831999999993</v>
      </c>
      <c r="BF101" s="13">
        <f t="shared" si="91"/>
        <v>45.355183051914281</v>
      </c>
      <c r="BG101" s="20">
        <f t="shared" si="61"/>
        <v>392.75193448208393</v>
      </c>
      <c r="BH101" s="59">
        <f t="shared" si="62"/>
        <v>686.08526781541718</v>
      </c>
      <c r="BI101" s="59">
        <f ca="1">AVERAGE(OFFSET($BH$3,0,0,'Données projet'!$E$11+1,1))-AVERAGE(OFFSET($H$3,0,0,'Données projet'!$E$11+1,1))</f>
        <v>182.46132340647313</v>
      </c>
      <c r="BJ101" s="59">
        <f t="shared" si="92"/>
        <v>130.51706975490481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33.348566112075595</v>
      </c>
      <c r="BQ101" s="21">
        <f>EXP(-LN(2)/25)*BQ100+(1-EXP(-LN(2)/25))/(LN(2)/25)*Calculateur!BL101*Calculateur!BN101*VLOOKUP('Données projet'!$B$11,Paramètres!$A$1:$I$89,3,0)*0.475*44/12</f>
        <v>8.6054572900878199</v>
      </c>
      <c r="BR101" s="21">
        <f>EXP(-LN(2)/2)*BR100+(1-EXP(-LN(2)/2))/(LN(2)/2)*BL101*BO101*VLOOKUP('Données projet'!$B$11,Paramètres!$A$1:$I$89,3,0)*0.475*44/12</f>
        <v>0.19099636083009489</v>
      </c>
      <c r="BS101" s="22">
        <f t="shared" si="63"/>
        <v>42.145019762993513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735.00000000000011</v>
      </c>
      <c r="BZ101" s="13">
        <f>BY101*VLOOKUP('Données projet'!$B$12,Paramètres!$A$1:$I$89,3,0)*VLOOKUP('Données projet'!$B$12,Paramètres!$A$1:$I$89,5,0)</f>
        <v>296.20500000000004</v>
      </c>
      <c r="CA101" s="13">
        <f t="shared" si="93"/>
        <v>70.380297204000939</v>
      </c>
      <c r="CB101" s="20">
        <f t="shared" si="64"/>
        <v>638.46939263030174</v>
      </c>
      <c r="CC101" s="59">
        <f t="shared" si="65"/>
        <v>931.80272596363511</v>
      </c>
      <c r="CD101" s="59">
        <f ca="1">AVERAGE(OFFSET($CC$3,0,0,'Données projet'!$E$12+1,1))-AVERAGE(OFFSET($H$3,0,0,'Données projet'!$E$12+1,1))</f>
        <v>291.0962681460345</v>
      </c>
      <c r="CE101" s="59">
        <f t="shared" si="94"/>
        <v>240.28311826371385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36.22667969853979</v>
      </c>
      <c r="CL101" s="21">
        <f>EXP(-LN(2)/25)*CL100+(1-EXP(-LN(2)/25))/(LN(2)/25)*Calculateur!CG101*Calculateur!CI101*VLOOKUP('Données projet'!$B$12,Paramètres!$A$1:$I$89,3,0)*0.475*44/12</f>
        <v>13.268557624095589</v>
      </c>
      <c r="CM101" s="21">
        <f>EXP(-LN(2)/2)*CM100+(1-EXP(-LN(2)/2))/(LN(2)/2)*CG101*CJ101*VLOOKUP('Données projet'!$B$12,Paramètres!$A$1:$I$89,3,0)*0.475*44/12</f>
        <v>1.1857895841107789E-3</v>
      </c>
      <c r="CN101" s="22">
        <f t="shared" si="66"/>
        <v>49.496423112219489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-5.3205440053716299E-14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225.92546546283018</v>
      </c>
      <c r="CZ101" s="59">
        <f t="shared" si="96"/>
        <v>309.38786160614563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42.434835322014607</v>
      </c>
      <c r="DG101" s="21">
        <f>EXP(-LN(2)/25)*DG100+(1-EXP(-LN(2)/25))/(LN(2)/25)*Calculateur!DB101*Calculateur!DD101*VLOOKUP('Données projet'!$B$13,Paramètres!$A$1:$I$89,3,0)*0.475*44/12</f>
        <v>30.517612784325134</v>
      </c>
      <c r="DH101" s="21">
        <f>EXP(-LN(2)/2)*DH100+(1-EXP(-LN(2)/2))/(LN(2)/2)*DB101*DE101*VLOOKUP('Données projet'!$B$13,Paramètres!$A$1:$I$89,3,0)*0.475*44/12</f>
        <v>1.4020268416933976E-10</v>
      </c>
      <c r="DI101" s="22">
        <f t="shared" si="69"/>
        <v>72.952448106479949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2.4</v>
      </c>
      <c r="DO101" s="12">
        <f>IF('Données projet'!$A$166&gt;35,DO100+DN101-DW100,IF(A101&lt;'Données projet'!$A$166,$DL$205^A101,IF(A101='Données projet'!$A$166,'Données projet'!$B$166,DO100+DN101-DW100)))</f>
        <v>172.2</v>
      </c>
      <c r="DP101" s="17">
        <f>DO101*VLOOKUP('Données projet'!$B$14,Paramètres!$A$1:$I$89,3,0)*VLOOKUP('Données projet'!$B$14,Paramètres!$A$1:$I$89,5,0)</f>
        <v>150.43392</v>
      </c>
      <c r="DQ101" s="13">
        <f t="shared" si="97"/>
        <v>38.677178913707927</v>
      </c>
      <c r="DR101" s="20">
        <f t="shared" si="70"/>
        <v>329.36849727470798</v>
      </c>
      <c r="DS101" s="59">
        <f t="shared" si="71"/>
        <v>622.70183060804129</v>
      </c>
      <c r="DT101" s="59">
        <f ca="1">AVERAGE(OFFSET($DS$3,0,0,'Données projet'!$E$14+1,1))-AVERAGE(OFFSET($H$3,0,0,'Données projet'!$E$14+1,1))</f>
        <v>150.06600397498823</v>
      </c>
      <c r="DU101" s="59">
        <f t="shared" si="98"/>
        <v>170.53034305929714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3.5701117170404602</v>
      </c>
      <c r="EB101" s="21">
        <f>EXP(-LN(2)/25)*EB100+(1-EXP(-LN(2)/25))/(LN(2)/25)*Calculateur!DW101*Calculateur!DY101*VLOOKUP('Données projet'!$B$14,Paramètres!$A$1:$I$89,3,0)*0.475*44/12</f>
        <v>7.5555689992418031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11.125680716282263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-5.3205440053716299E-14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294.94285920643927</v>
      </c>
      <c r="T102" s="59">
        <f t="shared" si="88"/>
        <v>399.89535338426606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63.719159759639204</v>
      </c>
      <c r="AA102" s="21">
        <f>EXP(-LN(2)/25)*AA101+(1-EXP(-LN(2)/25))/(LN(2)/25)*Calculateur!V102*Calculateur!X102*VLOOKUP('Données projet'!$B$9,Paramètres!$A$1:$I$89,3,0)*0.475*44/12</f>
        <v>46.752231301876769</v>
      </c>
      <c r="AB102" s="21">
        <f>EXP(-LN(2)/2)*AB101+(1-EXP(-LN(2)/2))/(LN(2)/2)*V102*Y102*VLOOKUP('Données projet'!$B$9,Paramètres!$A$1:$I$89,3,0)*0.475*44/12</f>
        <v>3.5708212268055359E-10</v>
      </c>
      <c r="AC102" s="22">
        <f t="shared" si="57"/>
        <v>110.47139106187305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-1.0197709343628959E-13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200.14675249215634</v>
      </c>
      <c r="AO102" s="59">
        <f t="shared" si="90"/>
        <v>200.55017434999968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59.921172153933625</v>
      </c>
      <c r="AV102" s="21">
        <f>EXP(-LN(2)/25)*AV101+(1-EXP(-LN(2)/25))/(LN(2)/25)*Calculateur!AQ102*Calculateur!AS102*VLOOKUP('Données projet'!$B$10,Paramètres!$A$1:$I$89,3,0)*0.475*44/12</f>
        <v>12.256303865817616</v>
      </c>
      <c r="AW102" s="21">
        <f>EXP(-LN(2)/2)*AW101+(1-EXP(-LN(2)/2))/(LN(2)/2)*AQ102*AT102*VLOOKUP('Données projet'!$B$10,Paramètres!$A$1:$I$89,3,0)*0.475*44/12</f>
        <v>4.3108266665080711E-5</v>
      </c>
      <c r="AX102" s="21">
        <f t="shared" si="60"/>
        <v>72.177519128017906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4.1123076923076898</v>
      </c>
      <c r="BD102" s="12">
        <f>IF('Données projet'!$A$88&gt;35,BD101+BC102-BL101,IF(A102&lt;'Données projet'!$A$88,$BA$205^A102,IF(A102='Données projet'!$A$88,'Données projet'!$B$88,BD101+BC102-BL101)))</f>
        <v>319.05692307692294</v>
      </c>
      <c r="BE102" s="13">
        <f>BD102*VLOOKUP('Données projet'!$B$11,Paramètres!$A$1:$I$89,3,0)*VLOOKUP('Données projet'!$B$11,Paramètres!$A$1:$I$89,5,0)</f>
        <v>182.50055999999995</v>
      </c>
      <c r="BF102" s="13">
        <f t="shared" si="91"/>
        <v>45.87806720522542</v>
      </c>
      <c r="BG102" s="20">
        <f t="shared" si="61"/>
        <v>397.7594423824342</v>
      </c>
      <c r="BH102" s="59">
        <f t="shared" si="62"/>
        <v>691.09277571576752</v>
      </c>
      <c r="BI102" s="59">
        <f ca="1">AVERAGE(OFFSET($BH$3,0,0,'Données projet'!$E$11+1,1))-AVERAGE(OFFSET($H$3,0,0,'Données projet'!$E$11+1,1))</f>
        <v>182.46132340647313</v>
      </c>
      <c r="BJ102" s="59">
        <f t="shared" si="92"/>
        <v>130.51706975490481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32.69462107123465</v>
      </c>
      <c r="BQ102" s="21">
        <f>EXP(-LN(2)/25)*BQ101+(1-EXP(-LN(2)/25))/(LN(2)/25)*Calculateur!BL102*Calculateur!BN102*VLOOKUP('Données projet'!$B$11,Paramètres!$A$1:$I$89,3,0)*0.475*44/12</f>
        <v>8.3701406079490379</v>
      </c>
      <c r="BR102" s="21">
        <f>EXP(-LN(2)/2)*BR101+(1-EXP(-LN(2)/2))/(LN(2)/2)*BL102*BO102*VLOOKUP('Données projet'!$B$11,Paramètres!$A$1:$I$89,3,0)*0.475*44/12</f>
        <v>0.13505482192491278</v>
      </c>
      <c r="BS102" s="22">
        <f t="shared" si="63"/>
        <v>41.1998165011086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735.00000000000011</v>
      </c>
      <c r="BZ102" s="13">
        <f>BY102*VLOOKUP('Données projet'!$B$12,Paramètres!$A$1:$I$89,3,0)*VLOOKUP('Données projet'!$B$12,Paramètres!$A$1:$I$89,5,0)</f>
        <v>296.20500000000004</v>
      </c>
      <c r="CA102" s="13">
        <f t="shared" si="93"/>
        <v>70.380297204000939</v>
      </c>
      <c r="CB102" s="20">
        <f t="shared" si="64"/>
        <v>638.46939263030174</v>
      </c>
      <c r="CC102" s="59">
        <f t="shared" si="65"/>
        <v>931.80272596363511</v>
      </c>
      <c r="CD102" s="59">
        <f ca="1">AVERAGE(OFFSET($CC$3,0,0,'Données projet'!$E$12+1,1))-AVERAGE(OFFSET($H$3,0,0,'Données projet'!$E$12+1,1))</f>
        <v>291.0962681460345</v>
      </c>
      <c r="CE102" s="59">
        <f t="shared" si="94"/>
        <v>240.28311826371385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35.51629660574423</v>
      </c>
      <c r="CL102" s="21">
        <f>EXP(-LN(2)/25)*CL101+(1-EXP(-LN(2)/25))/(LN(2)/25)*Calculateur!CG102*Calculateur!CI102*VLOOKUP('Données projet'!$B$12,Paramètres!$A$1:$I$89,3,0)*0.475*44/12</f>
        <v>12.905728218101576</v>
      </c>
      <c r="CM102" s="21">
        <f>EXP(-LN(2)/2)*CM101+(1-EXP(-LN(2)/2))/(LN(2)/2)*CG102*CJ102*VLOOKUP('Données projet'!$B$12,Paramètres!$A$1:$I$89,3,0)*0.475*44/12</f>
        <v>8.3847985598510771E-4</v>
      </c>
      <c r="CN102" s="22">
        <f t="shared" si="66"/>
        <v>48.422863303701789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-5.3205440053716299E-14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225.92546546283018</v>
      </c>
      <c r="CZ102" s="59">
        <f t="shared" si="96"/>
        <v>309.38786160614563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41.60271408404374</v>
      </c>
      <c r="DG102" s="21">
        <f>EXP(-LN(2)/25)*DG101+(1-EXP(-LN(2)/25))/(LN(2)/25)*Calculateur!DB102*Calculateur!DD102*VLOOKUP('Données projet'!$B$13,Paramètres!$A$1:$I$89,3,0)*0.475*44/12</f>
        <v>29.683107057886257</v>
      </c>
      <c r="DH102" s="21">
        <f>EXP(-LN(2)/2)*DH101+(1-EXP(-LN(2)/2))/(LN(2)/2)*DB102*DE102*VLOOKUP('Données projet'!$B$13,Paramètres!$A$1:$I$89,3,0)*0.475*44/12</f>
        <v>9.9138268716695961E-11</v>
      </c>
      <c r="DI102" s="22">
        <f t="shared" si="69"/>
        <v>71.285821142029135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2.4</v>
      </c>
      <c r="DO102" s="12">
        <f>IF('Données projet'!$A$166&gt;35,DO101+DN102-DW101,IF(A102&lt;'Données projet'!$A$166,$DL$205^A102,IF(A102='Données projet'!$A$166,'Données projet'!$B$166,DO101+DN102-DW101)))</f>
        <v>174.6</v>
      </c>
      <c r="DP102" s="17">
        <f>DO102*VLOOKUP('Données projet'!$B$14,Paramètres!$A$1:$I$89,3,0)*VLOOKUP('Données projet'!$B$14,Paramètres!$A$1:$I$89,5,0)</f>
        <v>152.53056000000001</v>
      </c>
      <c r="DQ102" s="13">
        <f t="shared" si="97"/>
        <v>39.153103329629708</v>
      </c>
      <c r="DR102" s="20">
        <f t="shared" si="70"/>
        <v>333.84904696577172</v>
      </c>
      <c r="DS102" s="59">
        <f t="shared" si="71"/>
        <v>627.18238029910503</v>
      </c>
      <c r="DT102" s="59">
        <f ca="1">AVERAGE(OFFSET($DS$3,0,0,'Données projet'!$E$14+1,1))-AVERAGE(OFFSET($H$3,0,0,'Données projet'!$E$14+1,1))</f>
        <v>150.06600397498823</v>
      </c>
      <c r="DU102" s="59">
        <f t="shared" si="98"/>
        <v>170.53034305929714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3.5001040038224285</v>
      </c>
      <c r="EB102" s="21">
        <f>EXP(-LN(2)/25)*EB101+(1-EXP(-LN(2)/25))/(LN(2)/25)*Calculateur!DW102*Calculateur!DY102*VLOOKUP('Données projet'!$B$14,Paramètres!$A$1:$I$89,3,0)*0.475*44/12</f>
        <v>7.3489615676274305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10.849065571449859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-5.3205440053716299E-14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294.94285920643927</v>
      </c>
      <c r="T103" s="59">
        <f t="shared" si="88"/>
        <v>399.89535338426606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62.469665901602546</v>
      </c>
      <c r="AA103" s="21">
        <f>EXP(-LN(2)/25)*AA102+(1-EXP(-LN(2)/25))/(LN(2)/25)*Calculateur!V103*Calculateur!X103*VLOOKUP('Données projet'!$B$9,Paramètres!$A$1:$I$89,3,0)*0.475*44/12</f>
        <v>45.473789078333958</v>
      </c>
      <c r="AB103" s="21">
        <f>EXP(-LN(2)/2)*AB102+(1-EXP(-LN(2)/2))/(LN(2)/2)*V103*Y103*VLOOKUP('Données projet'!$B$9,Paramètres!$A$1:$I$89,3,0)*0.475*44/12</f>
        <v>2.5249519038790612E-10</v>
      </c>
      <c r="AC103" s="22">
        <f t="shared" si="57"/>
        <v>107.943454980189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-1.0197709343628959E-13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200.14675249215634</v>
      </c>
      <c r="AO103" s="59">
        <f t="shared" si="90"/>
        <v>200.55017434999968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58.746154516301154</v>
      </c>
      <c r="AV103" s="21">
        <f>EXP(-LN(2)/25)*AV102+(1-EXP(-LN(2)/25))/(LN(2)/25)*Calculateur!AQ103*Calculateur!AS103*VLOOKUP('Données projet'!$B$10,Paramètres!$A$1:$I$89,3,0)*0.475*44/12</f>
        <v>11.921154592075824</v>
      </c>
      <c r="AW103" s="21">
        <f>EXP(-LN(2)/2)*AW102+(1-EXP(-LN(2)/2))/(LN(2)/2)*AQ103*AT103*VLOOKUP('Données projet'!$B$10,Paramètres!$A$1:$I$89,3,0)*0.475*44/12</f>
        <v>3.0482147684076571E-5</v>
      </c>
      <c r="AX103" s="21">
        <f t="shared" si="60"/>
        <v>70.667339590524662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323.16923076923075</v>
      </c>
      <c r="BB103" s="12">
        <f>VLOOKUP(A103,'Données projet'!$A$87:$I$107,9,0)</f>
        <v>4.1123076923076898</v>
      </c>
      <c r="BC103" s="12">
        <f t="array" ref="BC103">INDEX(BB:BB,MIN(IF(ISNUMBER(BB103:BB299),ROW(BB103:BB299),"")))</f>
        <v>4.1123076923076898</v>
      </c>
      <c r="BD103" s="12">
        <f>IF('Données projet'!$A$88&gt;35,BD102+BC103-BL102,IF(A103&lt;'Données projet'!$A$88,$BA$205^A103,IF(A103='Données projet'!$A$88,'Données projet'!$B$88,BD102+BC103-BL102)))</f>
        <v>323.16923076923064</v>
      </c>
      <c r="BE103" s="13">
        <f>BD103*VLOOKUP('Données projet'!$B$11,Paramètres!$A$1:$I$89,3,0)*VLOOKUP('Données projet'!$B$11,Paramètres!$A$1:$I$89,5,0)</f>
        <v>184.85279999999992</v>
      </c>
      <c r="BF103" s="13">
        <f t="shared" si="91"/>
        <v>46.400167454562755</v>
      </c>
      <c r="BG103" s="20">
        <f t="shared" si="61"/>
        <v>402.76558498336334</v>
      </c>
      <c r="BH103" s="59">
        <f t="shared" si="62"/>
        <v>696.09891831669665</v>
      </c>
      <c r="BI103" s="59">
        <f ca="1">AVERAGE(OFFSET($BH$3,0,0,'Données projet'!$E$11+1,1))-AVERAGE(OFFSET($H$3,0,0,'Données projet'!$E$11+1,1))</f>
        <v>182.46132340647313</v>
      </c>
      <c r="BJ103" s="59">
        <f t="shared" si="92"/>
        <v>130.51706975490481</v>
      </c>
      <c r="BK103" s="15">
        <f>IF(ISNA(VLOOKUP(A103,'Données projet'!$A$87:$I$107,3,0)),0,VLOOKUP(A103,'Données projet'!$A$87:$I$107,3,0))</f>
        <v>10</v>
      </c>
      <c r="BL103" s="15">
        <f>IF(ISNA(VLOOKUP(A103,'Données projet'!$A$87:$I$107,4,0)),0,VLOOKUP(A103,'Données projet'!$A$87:$I$107,4,0))</f>
        <v>190.88461538461539</v>
      </c>
      <c r="BM103" s="16">
        <f>IF(ISNA(VLOOKUP(A103,'Données projet'!$A$87:$I$107,5,0)),0%,VLOOKUP(A103,'Données projet'!$A$87:$I$107,5,0)*VLOOKUP('Données projet'!$B$11,Paramètres!$A$1:$I$89,7,0))</f>
        <v>0.315</v>
      </c>
      <c r="BN103" s="16">
        <f>IF(ISNA(VLOOKUP(A103,'Données projet'!$A$87:$I$107,6,0)),0%,VLOOKUP(A103,'Données projet'!$A$87:$I$107,6,0)*VLOOKUP('Données projet'!$B$11,Paramètres!$A$1:$I$89,7,0))</f>
        <v>7.6500000000000012E-2</v>
      </c>
      <c r="BO103" s="16">
        <f>IF(ISNA(VLOOKUP(A103,'Données projet'!$A$87:$I$107,7,0)),0%,VLOOKUP(A103,'Données projet'!$A$87:$I$107,7,0))</f>
        <v>0.13</v>
      </c>
      <c r="BP103" s="21">
        <f>EXP(-LN(2)/35)*BP102+(1-EXP(-LN(2)/35))/(LN(2)/35)*BL103*BM103*VLOOKUP('Données projet'!$B$11,Paramètres!$A$1:$I$89,3,0)*0.475*44/12</f>
        <v>77.67881348273832</v>
      </c>
      <c r="BQ103" s="21">
        <f>EXP(-LN(2)/25)*BQ102+(1-EXP(-LN(2)/25))/(LN(2)/25)*Calculateur!BL103*Calculateur!BN103*VLOOKUP('Données projet'!$B$11,Paramètres!$A$1:$I$89,3,0)*0.475*44/12</f>
        <v>19.178064181915801</v>
      </c>
      <c r="BR103" s="21">
        <f>EXP(-LN(2)/2)*BR102+(1-EXP(-LN(2)/2))/(LN(2)/2)*BL103*BO103*VLOOKUP('Données projet'!$B$11,Paramètres!$A$1:$I$89,3,0)*0.475*44/12</f>
        <v>16.16660721331926</v>
      </c>
      <c r="BS103" s="22">
        <f t="shared" si="63"/>
        <v>113.02348487797337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735.00000000000011</v>
      </c>
      <c r="BZ103" s="13">
        <f>BY103*VLOOKUP('Données projet'!$B$12,Paramètres!$A$1:$I$89,3,0)*VLOOKUP('Données projet'!$B$12,Paramètres!$A$1:$I$89,5,0)</f>
        <v>296.20500000000004</v>
      </c>
      <c r="CA103" s="13">
        <f t="shared" si="93"/>
        <v>70.380297204000939</v>
      </c>
      <c r="CB103" s="20">
        <f t="shared" si="64"/>
        <v>638.46939263030174</v>
      </c>
      <c r="CC103" s="59">
        <f t="shared" si="65"/>
        <v>931.80272596363511</v>
      </c>
      <c r="CD103" s="59">
        <f ca="1">AVERAGE(OFFSET($CC$3,0,0,'Données projet'!$E$12+1,1))-AVERAGE(OFFSET($H$3,0,0,'Données projet'!$E$12+1,1))</f>
        <v>291.0962681460345</v>
      </c>
      <c r="CE103" s="59">
        <f t="shared" si="94"/>
        <v>240.28311826371385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34.81984369210749</v>
      </c>
      <c r="CL103" s="21">
        <f>EXP(-LN(2)/25)*CL102+(1-EXP(-LN(2)/25))/(LN(2)/25)*Calculateur!CG103*Calculateur!CI103*VLOOKUP('Données projet'!$B$12,Paramètres!$A$1:$I$89,3,0)*0.475*44/12</f>
        <v>12.552820401294838</v>
      </c>
      <c r="CM103" s="21">
        <f>EXP(-LN(2)/2)*CM102+(1-EXP(-LN(2)/2))/(LN(2)/2)*CG103*CJ103*VLOOKUP('Données projet'!$B$12,Paramètres!$A$1:$I$89,3,0)*0.475*44/12</f>
        <v>5.9289479205538943E-4</v>
      </c>
      <c r="CN103" s="22">
        <f t="shared" si="66"/>
        <v>47.373256988194385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-5.3205440053716299E-14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225.92546546283018</v>
      </c>
      <c r="CZ103" s="59">
        <f t="shared" si="96"/>
        <v>309.38786160614563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40.786910236005646</v>
      </c>
      <c r="DG103" s="21">
        <f>EXP(-LN(2)/25)*DG102+(1-EXP(-LN(2)/25))/(LN(2)/25)*Calculateur!DB103*Calculateur!DD103*VLOOKUP('Données projet'!$B$13,Paramètres!$A$1:$I$89,3,0)*0.475*44/12</f>
        <v>28.8714209344216</v>
      </c>
      <c r="DH103" s="21">
        <f>EXP(-LN(2)/2)*DH102+(1-EXP(-LN(2)/2))/(LN(2)/2)*DB103*DE103*VLOOKUP('Données projet'!$B$13,Paramètres!$A$1:$I$89,3,0)*0.475*44/12</f>
        <v>7.0101342084669879E-11</v>
      </c>
      <c r="DI103" s="22">
        <f t="shared" si="69"/>
        <v>69.658331170497348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177</v>
      </c>
      <c r="DM103" s="12">
        <f>VLOOKUP(A103,'Données projet'!$A$165:$I$185,9,0)</f>
        <v>2.4</v>
      </c>
      <c r="DN103" s="12">
        <f t="array" ref="DN103">INDEX(DM:DM,MIN(IF(ISNUMBER(DM103:DM299),ROW(DM103:DM299),"")))</f>
        <v>2.4</v>
      </c>
      <c r="DO103" s="12">
        <f>IF('Données projet'!$A$166&gt;35,DO102+DN103-DW102,IF(A103&lt;'Données projet'!$A$166,$DL$205^A103,IF(A103='Données projet'!$A$166,'Données projet'!$B$166,DO102+DN103-DW102)))</f>
        <v>177</v>
      </c>
      <c r="DP103" s="17">
        <f>DO103*VLOOKUP('Données projet'!$B$14,Paramètres!$A$1:$I$89,3,0)*VLOOKUP('Données projet'!$B$14,Paramètres!$A$1:$I$89,5,0)</f>
        <v>154.62720000000002</v>
      </c>
      <c r="DQ103" s="13">
        <f t="shared" si="97"/>
        <v>39.62826685000794</v>
      </c>
      <c r="DR103" s="20">
        <f t="shared" si="70"/>
        <v>338.3282714304305</v>
      </c>
      <c r="DS103" s="59">
        <f t="shared" si="71"/>
        <v>631.66160476376376</v>
      </c>
      <c r="DT103" s="59">
        <f ca="1">AVERAGE(OFFSET($DS$3,0,0,'Données projet'!$E$14+1,1))-AVERAGE(OFFSET($H$3,0,0,'Données projet'!$E$14+1,1))</f>
        <v>150.06600397498823</v>
      </c>
      <c r="DU103" s="59">
        <f t="shared" si="98"/>
        <v>170.53034305929714</v>
      </c>
      <c r="DV103" s="15">
        <f>IF(ISNA(VLOOKUP(A103,'Données projet'!$A$165:$I$185,3,0)),0,VLOOKUP(A103,'Données projet'!$A$165:$I$185,3,0))</f>
        <v>15</v>
      </c>
      <c r="DW103" s="15">
        <f>IF(ISNA(VLOOKUP(A103,'Données projet'!$A$165:$I$185,4,0)),0,VLOOKUP(A103,'Données projet'!$A$165:$I$185,4,0))</f>
        <v>9</v>
      </c>
      <c r="DX103" s="16">
        <f>IF(ISNA(VLOOKUP(A103,'Données projet'!$A$165:$I$185,5,0)),0%,VLOOKUP(A103,'Données projet'!$A$165:$I$185,5,0)*VLOOKUP('Données projet'!$B$14,Paramètres!$A$1:$I$89,7,0))</f>
        <v>0.17200000000000001</v>
      </c>
      <c r="DY103" s="16">
        <f>IF(ISNA(VLOOKUP(A103,'Données projet'!$A$165:$I$185,6,0)),0%,VLOOKUP(A103,'Données projet'!$A$165:$I$185,6,0)*VLOOKUP('Données projet'!$B$14,Paramètres!$A$1:$I$89,7,0))</f>
        <v>0.17200000000000001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4.9264329528309707</v>
      </c>
      <c r="EB103" s="21">
        <f>EXP(-LN(2)/25)*EB102+(1-EXP(-LN(2)/25))/(LN(2)/25)*Calculateur!DW103*Calculateur!DY103*VLOOKUP('Données projet'!$B$14,Paramètres!$A$1:$I$89,3,0)*0.475*44/12</f>
        <v>8.6370814384486341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13.563514391279604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294.94285920643927</v>
      </c>
      <c r="T104" s="59">
        <f t="shared" si="88"/>
        <v>399.89535338426606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61.244673856005988</v>
      </c>
      <c r="AA104" s="21">
        <f>EXP(-LN(2)/25)*AA103+(1-EXP(-LN(2)/25))/(LN(2)/25)*Calculateur!V104*Calculateur!X104*VLOOKUP('Données projet'!$B$9,Paramètres!$A$1:$I$89,3,0)*0.475*44/12</f>
        <v>44.230305924624282</v>
      </c>
      <c r="AB104" s="21">
        <f>EXP(-LN(2)/2)*AB103+(1-EXP(-LN(2)/2))/(LN(2)/2)*V104*Y104*VLOOKUP('Données projet'!$B$9,Paramètres!$A$1:$I$89,3,0)*0.475*44/12</f>
        <v>1.7854106134027679E-10</v>
      </c>
      <c r="AC104" s="22">
        <f t="shared" si="57"/>
        <v>105.47497978080881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-1.0197709343628959E-13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200.14675249215634</v>
      </c>
      <c r="AO104" s="59">
        <f t="shared" si="90"/>
        <v>200.55017434999968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57.594178257852661</v>
      </c>
      <c r="AV104" s="21">
        <f>EXP(-LN(2)/25)*AV103+(1-EXP(-LN(2)/25))/(LN(2)/25)*Calculateur!AQ104*Calculateur!AS104*VLOOKUP('Données projet'!$B$10,Paramètres!$A$1:$I$89,3,0)*0.475*44/12</f>
        <v>11.595169992849238</v>
      </c>
      <c r="AW104" s="21">
        <f>EXP(-LN(2)/2)*AW103+(1-EXP(-LN(2)/2))/(LN(2)/2)*AQ104*AT104*VLOOKUP('Données projet'!$B$10,Paramètres!$A$1:$I$89,3,0)*0.475*44/12</f>
        <v>2.1554133332540359E-5</v>
      </c>
      <c r="AX104" s="21">
        <f t="shared" si="60"/>
        <v>69.189369804835223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2.0897435897436005</v>
      </c>
      <c r="BD104" s="12">
        <f>IF('Données projet'!$A$88&gt;35,BD103+BC104-BL103,IF(A104&lt;'Données projet'!$A$88,$BA$205^A104,IF(A104='Données projet'!$A$88,'Données projet'!$B$88,BD103+BC104-BL103)))</f>
        <v>134.37435897435884</v>
      </c>
      <c r="BE104" s="13">
        <f>BD104*VLOOKUP('Données projet'!$B$11,Paramètres!$A$1:$I$89,3,0)*VLOOKUP('Données projet'!$B$11,Paramètres!$A$1:$I$89,5,0)</f>
        <v>76.862133333333261</v>
      </c>
      <c r="BF104" s="13">
        <f t="shared" si="91"/>
        <v>21.368181888669596</v>
      </c>
      <c r="BG104" s="20">
        <f t="shared" si="61"/>
        <v>171.08446567832164</v>
      </c>
      <c r="BH104" s="59">
        <f t="shared" si="62"/>
        <v>464.41779901165495</v>
      </c>
      <c r="BI104" s="59">
        <f ca="1">AVERAGE(OFFSET($BH$3,0,0,'Données projet'!$E$11+1,1))-AVERAGE(OFFSET($H$3,0,0,'Données projet'!$E$11+1,1))</f>
        <v>182.46132340647313</v>
      </c>
      <c r="BJ104" s="59">
        <f t="shared" si="92"/>
        <v>130.51706975490481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76.155579329739723</v>
      </c>
      <c r="BQ104" s="21">
        <f>EXP(-LN(2)/25)*BQ103+(1-EXP(-LN(2)/25))/(LN(2)/25)*Calculateur!BL104*Calculateur!BN104*VLOOKUP('Données projet'!$B$11,Paramètres!$A$1:$I$89,3,0)*0.475*44/12</f>
        <v>18.65363900833075</v>
      </c>
      <c r="BR104" s="21">
        <f>EXP(-LN(2)/2)*BR103+(1-EXP(-LN(2)/2))/(LN(2)/2)*BL104*BO104*VLOOKUP('Données projet'!$B$11,Paramètres!$A$1:$I$89,3,0)*0.475*44/12</f>
        <v>11.431517589317403</v>
      </c>
      <c r="BS104" s="22">
        <f t="shared" si="63"/>
        <v>106.24073592738789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735.00000000000011</v>
      </c>
      <c r="BZ104" s="13">
        <f>BY104*VLOOKUP('Données projet'!$B$12,Paramètres!$A$1:$I$89,3,0)*VLOOKUP('Données projet'!$B$12,Paramètres!$A$1:$I$89,5,0)</f>
        <v>296.20500000000004</v>
      </c>
      <c r="CA104" s="13">
        <f t="shared" si="93"/>
        <v>70.380297204000939</v>
      </c>
      <c r="CB104" s="20">
        <f t="shared" si="64"/>
        <v>638.46939263030174</v>
      </c>
      <c r="CC104" s="59">
        <f t="shared" si="65"/>
        <v>931.80272596363511</v>
      </c>
      <c r="CD104" s="59">
        <f ca="1">AVERAGE(OFFSET($CC$3,0,0,'Données projet'!$E$12+1,1))-AVERAGE(OFFSET($H$3,0,0,'Données projet'!$E$12+1,1))</f>
        <v>291.0962681460345</v>
      </c>
      <c r="CE104" s="59">
        <f t="shared" si="94"/>
        <v>240.28311826371385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34.137047795312839</v>
      </c>
      <c r="CL104" s="21">
        <f>EXP(-LN(2)/25)*CL103+(1-EXP(-LN(2)/25))/(LN(2)/25)*Calculateur!CG104*Calculateur!CI104*VLOOKUP('Données projet'!$B$12,Paramètres!$A$1:$I$89,3,0)*0.475*44/12</f>
        <v>12.209562867297295</v>
      </c>
      <c r="CM104" s="21">
        <f>EXP(-LN(2)/2)*CM103+(1-EXP(-LN(2)/2))/(LN(2)/2)*CG104*CJ104*VLOOKUP('Données projet'!$B$12,Paramètres!$A$1:$I$89,3,0)*0.475*44/12</f>
        <v>4.1923992799255386E-4</v>
      </c>
      <c r="CN104" s="22">
        <f t="shared" si="66"/>
        <v>46.347029902538125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-5.3205440053716299E-14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225.92546546283018</v>
      </c>
      <c r="CZ104" s="59">
        <f t="shared" si="96"/>
        <v>309.38786160614563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39.987103803836362</v>
      </c>
      <c r="DG104" s="21">
        <f>EXP(-LN(2)/25)*DG103+(1-EXP(-LN(2)/25))/(LN(2)/25)*Calculateur!DB104*Calculateur!DD104*VLOOKUP('Données projet'!$B$13,Paramètres!$A$1:$I$89,3,0)*0.475*44/12</f>
        <v>28.0819304106878</v>
      </c>
      <c r="DH104" s="21">
        <f>EXP(-LN(2)/2)*DH103+(1-EXP(-LN(2)/2))/(LN(2)/2)*DB104*DE104*VLOOKUP('Données projet'!$B$13,Paramètres!$A$1:$I$89,3,0)*0.475*44/12</f>
        <v>4.956913435834798E-11</v>
      </c>
      <c r="DI104" s="22">
        <f t="shared" si="69"/>
        <v>68.069034214573733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168</v>
      </c>
      <c r="DP104" s="17">
        <f>DO104*VLOOKUP('Données projet'!$B$14,Paramètres!$A$1:$I$89,3,0)*VLOOKUP('Données projet'!$B$14,Paramètres!$A$1:$I$89,5,0)</f>
        <v>146.76480000000004</v>
      </c>
      <c r="DQ104" s="13">
        <f t="shared" si="97"/>
        <v>37.842444439956665</v>
      </c>
      <c r="DR104" s="20">
        <f t="shared" si="70"/>
        <v>321.52428406625791</v>
      </c>
      <c r="DS104" s="59">
        <f t="shared" si="71"/>
        <v>614.85761739959116</v>
      </c>
      <c r="DT104" s="59">
        <f ca="1">AVERAGE(OFFSET($DS$3,0,0,'Données projet'!$E$14+1,1))-AVERAGE(OFFSET($H$3,0,0,'Données projet'!$E$14+1,1))</f>
        <v>150.06600397498823</v>
      </c>
      <c r="DU104" s="59">
        <f t="shared" si="98"/>
        <v>170.53034305929714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4.8298286074533543</v>
      </c>
      <c r="EB104" s="21">
        <f>EXP(-LN(2)/25)*EB103+(1-EXP(-LN(2)/25))/(LN(2)/25)*Calculateur!DW104*Calculateur!DY104*VLOOKUP('Données projet'!$B$14,Paramètres!$A$1:$I$89,3,0)*0.475*44/12</f>
        <v>8.400899992309883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13.230728599763237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294.94285920643927</v>
      </c>
      <c r="T105" s="59">
        <f t="shared" si="88"/>
        <v>399.89535338426606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60.04370315725221</v>
      </c>
      <c r="AA105" s="21">
        <f>EXP(-LN(2)/25)*AA104+(1-EXP(-LN(2)/25))/(LN(2)/25)*Calculateur!V105*Calculateur!X105*VLOOKUP('Données projet'!$B$9,Paramètres!$A$1:$I$89,3,0)*0.475*44/12</f>
        <v>43.020825883144731</v>
      </c>
      <c r="AB105" s="21">
        <f>EXP(-LN(2)/2)*AB104+(1-EXP(-LN(2)/2))/(LN(2)/2)*V105*Y105*VLOOKUP('Données projet'!$B$9,Paramètres!$A$1:$I$89,3,0)*0.475*44/12</f>
        <v>1.2624759519395306E-10</v>
      </c>
      <c r="AC105" s="22">
        <f t="shared" si="57"/>
        <v>103.06452904052318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-1.0197709343628959E-13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200.14675249215634</v>
      </c>
      <c r="AO105" s="59">
        <f t="shared" si="90"/>
        <v>200.55017434999968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56.464791551196207</v>
      </c>
      <c r="AV105" s="21">
        <f>EXP(-LN(2)/25)*AV104+(1-EXP(-LN(2)/25))/(LN(2)/25)*Calculateur!AQ105*Calculateur!AS105*VLOOKUP('Données projet'!$B$10,Paramètres!$A$1:$I$89,3,0)*0.475*44/12</f>
        <v>11.278099459631287</v>
      </c>
      <c r="AW105" s="21">
        <f>EXP(-LN(2)/2)*AW104+(1-EXP(-LN(2)/2))/(LN(2)/2)*AQ105*AT105*VLOOKUP('Données projet'!$B$10,Paramètres!$A$1:$I$89,3,0)*0.475*44/12</f>
        <v>1.5241073842038287E-5</v>
      </c>
      <c r="AX105" s="21">
        <f t="shared" si="60"/>
        <v>67.742906251901331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2.0897435897436005</v>
      </c>
      <c r="BD105" s="12">
        <f>IF('Données projet'!$A$88&gt;35,BD104+BC105-BL104,IF(A105&lt;'Données projet'!$A$88,$BA$205^A105,IF(A105='Données projet'!$A$88,'Données projet'!$B$88,BD104+BC105-BL104)))</f>
        <v>136.46410256410243</v>
      </c>
      <c r="BE105" s="13">
        <f>BD105*VLOOKUP('Données projet'!$B$11,Paramètres!$A$1:$I$89,3,0)*VLOOKUP('Données projet'!$B$11,Paramètres!$A$1:$I$89,5,0)</f>
        <v>78.057466666666599</v>
      </c>
      <c r="BF105" s="13">
        <f t="shared" si="91"/>
        <v>21.661547276392476</v>
      </c>
      <c r="BG105" s="20">
        <f t="shared" si="61"/>
        <v>173.67728261749457</v>
      </c>
      <c r="BH105" s="59">
        <f t="shared" si="62"/>
        <v>467.01061595082786</v>
      </c>
      <c r="BI105" s="59">
        <f ca="1">AVERAGE(OFFSET($BH$3,0,0,'Données projet'!$E$11+1,1))-AVERAGE(OFFSET($H$3,0,0,'Données projet'!$E$11+1,1))</f>
        <v>182.46132340647313</v>
      </c>
      <c r="BJ105" s="59">
        <f t="shared" si="92"/>
        <v>130.51706975490481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74.66221486940033</v>
      </c>
      <c r="BQ105" s="21">
        <f>EXP(-LN(2)/25)*BQ104+(1-EXP(-LN(2)/25))/(LN(2)/25)*Calculateur!BL105*Calculateur!BN105*VLOOKUP('Données projet'!$B$11,Paramètres!$A$1:$I$89,3,0)*0.475*44/12</f>
        <v>18.143554268695702</v>
      </c>
      <c r="BR105" s="21">
        <f>EXP(-LN(2)/2)*BR104+(1-EXP(-LN(2)/2))/(LN(2)/2)*BL105*BO105*VLOOKUP('Données projet'!$B$11,Paramètres!$A$1:$I$89,3,0)*0.475*44/12</f>
        <v>8.08330360665963</v>
      </c>
      <c r="BS105" s="22">
        <f t="shared" si="63"/>
        <v>100.88907274475565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735.00000000000011</v>
      </c>
      <c r="BZ105" s="13">
        <f>BY105*VLOOKUP('Données projet'!$B$12,Paramètres!$A$1:$I$89,3,0)*VLOOKUP('Données projet'!$B$12,Paramètres!$A$1:$I$89,5,0)</f>
        <v>296.20500000000004</v>
      </c>
      <c r="CA105" s="13">
        <f t="shared" si="93"/>
        <v>70.380297204000939</v>
      </c>
      <c r="CB105" s="20">
        <f t="shared" si="64"/>
        <v>638.46939263030174</v>
      </c>
      <c r="CC105" s="59">
        <f t="shared" si="65"/>
        <v>931.80272596363511</v>
      </c>
      <c r="CD105" s="59">
        <f ca="1">AVERAGE(OFFSET($CC$3,0,0,'Données projet'!$E$12+1,1))-AVERAGE(OFFSET($H$3,0,0,'Données projet'!$E$12+1,1))</f>
        <v>291.0962681460345</v>
      </c>
      <c r="CE105" s="59">
        <f t="shared" si="94"/>
        <v>240.28311826371385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33.467641109589955</v>
      </c>
      <c r="CL105" s="21">
        <f>EXP(-LN(2)/25)*CL104+(1-EXP(-LN(2)/25))/(LN(2)/25)*Calculateur!CG105*Calculateur!CI105*VLOOKUP('Données projet'!$B$12,Paramètres!$A$1:$I$89,3,0)*0.475*44/12</f>
        <v>11.875691728618046</v>
      </c>
      <c r="CM105" s="21">
        <f>EXP(-LN(2)/2)*CM104+(1-EXP(-LN(2)/2))/(LN(2)/2)*CG105*CJ105*VLOOKUP('Données projet'!$B$12,Paramètres!$A$1:$I$89,3,0)*0.475*44/12</f>
        <v>2.9644739602769472E-4</v>
      </c>
      <c r="CN105" s="22">
        <f t="shared" si="66"/>
        <v>45.343629285604024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-5.3205440053716299E-14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225.92546546283018</v>
      </c>
      <c r="CZ105" s="59">
        <f t="shared" si="96"/>
        <v>309.38786160614563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39.202981087968169</v>
      </c>
      <c r="DG105" s="21">
        <f>EXP(-LN(2)/25)*DG104+(1-EXP(-LN(2)/25))/(LN(2)/25)*Calculateur!DB105*Calculateur!DD105*VLOOKUP('Données projet'!$B$13,Paramètres!$A$1:$I$89,3,0)*0.475*44/12</f>
        <v>27.314028546843005</v>
      </c>
      <c r="DH105" s="21">
        <f>EXP(-LN(2)/2)*DH104+(1-EXP(-LN(2)/2))/(LN(2)/2)*DB105*DE105*VLOOKUP('Données projet'!$B$13,Paramètres!$A$1:$I$89,3,0)*0.475*44/12</f>
        <v>3.505067104233494E-11</v>
      </c>
      <c r="DI105" s="22">
        <f t="shared" si="69"/>
        <v>66.517009634846218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168</v>
      </c>
      <c r="DP105" s="17">
        <f>DO105*VLOOKUP('Données projet'!$B$14,Paramètres!$A$1:$I$89,3,0)*VLOOKUP('Données projet'!$B$14,Paramètres!$A$1:$I$89,5,0)</f>
        <v>146.76480000000004</v>
      </c>
      <c r="DQ105" s="13">
        <f t="shared" si="97"/>
        <v>37.842444439956665</v>
      </c>
      <c r="DR105" s="20">
        <f t="shared" si="70"/>
        <v>321.52428406625791</v>
      </c>
      <c r="DS105" s="59">
        <f t="shared" si="71"/>
        <v>614.85761739959116</v>
      </c>
      <c r="DT105" s="59">
        <f ca="1">AVERAGE(OFFSET($DS$3,0,0,'Données projet'!$E$14+1,1))-AVERAGE(OFFSET($H$3,0,0,'Données projet'!$E$14+1,1))</f>
        <v>150.06600397498823</v>
      </c>
      <c r="DU105" s="59">
        <f t="shared" si="98"/>
        <v>170.53034305929714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4.7351186143657609</v>
      </c>
      <c r="EB105" s="21">
        <f>EXP(-LN(2)/25)*EB104+(1-EXP(-LN(2)/25))/(LN(2)/25)*Calculateur!DW105*Calculateur!DY105*VLOOKUP('Données projet'!$B$14,Paramètres!$A$1:$I$89,3,0)*0.475*44/12</f>
        <v>8.1711769402360392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12.906295554601801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294.94285920643927</v>
      </c>
      <c r="T106" s="59">
        <f t="shared" si="88"/>
        <v>399.89535338426606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58.866282761381193</v>
      </c>
      <c r="AA106" s="21">
        <f>EXP(-LN(2)/25)*AA105+(1-EXP(-LN(2)/25))/(LN(2)/25)*Calculateur!V106*Calculateur!X106*VLOOKUP('Données projet'!$B$9,Paramètres!$A$1:$I$89,3,0)*0.475*44/12</f>
        <v>41.844419137003229</v>
      </c>
      <c r="AB106" s="21">
        <f>EXP(-LN(2)/2)*AB105+(1-EXP(-LN(2)/2))/(LN(2)/2)*V106*Y106*VLOOKUP('Données projet'!$B$9,Paramètres!$A$1:$I$89,3,0)*0.475*44/12</f>
        <v>8.9270530670138397E-11</v>
      </c>
      <c r="AC106" s="22">
        <f t="shared" si="57"/>
        <v>100.7107018984737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-1.0197709343628959E-13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200.14675249215634</v>
      </c>
      <c r="AO106" s="59">
        <f t="shared" si="90"/>
        <v>200.55017434999968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55.357551428999415</v>
      </c>
      <c r="AV106" s="21">
        <f>EXP(-LN(2)/25)*AV105+(1-EXP(-LN(2)/25))/(LN(2)/25)*Calculateur!AQ106*Calculateur!AS106*VLOOKUP('Données projet'!$B$10,Paramètres!$A$1:$I$89,3,0)*0.475*44/12</f>
        <v>10.969699236818196</v>
      </c>
      <c r="AW106" s="21">
        <f>EXP(-LN(2)/2)*AW105+(1-EXP(-LN(2)/2))/(LN(2)/2)*AQ106*AT106*VLOOKUP('Données projet'!$B$10,Paramètres!$A$1:$I$89,3,0)*0.475*44/12</f>
        <v>1.0777066666270181E-5</v>
      </c>
      <c r="AX106" s="21">
        <f t="shared" si="60"/>
        <v>66.327261442884279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138.55384615384617</v>
      </c>
      <c r="BB106" s="12">
        <f>VLOOKUP(A106,'Données projet'!$A$87:$I$107,9,0)</f>
        <v>2.0897435897436005</v>
      </c>
      <c r="BC106" s="12">
        <f t="array" ref="BC106">INDEX(BB:BB,MIN(IF(ISNUMBER(BB106:BB302),ROW(BB106:BB302),"")))</f>
        <v>2.0897435897436005</v>
      </c>
      <c r="BD106" s="12">
        <f>IF('Données projet'!$A$88&gt;35,BD105+BC106-BL105,IF(A106&lt;'Données projet'!$A$88,$BA$205^A106,IF(A106='Données projet'!$A$88,'Données projet'!$B$88,BD105+BC106-BL105)))</f>
        <v>138.55384615384602</v>
      </c>
      <c r="BE106" s="13">
        <f>BD106*VLOOKUP('Données projet'!$B$11,Paramètres!$A$1:$I$89,3,0)*VLOOKUP('Données projet'!$B$11,Paramètres!$A$1:$I$89,5,0)</f>
        <v>79.252799999999922</v>
      </c>
      <c r="BF106" s="13">
        <f t="shared" si="91"/>
        <v>21.954390186879657</v>
      </c>
      <c r="BG106" s="20">
        <f t="shared" si="61"/>
        <v>176.26918957548196</v>
      </c>
      <c r="BH106" s="59">
        <f t="shared" si="62"/>
        <v>469.60252290881527</v>
      </c>
      <c r="BI106" s="59">
        <f ca="1">AVERAGE(OFFSET($BH$3,0,0,'Données projet'!$E$11+1,1))-AVERAGE(OFFSET($H$3,0,0,'Données projet'!$E$11+1,1))</f>
        <v>182.46132340647313</v>
      </c>
      <c r="BJ106" s="59">
        <f t="shared" si="92"/>
        <v>130.51706975490481</v>
      </c>
      <c r="BK106" s="15">
        <f>IF(ISNA(VLOOKUP(A106,'Données projet'!$A$87:$I$107,3,0)),0,VLOOKUP(A106,'Données projet'!$A$87:$I$107,3,0))</f>
        <v>11</v>
      </c>
      <c r="BL106" s="15">
        <f>IF(ISNA(VLOOKUP(A106,'Données projet'!$A$87:$I$107,4,0)),0,VLOOKUP(A106,'Données projet'!$A$87:$I$107,4,0))</f>
        <v>138.55384615384617</v>
      </c>
      <c r="BM106" s="16">
        <f>IF(ISNA(VLOOKUP(A106,'Données projet'!$A$87:$I$107,5,0)),0%,VLOOKUP(A106,'Données projet'!$A$87:$I$107,5,0)*VLOOKUP('Données projet'!$B$11,Paramètres!$A$1:$I$89,7,0))</f>
        <v>0.315</v>
      </c>
      <c r="BN106" s="16">
        <f>IF(ISNA(VLOOKUP(A106,'Données projet'!$A$87:$I$107,6,0)),0%,VLOOKUP(A106,'Données projet'!$A$87:$I$107,6,0)*VLOOKUP('Données projet'!$B$11,Paramètres!$A$1:$I$89,7,0))</f>
        <v>7.6500000000000012E-2</v>
      </c>
      <c r="BO106" s="16">
        <f>IF(ISNA(VLOOKUP(A106,'Données projet'!$A$87:$I$107,7,0)),0%,VLOOKUP(A106,'Données projet'!$A$87:$I$107,7,0))</f>
        <v>0.13</v>
      </c>
      <c r="BP106" s="21">
        <f>EXP(-LN(2)/35)*BP105+(1-EXP(-LN(2)/35))/(LN(2)/35)*BL106*BM106*VLOOKUP('Données projet'!$B$11,Paramètres!$A$1:$I$89,3,0)*0.475*44/12</f>
        <v>106.31532782959434</v>
      </c>
      <c r="BQ106" s="21">
        <f>EXP(-LN(2)/25)*BQ105+(1-EXP(-LN(2)/25))/(LN(2)/25)*Calculateur!BL106*Calculateur!BN106*VLOOKUP('Données projet'!$B$11,Paramètres!$A$1:$I$89,3,0)*0.475*44/12</f>
        <v>25.658497445461599</v>
      </c>
      <c r="BR106" s="21">
        <f>EXP(-LN(2)/2)*BR105+(1-EXP(-LN(2)/2))/(LN(2)/2)*BL106*BO106*VLOOKUP('Données projet'!$B$11,Paramètres!$A$1:$I$89,3,0)*0.475*44/12</f>
        <v>17.380994172481419</v>
      </c>
      <c r="BS106" s="22">
        <f t="shared" si="63"/>
        <v>149.35481944753735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735.00000000000011</v>
      </c>
      <c r="BZ106" s="13">
        <f>BY106*VLOOKUP('Données projet'!$B$12,Paramètres!$A$1:$I$89,3,0)*VLOOKUP('Données projet'!$B$12,Paramètres!$A$1:$I$89,5,0)</f>
        <v>296.20500000000004</v>
      </c>
      <c r="CA106" s="13">
        <f t="shared" si="93"/>
        <v>70.380297204000939</v>
      </c>
      <c r="CB106" s="20">
        <f t="shared" si="64"/>
        <v>638.46939263030174</v>
      </c>
      <c r="CC106" s="59">
        <f t="shared" si="65"/>
        <v>931.80272596363511</v>
      </c>
      <c r="CD106" s="59">
        <f ca="1">AVERAGE(OFFSET($CC$3,0,0,'Données projet'!$E$12+1,1))-AVERAGE(OFFSET($H$3,0,0,'Données projet'!$E$12+1,1))</f>
        <v>291.0962681460345</v>
      </c>
      <c r="CE106" s="59">
        <f t="shared" si="94"/>
        <v>240.28311826371385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32.811361080676335</v>
      </c>
      <c r="CL106" s="21">
        <f>EXP(-LN(2)/25)*CL105+(1-EXP(-LN(2)/25))/(LN(2)/25)*Calculateur!CG106*Calculateur!CI106*VLOOKUP('Données projet'!$B$12,Paramètres!$A$1:$I$89,3,0)*0.475*44/12</f>
        <v>11.550950313783499</v>
      </c>
      <c r="CM106" s="21">
        <f>EXP(-LN(2)/2)*CM105+(1-EXP(-LN(2)/2))/(LN(2)/2)*CG106*CJ106*VLOOKUP('Données projet'!$B$12,Paramètres!$A$1:$I$89,3,0)*0.475*44/12</f>
        <v>2.0961996399627693E-4</v>
      </c>
      <c r="CN106" s="22">
        <f t="shared" si="66"/>
        <v>44.362521014423834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-5.3205440053716299E-14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225.92546546283018</v>
      </c>
      <c r="CZ106" s="59">
        <f t="shared" si="96"/>
        <v>309.38786160614563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38.434234540290518</v>
      </c>
      <c r="DG106" s="21">
        <f>EXP(-LN(2)/25)*DG105+(1-EXP(-LN(2)/25))/(LN(2)/25)*Calculateur!DB106*Calculateur!DD106*VLOOKUP('Données projet'!$B$13,Paramètres!$A$1:$I$89,3,0)*0.475*44/12</f>
        <v>26.567124999847248</v>
      </c>
      <c r="DH106" s="21">
        <f>EXP(-LN(2)/2)*DH105+(1-EXP(-LN(2)/2))/(LN(2)/2)*DB106*DE106*VLOOKUP('Données projet'!$B$13,Paramètres!$A$1:$I$89,3,0)*0.475*44/12</f>
        <v>2.478456717917399E-11</v>
      </c>
      <c r="DI106" s="22">
        <f t="shared" si="69"/>
        <v>65.001359540162554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168</v>
      </c>
      <c r="DP106" s="17">
        <f>DO106*VLOOKUP('Données projet'!$B$14,Paramètres!$A$1:$I$89,3,0)*VLOOKUP('Données projet'!$B$14,Paramètres!$A$1:$I$89,5,0)</f>
        <v>146.76480000000004</v>
      </c>
      <c r="DQ106" s="13">
        <f t="shared" si="97"/>
        <v>37.842444439956665</v>
      </c>
      <c r="DR106" s="20">
        <f t="shared" si="70"/>
        <v>321.52428406625791</v>
      </c>
      <c r="DS106" s="59">
        <f t="shared" si="71"/>
        <v>614.85761739959116</v>
      </c>
      <c r="DT106" s="59">
        <f ca="1">AVERAGE(OFFSET($DS$3,0,0,'Données projet'!$E$14+1,1))-AVERAGE(OFFSET($H$3,0,0,'Données projet'!$E$14+1,1))</f>
        <v>150.06600397498823</v>
      </c>
      <c r="DU106" s="59">
        <f t="shared" si="98"/>
        <v>170.53034305929714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4.6422658264752235</v>
      </c>
      <c r="EB106" s="21">
        <f>EXP(-LN(2)/25)*EB105+(1-EXP(-LN(2)/25))/(LN(2)/25)*Calculateur!DW106*Calculateur!DY106*VLOOKUP('Données projet'!$B$14,Paramètres!$A$1:$I$89,3,0)*0.475*44/12</f>
        <v>7.9477356771017647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12.590001503576989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294.94285920643927</v>
      </c>
      <c r="T107" s="59">
        <f t="shared" si="88"/>
        <v>399.89535338426606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57.711950861317682</v>
      </c>
      <c r="AA107" s="21">
        <f>EXP(-LN(2)/25)*AA106+(1-EXP(-LN(2)/25))/(LN(2)/25)*Calculateur!V107*Calculateur!X107*VLOOKUP('Données projet'!$B$9,Paramètres!$A$1:$I$89,3,0)*0.475*44/12</f>
        <v>40.700181295199506</v>
      </c>
      <c r="AB107" s="21">
        <f>EXP(-LN(2)/2)*AB106+(1-EXP(-LN(2)/2))/(LN(2)/2)*V107*Y107*VLOOKUP('Données projet'!$B$9,Paramètres!$A$1:$I$89,3,0)*0.475*44/12</f>
        <v>6.3123797596976531E-11</v>
      </c>
      <c r="AC107" s="22">
        <f t="shared" si="57"/>
        <v>98.412132156580313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-1.0197709343628959E-13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200.14675249215634</v>
      </c>
      <c r="AO107" s="59">
        <f t="shared" si="90"/>
        <v>200.55017434999968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54.272023610249114</v>
      </c>
      <c r="AV107" s="21">
        <f>EXP(-LN(2)/25)*AV106+(1-EXP(-LN(2)/25))/(LN(2)/25)*Calculateur!AQ107*Calculateur!AS107*VLOOKUP('Données projet'!$B$10,Paramètres!$A$1:$I$89,3,0)*0.475*44/12</f>
        <v>10.66973223431599</v>
      </c>
      <c r="AW107" s="21">
        <f>EXP(-LN(2)/2)*AW106+(1-EXP(-LN(2)/2))/(LN(2)/2)*AQ107*AT107*VLOOKUP('Données projet'!$B$10,Paramètres!$A$1:$I$89,3,0)*0.475*44/12</f>
        <v>7.6205369210191443E-6</v>
      </c>
      <c r="AX107" s="21">
        <f t="shared" si="60"/>
        <v>64.941763465102028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-1.4210854715202004E-13</v>
      </c>
      <c r="BE107" s="13">
        <f>BD107*VLOOKUP('Données projet'!$B$11,Paramètres!$A$1:$I$89,3,0)*VLOOKUP('Données projet'!$B$11,Paramètres!$A$1:$I$89,5,0)</f>
        <v>-8.128608897095547E-14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182.46132340647313</v>
      </c>
      <c r="BJ107" s="59">
        <f t="shared" si="92"/>
        <v>130.51706975490481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104.23054909680296</v>
      </c>
      <c r="BQ107" s="21">
        <f>EXP(-LN(2)/25)*BQ106+(1-EXP(-LN(2)/25))/(LN(2)/25)*Calculateur!BL107*Calculateur!BN107*VLOOKUP('Données projet'!$B$11,Paramètres!$A$1:$I$89,3,0)*0.475*44/12</f>
        <v>24.956864483493714</v>
      </c>
      <c r="BR107" s="21">
        <f>EXP(-LN(2)/2)*BR106+(1-EXP(-LN(2)/2))/(LN(2)/2)*BL107*BO107*VLOOKUP('Données projet'!$B$11,Paramètres!$A$1:$I$89,3,0)*0.475*44/12</f>
        <v>12.290218843125476</v>
      </c>
      <c r="BS107" s="22">
        <f t="shared" si="63"/>
        <v>141.47763242342214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735.00000000000011</v>
      </c>
      <c r="BZ107" s="13">
        <f>BY107*VLOOKUP('Données projet'!$B$12,Paramètres!$A$1:$I$89,3,0)*VLOOKUP('Données projet'!$B$12,Paramètres!$A$1:$I$89,5,0)</f>
        <v>296.20500000000004</v>
      </c>
      <c r="CA107" s="13">
        <f t="shared" si="93"/>
        <v>70.380297204000939</v>
      </c>
      <c r="CB107" s="20">
        <f t="shared" si="64"/>
        <v>638.46939263030174</v>
      </c>
      <c r="CC107" s="59">
        <f t="shared" si="65"/>
        <v>931.80272596363511</v>
      </c>
      <c r="CD107" s="59">
        <f ca="1">AVERAGE(OFFSET($CC$3,0,0,'Données projet'!$E$12+1,1))-AVERAGE(OFFSET($H$3,0,0,'Données projet'!$E$12+1,1))</f>
        <v>291.0962681460345</v>
      </c>
      <c r="CE107" s="59">
        <f t="shared" si="94"/>
        <v>240.28311826371385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32.167950302838413</v>
      </c>
      <c r="CL107" s="21">
        <f>EXP(-LN(2)/25)*CL106+(1-EXP(-LN(2)/25))/(LN(2)/25)*Calculateur!CG107*Calculateur!CI107*VLOOKUP('Données projet'!$B$12,Paramètres!$A$1:$I$89,3,0)*0.475*44/12</f>
        <v>11.235088970015012</v>
      </c>
      <c r="CM107" s="21">
        <f>EXP(-LN(2)/2)*CM106+(1-EXP(-LN(2)/2))/(LN(2)/2)*CG107*CJ107*VLOOKUP('Données projet'!$B$12,Paramètres!$A$1:$I$89,3,0)*0.475*44/12</f>
        <v>1.4822369801384736E-4</v>
      </c>
      <c r="CN107" s="22">
        <f t="shared" si="66"/>
        <v>43.403187496551439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-5.3205440053716299E-14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225.92546546283018</v>
      </c>
      <c r="CZ107" s="59">
        <f t="shared" si="96"/>
        <v>309.38786160614563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37.680562643523729</v>
      </c>
      <c r="DG107" s="21">
        <f>EXP(-LN(2)/25)*DG106+(1-EXP(-LN(2)/25))/(LN(2)/25)*Calculateur!DB107*Calculateur!DD107*VLOOKUP('Données projet'!$B$13,Paramètres!$A$1:$I$89,3,0)*0.475*44/12</f>
        <v>25.840645569622041</v>
      </c>
      <c r="DH107" s="21">
        <f>EXP(-LN(2)/2)*DH106+(1-EXP(-LN(2)/2))/(LN(2)/2)*DB107*DE107*VLOOKUP('Données projet'!$B$13,Paramètres!$A$1:$I$89,3,0)*0.475*44/12</f>
        <v>1.752533552116747E-11</v>
      </c>
      <c r="DI107" s="22">
        <f t="shared" si="69"/>
        <v>63.521208213163291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168</v>
      </c>
      <c r="DP107" s="17">
        <f>DO107*VLOOKUP('Données projet'!$B$14,Paramètres!$A$1:$I$89,3,0)*VLOOKUP('Données projet'!$B$14,Paramètres!$A$1:$I$89,5,0)</f>
        <v>146.76480000000004</v>
      </c>
      <c r="DQ107" s="13">
        <f t="shared" si="97"/>
        <v>37.842444439956665</v>
      </c>
      <c r="DR107" s="20">
        <f t="shared" si="70"/>
        <v>321.52428406625791</v>
      </c>
      <c r="DS107" s="59">
        <f t="shared" si="71"/>
        <v>614.85761739959116</v>
      </c>
      <c r="DT107" s="59">
        <f ca="1">AVERAGE(OFFSET($DS$3,0,0,'Données projet'!$E$14+1,1))-AVERAGE(OFFSET($H$3,0,0,'Données projet'!$E$14+1,1))</f>
        <v>150.06600397498823</v>
      </c>
      <c r="DU107" s="59">
        <f t="shared" si="98"/>
        <v>170.53034305929714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4.5512338251206108</v>
      </c>
      <c r="EB107" s="21">
        <f>EXP(-LN(2)/25)*EB106+(1-EXP(-LN(2)/25))/(LN(2)/25)*Calculateur!DW107*Calculateur!DY107*VLOOKUP('Données projet'!$B$14,Paramètres!$A$1:$I$89,3,0)*0.475*44/12</f>
        <v>7.7304044270581622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12.281638252178773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294.94285920643927</v>
      </c>
      <c r="T108" s="59">
        <f t="shared" si="88"/>
        <v>399.89535338426606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56.580254705741474</v>
      </c>
      <c r="AA108" s="21">
        <f>EXP(-LN(2)/25)*AA107+(1-EXP(-LN(2)/25))/(LN(2)/25)*Calculateur!V108*Calculateur!X108*VLOOKUP('Données projet'!$B$9,Paramètres!$A$1:$I$89,3,0)*0.475*44/12</f>
        <v>39.587232697352761</v>
      </c>
      <c r="AB108" s="21">
        <f>EXP(-LN(2)/2)*AB107+(1-EXP(-LN(2)/2))/(LN(2)/2)*V108*Y108*VLOOKUP('Données projet'!$B$9,Paramètres!$A$1:$I$89,3,0)*0.475*44/12</f>
        <v>4.4635265335069199E-11</v>
      </c>
      <c r="AC108" s="22">
        <f t="shared" si="57"/>
        <v>96.167487403138878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-1.0197709343628959E-13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200.14675249215634</v>
      </c>
      <c r="AO108" s="59">
        <f t="shared" si="90"/>
        <v>200.55017434999968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53.207782329917912</v>
      </c>
      <c r="AV108" s="21">
        <f>EXP(-LN(2)/25)*AV107+(1-EXP(-LN(2)/25))/(LN(2)/25)*Calculateur!AQ108*Calculateur!AS108*VLOOKUP('Données projet'!$B$10,Paramètres!$A$1:$I$89,3,0)*0.475*44/12</f>
        <v>10.377967845271787</v>
      </c>
      <c r="AW108" s="21">
        <f>EXP(-LN(2)/2)*AW107+(1-EXP(-LN(2)/2))/(LN(2)/2)*AQ108*AT108*VLOOKUP('Données projet'!$B$10,Paramètres!$A$1:$I$89,3,0)*0.475*44/12</f>
        <v>5.3885333331350914E-6</v>
      </c>
      <c r="AX108" s="21">
        <f t="shared" si="60"/>
        <v>63.585755563723033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-1.4210854715202004E-13</v>
      </c>
      <c r="BE108" s="13">
        <f>BD108*VLOOKUP('Données projet'!$B$11,Paramètres!$A$1:$I$89,3,0)*VLOOKUP('Données projet'!$B$11,Paramètres!$A$1:$I$89,5,0)</f>
        <v>-8.128608897095547E-14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182.46132340647313</v>
      </c>
      <c r="BJ108" s="59">
        <f t="shared" si="92"/>
        <v>130.51706975490481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102.18665160337216</v>
      </c>
      <c r="BQ108" s="21">
        <f>EXP(-LN(2)/25)*BQ107+(1-EXP(-LN(2)/25))/(LN(2)/25)*Calculateur!BL108*Calculateur!BN108*VLOOKUP('Données projet'!$B$11,Paramètres!$A$1:$I$89,3,0)*0.475*44/12</f>
        <v>24.274417711768116</v>
      </c>
      <c r="BR108" s="21">
        <f>EXP(-LN(2)/2)*BR107+(1-EXP(-LN(2)/2))/(LN(2)/2)*BL108*BO108*VLOOKUP('Données projet'!$B$11,Paramètres!$A$1:$I$89,3,0)*0.475*44/12</f>
        <v>8.6904970862407094</v>
      </c>
      <c r="BS108" s="22">
        <f t="shared" si="63"/>
        <v>135.15156640138096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735.00000000000011</v>
      </c>
      <c r="BZ108" s="13">
        <f>BY108*VLOOKUP('Données projet'!$B$12,Paramètres!$A$1:$I$89,3,0)*VLOOKUP('Données projet'!$B$12,Paramètres!$A$1:$I$89,5,0)</f>
        <v>296.20500000000004</v>
      </c>
      <c r="CA108" s="13">
        <f t="shared" si="93"/>
        <v>70.380297204000939</v>
      </c>
      <c r="CB108" s="20">
        <f t="shared" si="64"/>
        <v>638.46939263030174</v>
      </c>
      <c r="CC108" s="59">
        <f t="shared" si="65"/>
        <v>931.80272596363511</v>
      </c>
      <c r="CD108" s="59">
        <f ca="1">AVERAGE(OFFSET($CC$3,0,0,'Données projet'!$E$12+1,1))-AVERAGE(OFFSET($H$3,0,0,'Données projet'!$E$12+1,1))</f>
        <v>291.0962681460345</v>
      </c>
      <c r="CE108" s="59">
        <f t="shared" si="94"/>
        <v>240.28311826371385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31.537156417912072</v>
      </c>
      <c r="CL108" s="21">
        <f>EXP(-LN(2)/25)*CL107+(1-EXP(-LN(2)/25))/(LN(2)/25)*Calculateur!CG108*Calculateur!CI108*VLOOKUP('Données projet'!$B$12,Paramètres!$A$1:$I$89,3,0)*0.475*44/12</f>
        <v>10.927864871302301</v>
      </c>
      <c r="CM108" s="21">
        <f>EXP(-LN(2)/2)*CM107+(1-EXP(-LN(2)/2))/(LN(2)/2)*CG108*CJ108*VLOOKUP('Données projet'!$B$12,Paramètres!$A$1:$I$89,3,0)*0.475*44/12</f>
        <v>1.0480998199813846E-4</v>
      </c>
      <c r="CN108" s="22">
        <f t="shared" si="66"/>
        <v>42.465126099196375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-5.3205440053716299E-14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225.92546546283018</v>
      </c>
      <c r="CZ108" s="59">
        <f t="shared" si="96"/>
        <v>309.38786160614563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36.941669792958074</v>
      </c>
      <c r="DG108" s="21">
        <f>EXP(-LN(2)/25)*DG107+(1-EXP(-LN(2)/25))/(LN(2)/25)*Calculateur!DB108*Calculateur!DD108*VLOOKUP('Données projet'!$B$13,Paramètres!$A$1:$I$89,3,0)*0.475*44/12</f>
        <v>25.134031757620235</v>
      </c>
      <c r="DH108" s="21">
        <f>EXP(-LN(2)/2)*DH107+(1-EXP(-LN(2)/2))/(LN(2)/2)*DB108*DE108*VLOOKUP('Données projet'!$B$13,Paramètres!$A$1:$I$89,3,0)*0.475*44/12</f>
        <v>1.2392283589586995E-11</v>
      </c>
      <c r="DI108" s="22">
        <f t="shared" si="69"/>
        <v>62.075701550590701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168</v>
      </c>
      <c r="DP108" s="17">
        <f>DO108*VLOOKUP('Données projet'!$B$14,Paramètres!$A$1:$I$89,3,0)*VLOOKUP('Données projet'!$B$14,Paramètres!$A$1:$I$89,5,0)</f>
        <v>146.76480000000004</v>
      </c>
      <c r="DQ108" s="13">
        <f t="shared" si="97"/>
        <v>37.842444439956665</v>
      </c>
      <c r="DR108" s="20">
        <f t="shared" si="70"/>
        <v>321.52428406625791</v>
      </c>
      <c r="DS108" s="59">
        <f t="shared" si="71"/>
        <v>614.85761739959116</v>
      </c>
      <c r="DT108" s="59">
        <f ca="1">AVERAGE(OFFSET($DS$3,0,0,'Données projet'!$E$14+1,1))-AVERAGE(OFFSET($H$3,0,0,'Données projet'!$E$14+1,1))</f>
        <v>150.06600397498823</v>
      </c>
      <c r="DU108" s="59">
        <f t="shared" si="98"/>
        <v>170.53034305929714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4.4619869057885237</v>
      </c>
      <c r="EB108" s="21">
        <f>EXP(-LN(2)/25)*EB107+(1-EXP(-LN(2)/25))/(LN(2)/25)*Calculateur!DW108*Calculateur!DY108*VLOOKUP('Données projet'!$B$14,Paramètres!$A$1:$I$89,3,0)*0.475*44/12</f>
        <v>7.5190161114759562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11.981003017264481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294.94285920643927</v>
      </c>
      <c r="T109" s="59">
        <f t="shared" si="88"/>
        <v>399.89535338426606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55.470750421509621</v>
      </c>
      <c r="AA109" s="21">
        <f>EXP(-LN(2)/25)*AA108+(1-EXP(-LN(2)/25))/(LN(2)/25)*Calculateur!V109*Calculateur!X109*VLOOKUP('Données projet'!$B$9,Paramètres!$A$1:$I$89,3,0)*0.475*44/12</f>
        <v>38.50471773744156</v>
      </c>
      <c r="AB109" s="21">
        <f>EXP(-LN(2)/2)*AB108+(1-EXP(-LN(2)/2))/(LN(2)/2)*V109*Y109*VLOOKUP('Données projet'!$B$9,Paramètres!$A$1:$I$89,3,0)*0.475*44/12</f>
        <v>3.1561898798488266E-11</v>
      </c>
      <c r="AC109" s="22">
        <f t="shared" si="57"/>
        <v>93.975468158982736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-1.0197709343628959E-13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200.14675249215634</v>
      </c>
      <c r="AO109" s="59">
        <f t="shared" si="90"/>
        <v>200.55017434999968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52.164410171970921</v>
      </c>
      <c r="AV109" s="21">
        <f>EXP(-LN(2)/25)*AV108+(1-EXP(-LN(2)/25))/(LN(2)/25)*Calculateur!AQ109*Calculateur!AS109*VLOOKUP('Données projet'!$B$10,Paramètres!$A$1:$I$89,3,0)*0.475*44/12</f>
        <v>10.09418176878922</v>
      </c>
      <c r="AW109" s="21">
        <f>EXP(-LN(2)/2)*AW108+(1-EXP(-LN(2)/2))/(LN(2)/2)*AQ109*AT109*VLOOKUP('Données projet'!$B$10,Paramètres!$A$1:$I$89,3,0)*0.475*44/12</f>
        <v>3.810268460509573E-6</v>
      </c>
      <c r="AX109" s="21">
        <f t="shared" si="60"/>
        <v>62.258595751028601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-1.4210854715202004E-13</v>
      </c>
      <c r="BE109" s="13">
        <f>BD109*VLOOKUP('Données projet'!$B$11,Paramètres!$A$1:$I$89,3,0)*VLOOKUP('Données projet'!$B$11,Paramètres!$A$1:$I$89,5,0)</f>
        <v>-8.128608897095547E-14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182.46132340647313</v>
      </c>
      <c r="BJ109" s="59">
        <f t="shared" si="92"/>
        <v>130.51706975490481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100.18283369313316</v>
      </c>
      <c r="BQ109" s="21">
        <f>EXP(-LN(2)/25)*BQ108+(1-EXP(-LN(2)/25))/(LN(2)/25)*Calculateur!BL109*Calculateur!BN109*VLOOKUP('Données projet'!$B$11,Paramètres!$A$1:$I$89,3,0)*0.475*44/12</f>
        <v>23.610632482903668</v>
      </c>
      <c r="BR109" s="21">
        <f>EXP(-LN(2)/2)*BR108+(1-EXP(-LN(2)/2))/(LN(2)/2)*BL109*BO109*VLOOKUP('Données projet'!$B$11,Paramètres!$A$1:$I$89,3,0)*0.475*44/12</f>
        <v>6.1451094215627382</v>
      </c>
      <c r="BS109" s="22">
        <f t="shared" si="63"/>
        <v>129.93857559759957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735.00000000000011</v>
      </c>
      <c r="BZ109" s="13">
        <f>BY109*VLOOKUP('Données projet'!$B$12,Paramètres!$A$1:$I$89,3,0)*VLOOKUP('Données projet'!$B$12,Paramètres!$A$1:$I$89,5,0)</f>
        <v>296.20500000000004</v>
      </c>
      <c r="CA109" s="13">
        <f t="shared" si="93"/>
        <v>70.380297204000939</v>
      </c>
      <c r="CB109" s="20">
        <f t="shared" si="64"/>
        <v>638.46939263030174</v>
      </c>
      <c r="CC109" s="59">
        <f t="shared" si="65"/>
        <v>931.80272596363511</v>
      </c>
      <c r="CD109" s="59">
        <f ca="1">AVERAGE(OFFSET($CC$3,0,0,'Données projet'!$E$12+1,1))-AVERAGE(OFFSET($H$3,0,0,'Données projet'!$E$12+1,1))</f>
        <v>291.0962681460345</v>
      </c>
      <c r="CE109" s="59">
        <f t="shared" si="94"/>
        <v>240.28311826371385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30.918732016322856</v>
      </c>
      <c r="CL109" s="21">
        <f>EXP(-LN(2)/25)*CL108+(1-EXP(-LN(2)/25))/(LN(2)/25)*Calculateur!CG109*Calculateur!CI109*VLOOKUP('Données projet'!$B$12,Paramètres!$A$1:$I$89,3,0)*0.475*44/12</f>
        <v>10.629041831725102</v>
      </c>
      <c r="CM109" s="21">
        <f>EXP(-LN(2)/2)*CM108+(1-EXP(-LN(2)/2))/(LN(2)/2)*CG109*CJ109*VLOOKUP('Données projet'!$B$12,Paramètres!$A$1:$I$89,3,0)*0.475*44/12</f>
        <v>7.4111849006923679E-5</v>
      </c>
      <c r="CN109" s="22">
        <f t="shared" si="66"/>
        <v>41.54784795989697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-5.3205440053716299E-14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225.92546546283018</v>
      </c>
      <c r="CZ109" s="59">
        <f t="shared" si="96"/>
        <v>309.38786160614563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36.217266180511871</v>
      </c>
      <c r="DG109" s="21">
        <f>EXP(-LN(2)/25)*DG108+(1-EXP(-LN(2)/25))/(LN(2)/25)*Calculateur!DB109*Calculateur!DD109*VLOOKUP('Données projet'!$B$13,Paramètres!$A$1:$I$89,3,0)*0.475*44/12</f>
        <v>24.446740337466824</v>
      </c>
      <c r="DH109" s="21">
        <f>EXP(-LN(2)/2)*DH108+(1-EXP(-LN(2)/2))/(LN(2)/2)*DB109*DE109*VLOOKUP('Données projet'!$B$13,Paramètres!$A$1:$I$89,3,0)*0.475*44/12</f>
        <v>8.7626677605837349E-12</v>
      </c>
      <c r="DI109" s="22">
        <f t="shared" si="69"/>
        <v>60.664006517987453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168</v>
      </c>
      <c r="DP109" s="17">
        <f>DO109*VLOOKUP('Données projet'!$B$14,Paramètres!$A$1:$I$89,3,0)*VLOOKUP('Données projet'!$B$14,Paramètres!$A$1:$I$89,5,0)</f>
        <v>146.76480000000004</v>
      </c>
      <c r="DQ109" s="13">
        <f t="shared" si="97"/>
        <v>37.842444439956665</v>
      </c>
      <c r="DR109" s="20">
        <f t="shared" si="70"/>
        <v>321.52428406625791</v>
      </c>
      <c r="DS109" s="59">
        <f t="shared" si="71"/>
        <v>614.85761739959116</v>
      </c>
      <c r="DT109" s="59">
        <f ca="1">AVERAGE(OFFSET($DS$3,0,0,'Données projet'!$E$14+1,1))-AVERAGE(OFFSET($H$3,0,0,'Données projet'!$E$14+1,1))</f>
        <v>150.06600397498823</v>
      </c>
      <c r="DU109" s="59">
        <f t="shared" si="98"/>
        <v>170.53034305929714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4.3744900641092936</v>
      </c>
      <c r="EB109" s="21">
        <f>EXP(-LN(2)/25)*EB108+(1-EXP(-LN(2)/25))/(LN(2)/25)*Calculateur!DW109*Calculateur!DY109*VLOOKUP('Données projet'!$B$14,Paramètres!$A$1:$I$89,3,0)*0.475*44/12</f>
        <v>7.3134082204997739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11.687898284609068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294.94285920643927</v>
      </c>
      <c r="T110" s="59">
        <f t="shared" si="88"/>
        <v>399.89535338426606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54.38300283956076</v>
      </c>
      <c r="AA110" s="21">
        <f>EXP(-LN(2)/25)*AA109+(1-EXP(-LN(2)/25))/(LN(2)/25)*Calculateur!V110*Calculateur!X110*VLOOKUP('Données projet'!$B$9,Paramètres!$A$1:$I$89,3,0)*0.475*44/12</f>
        <v>37.451804206036115</v>
      </c>
      <c r="AB110" s="21">
        <f>EXP(-LN(2)/2)*AB109+(1-EXP(-LN(2)/2))/(LN(2)/2)*V110*Y110*VLOOKUP('Données projet'!$B$9,Paramètres!$A$1:$I$89,3,0)*0.475*44/12</f>
        <v>2.2317632667534599E-11</v>
      </c>
      <c r="AC110" s="22">
        <f t="shared" si="57"/>
        <v>91.834807045619186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-1.0197709343628959E-13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200.14675249215634</v>
      </c>
      <c r="AO110" s="59">
        <f t="shared" si="90"/>
        <v>200.55017434999968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51.141497905647093</v>
      </c>
      <c r="AV110" s="21">
        <f>EXP(-LN(2)/25)*AV109+(1-EXP(-LN(2)/25))/(LN(2)/25)*Calculateur!AQ110*Calculateur!AS110*VLOOKUP('Données projet'!$B$10,Paramètres!$A$1:$I$89,3,0)*0.475*44/12</f>
        <v>9.8181558374917302</v>
      </c>
      <c r="AW110" s="21">
        <f>EXP(-LN(2)/2)*AW109+(1-EXP(-LN(2)/2))/(LN(2)/2)*AQ110*AT110*VLOOKUP('Données projet'!$B$10,Paramètres!$A$1:$I$89,3,0)*0.475*44/12</f>
        <v>2.6942666665675461E-6</v>
      </c>
      <c r="AX110" s="21">
        <f t="shared" si="60"/>
        <v>60.959656437405492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-1.4210854715202004E-13</v>
      </c>
      <c r="BE110" s="13">
        <f>BD110*VLOOKUP('Données projet'!$B$11,Paramètres!$A$1:$I$89,3,0)*VLOOKUP('Données projet'!$B$11,Paramètres!$A$1:$I$89,5,0)</f>
        <v>-8.128608897095547E-14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182.46132340647313</v>
      </c>
      <c r="BJ110" s="59">
        <f t="shared" si="92"/>
        <v>130.51706975490481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98.218309429905702</v>
      </c>
      <c r="BQ110" s="21">
        <f>EXP(-LN(2)/25)*BQ109+(1-EXP(-LN(2)/25))/(LN(2)/25)*Calculateur!BL110*Calculateur!BN110*VLOOKUP('Données projet'!$B$11,Paramètres!$A$1:$I$89,3,0)*0.475*44/12</f>
        <v>22.96499849602947</v>
      </c>
      <c r="BR110" s="21">
        <f>EXP(-LN(2)/2)*BR109+(1-EXP(-LN(2)/2))/(LN(2)/2)*BL110*BO110*VLOOKUP('Données projet'!$B$11,Paramètres!$A$1:$I$89,3,0)*0.475*44/12</f>
        <v>4.3452485431203547</v>
      </c>
      <c r="BS110" s="22">
        <f t="shared" si="63"/>
        <v>125.52855646905552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735.00000000000011</v>
      </c>
      <c r="BZ110" s="13">
        <f>BY110*VLOOKUP('Données projet'!$B$12,Paramètres!$A$1:$I$89,3,0)*VLOOKUP('Données projet'!$B$12,Paramètres!$A$1:$I$89,5,0)</f>
        <v>296.20500000000004</v>
      </c>
      <c r="CA110" s="13">
        <f t="shared" si="93"/>
        <v>70.380297204000939</v>
      </c>
      <c r="CB110" s="20">
        <f t="shared" si="64"/>
        <v>638.46939263030174</v>
      </c>
      <c r="CC110" s="59">
        <f t="shared" si="65"/>
        <v>931.80272596363511</v>
      </c>
      <c r="CD110" s="59">
        <f ca="1">AVERAGE(OFFSET($CC$3,0,0,'Données projet'!$E$12+1,1))-AVERAGE(OFFSET($H$3,0,0,'Données projet'!$E$12+1,1))</f>
        <v>291.0962681460345</v>
      </c>
      <c r="CE110" s="59">
        <f t="shared" si="94"/>
        <v>240.28311826371385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30.312434540047168</v>
      </c>
      <c r="CL110" s="21">
        <f>EXP(-LN(2)/25)*CL109+(1-EXP(-LN(2)/25))/(LN(2)/25)*Calculateur!CG110*Calculateur!CI110*VLOOKUP('Données projet'!$B$12,Paramètres!$A$1:$I$89,3,0)*0.475*44/12</f>
        <v>10.338390123879563</v>
      </c>
      <c r="CM110" s="21">
        <f>EXP(-LN(2)/2)*CM109+(1-EXP(-LN(2)/2))/(LN(2)/2)*CG110*CJ110*VLOOKUP('Données projet'!$B$12,Paramètres!$A$1:$I$89,3,0)*0.475*44/12</f>
        <v>5.2404990999069232E-5</v>
      </c>
      <c r="CN110" s="22">
        <f t="shared" si="66"/>
        <v>40.650877068917723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-5.3205440053716299E-14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225.92546546283018</v>
      </c>
      <c r="CZ110" s="59">
        <f t="shared" si="96"/>
        <v>309.38786160614563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35.507067681063162</v>
      </c>
      <c r="DG110" s="21">
        <f>EXP(-LN(2)/25)*DG109+(1-EXP(-LN(2)/25))/(LN(2)/25)*Calculateur!DB110*Calculateur!DD110*VLOOKUP('Données projet'!$B$13,Paramètres!$A$1:$I$89,3,0)*0.475*44/12</f>
        <v>23.778242937340593</v>
      </c>
      <c r="DH110" s="21">
        <f>EXP(-LN(2)/2)*DH109+(1-EXP(-LN(2)/2))/(LN(2)/2)*DB110*DE110*VLOOKUP('Données projet'!$B$13,Paramètres!$A$1:$I$89,3,0)*0.475*44/12</f>
        <v>6.1961417947934975E-12</v>
      </c>
      <c r="DI110" s="22">
        <f t="shared" si="69"/>
        <v>59.285310618409952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168</v>
      </c>
      <c r="DP110" s="17">
        <f>DO110*VLOOKUP('Données projet'!$B$14,Paramètres!$A$1:$I$89,3,0)*VLOOKUP('Données projet'!$B$14,Paramètres!$A$1:$I$89,5,0)</f>
        <v>146.76480000000004</v>
      </c>
      <c r="DQ110" s="13">
        <f t="shared" si="97"/>
        <v>37.842444439956665</v>
      </c>
      <c r="DR110" s="20">
        <f t="shared" si="70"/>
        <v>321.52428406625791</v>
      </c>
      <c r="DS110" s="59">
        <f t="shared" si="71"/>
        <v>614.85761739959116</v>
      </c>
      <c r="DT110" s="59">
        <f ca="1">AVERAGE(OFFSET($DS$3,0,0,'Données projet'!$E$14+1,1))-AVERAGE(OFFSET($H$3,0,0,'Données projet'!$E$14+1,1))</f>
        <v>150.06600397498823</v>
      </c>
      <c r="DU110" s="59">
        <f t="shared" si="98"/>
        <v>170.53034305929714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4.2887089821275888</v>
      </c>
      <c r="EB110" s="21">
        <f>EXP(-LN(2)/25)*EB109+(1-EXP(-LN(2)/25))/(LN(2)/25)*Calculateur!DW110*Calculateur!DY110*VLOOKUP('Données projet'!$B$14,Paramètres!$A$1:$I$89,3,0)*0.475*44/12</f>
        <v>7.1134226881147846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11.402131670242373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294.94285920643927</v>
      </c>
      <c r="T111" s="59">
        <f t="shared" si="88"/>
        <v>399.89535338426606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53.316585324233408</v>
      </c>
      <c r="AA111" s="21">
        <f>EXP(-LN(2)/25)*AA110+(1-EXP(-LN(2)/25))/(LN(2)/25)*Calculateur!V111*Calculateur!X111*VLOOKUP('Données projet'!$B$9,Paramètres!$A$1:$I$89,3,0)*0.475*44/12</f>
        <v>36.427682650517269</v>
      </c>
      <c r="AB111" s="21">
        <f>EXP(-LN(2)/2)*AB110+(1-EXP(-LN(2)/2))/(LN(2)/2)*V111*Y111*VLOOKUP('Données projet'!$B$9,Paramètres!$A$1:$I$89,3,0)*0.475*44/12</f>
        <v>1.5780949399244133E-11</v>
      </c>
      <c r="AC111" s="22">
        <f t="shared" si="57"/>
        <v>89.744267974766444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-1.0197709343628959E-13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200.14675249215634</v>
      </c>
      <c r="AO111" s="59">
        <f t="shared" si="90"/>
        <v>200.55017434999968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50.138644324951002</v>
      </c>
      <c r="AV111" s="21">
        <f>EXP(-LN(2)/25)*AV110+(1-EXP(-LN(2)/25))/(LN(2)/25)*Calculateur!AQ111*Calculateur!AS111*VLOOKUP('Données projet'!$B$10,Paramètres!$A$1:$I$89,3,0)*0.475*44/12</f>
        <v>9.5496778498011423</v>
      </c>
      <c r="AW111" s="21">
        <f>EXP(-LN(2)/2)*AW110+(1-EXP(-LN(2)/2))/(LN(2)/2)*AQ111*AT111*VLOOKUP('Données projet'!$B$10,Paramètres!$A$1:$I$89,3,0)*0.475*44/12</f>
        <v>1.9051342302547867E-6</v>
      </c>
      <c r="AX111" s="21">
        <f t="shared" si="60"/>
        <v>59.688324079886378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-1.4210854715202004E-13</v>
      </c>
      <c r="BE111" s="13">
        <f>BD111*VLOOKUP('Données projet'!$B$11,Paramètres!$A$1:$I$89,3,0)*VLOOKUP('Données projet'!$B$11,Paramètres!$A$1:$I$89,5,0)</f>
        <v>-8.128608897095547E-14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182.46132340647313</v>
      </c>
      <c r="BJ111" s="59">
        <f t="shared" si="92"/>
        <v>130.51706975490481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96.292308289238647</v>
      </c>
      <c r="BQ111" s="21">
        <f>EXP(-LN(2)/25)*BQ110+(1-EXP(-LN(2)/25))/(LN(2)/25)*Calculateur!BL111*Calculateur!BN111*VLOOKUP('Données projet'!$B$11,Paramètres!$A$1:$I$89,3,0)*0.475*44/12</f>
        <v>22.33701940447876</v>
      </c>
      <c r="BR111" s="21">
        <f>EXP(-LN(2)/2)*BR110+(1-EXP(-LN(2)/2))/(LN(2)/2)*BL111*BO111*VLOOKUP('Données projet'!$B$11,Paramètres!$A$1:$I$89,3,0)*0.475*44/12</f>
        <v>3.0725547107813691</v>
      </c>
      <c r="BS111" s="22">
        <f t="shared" si="63"/>
        <v>121.70188240449879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735.00000000000011</v>
      </c>
      <c r="BZ111" s="13">
        <f>BY111*VLOOKUP('Données projet'!$B$12,Paramètres!$A$1:$I$89,3,0)*VLOOKUP('Données projet'!$B$12,Paramètres!$A$1:$I$89,5,0)</f>
        <v>296.20500000000004</v>
      </c>
      <c r="CA111" s="13">
        <f t="shared" si="93"/>
        <v>70.380297204000939</v>
      </c>
      <c r="CB111" s="20">
        <f t="shared" si="64"/>
        <v>638.46939263030174</v>
      </c>
      <c r="CC111" s="59">
        <f t="shared" si="65"/>
        <v>931.80272596363511</v>
      </c>
      <c r="CD111" s="59">
        <f ca="1">AVERAGE(OFFSET($CC$3,0,0,'Données projet'!$E$12+1,1))-AVERAGE(OFFSET($H$3,0,0,'Données projet'!$E$12+1,1))</f>
        <v>291.0962681460345</v>
      </c>
      <c r="CE111" s="59">
        <f t="shared" si="94"/>
        <v>240.28311826371385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29.718026187476298</v>
      </c>
      <c r="CL111" s="21">
        <f>EXP(-LN(2)/25)*CL110+(1-EXP(-LN(2)/25))/(LN(2)/25)*Calculateur!CG111*Calculateur!CI111*VLOOKUP('Données projet'!$B$12,Paramètres!$A$1:$I$89,3,0)*0.475*44/12</f>
        <v>10.055686302269768</v>
      </c>
      <c r="CM111" s="21">
        <f>EXP(-LN(2)/2)*CM110+(1-EXP(-LN(2)/2))/(LN(2)/2)*CG111*CJ111*VLOOKUP('Données projet'!$B$12,Paramètres!$A$1:$I$89,3,0)*0.475*44/12</f>
        <v>3.705592450346184E-5</v>
      </c>
      <c r="CN111" s="22">
        <f t="shared" si="66"/>
        <v>39.773749545670569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-5.3205440053716299E-14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225.92546546283018</v>
      </c>
      <c r="CZ111" s="59">
        <f t="shared" si="96"/>
        <v>309.38786160614563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34.810795741010331</v>
      </c>
      <c r="DG111" s="21">
        <f>EXP(-LN(2)/25)*DG110+(1-EXP(-LN(2)/25))/(LN(2)/25)*Calculateur!DB111*Calculateur!DD111*VLOOKUP('Données projet'!$B$13,Paramètres!$A$1:$I$89,3,0)*0.475*44/12</f>
        <v>23.128025633775565</v>
      </c>
      <c r="DH111" s="21">
        <f>EXP(-LN(2)/2)*DH110+(1-EXP(-LN(2)/2))/(LN(2)/2)*DB111*DE111*VLOOKUP('Données projet'!$B$13,Paramètres!$A$1:$I$89,3,0)*0.475*44/12</f>
        <v>4.3813338802918675E-12</v>
      </c>
      <c r="DI111" s="22">
        <f t="shared" si="69"/>
        <v>57.93882137479028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168</v>
      </c>
      <c r="DP111" s="17">
        <f>DO111*VLOOKUP('Données projet'!$B$14,Paramètres!$A$1:$I$89,3,0)*VLOOKUP('Données projet'!$B$14,Paramètres!$A$1:$I$89,5,0)</f>
        <v>146.76480000000004</v>
      </c>
      <c r="DQ111" s="13">
        <f t="shared" si="97"/>
        <v>37.842444439956665</v>
      </c>
      <c r="DR111" s="20">
        <f t="shared" si="70"/>
        <v>321.52428406625791</v>
      </c>
      <c r="DS111" s="59">
        <f t="shared" si="71"/>
        <v>614.85761739959116</v>
      </c>
      <c r="DT111" s="59">
        <f ca="1">AVERAGE(OFFSET($DS$3,0,0,'Données projet'!$E$14+1,1))-AVERAGE(OFFSET($H$3,0,0,'Données projet'!$E$14+1,1))</f>
        <v>150.06600397498823</v>
      </c>
      <c r="DU111" s="59">
        <f t="shared" si="98"/>
        <v>170.53034305929714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4.2046100148422516</v>
      </c>
      <c r="EB111" s="21">
        <f>EXP(-LN(2)/25)*EB110+(1-EXP(-LN(2)/25))/(LN(2)/25)*Calculateur!DW111*Calculateur!DY111*VLOOKUP('Données projet'!$B$14,Paramètres!$A$1:$I$89,3,0)*0.475*44/12</f>
        <v>6.9189057706296442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11.123515785471895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294.94285920643927</v>
      </c>
      <c r="T112" s="59">
        <f t="shared" si="88"/>
        <v>399.89535338426606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52.271079605931163</v>
      </c>
      <c r="AA112" s="21">
        <f>EXP(-LN(2)/25)*AA111+(1-EXP(-LN(2)/25))/(LN(2)/25)*Calculateur!V112*Calculateur!X112*VLOOKUP('Données projet'!$B$9,Paramètres!$A$1:$I$89,3,0)*0.475*44/12</f>
        <v>35.431565752790299</v>
      </c>
      <c r="AB112" s="21">
        <f>EXP(-LN(2)/2)*AB111+(1-EXP(-LN(2)/2))/(LN(2)/2)*V112*Y112*VLOOKUP('Données projet'!$B$9,Paramètres!$A$1:$I$89,3,0)*0.475*44/12</f>
        <v>1.11588163337673E-11</v>
      </c>
      <c r="AC112" s="22">
        <f t="shared" si="57"/>
        <v>87.702645358732624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-1.0197709343628959E-13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200.14675249215634</v>
      </c>
      <c r="AO112" s="59">
        <f t="shared" si="90"/>
        <v>200.55017434999968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49.155456091292073</v>
      </c>
      <c r="AV112" s="21">
        <f>EXP(-LN(2)/25)*AV111+(1-EXP(-LN(2)/25))/(LN(2)/25)*Calculateur!AQ112*Calculateur!AS112*VLOOKUP('Données projet'!$B$10,Paramètres!$A$1:$I$89,3,0)*0.475*44/12</f>
        <v>9.2885414068025973</v>
      </c>
      <c r="AW112" s="21">
        <f>EXP(-LN(2)/2)*AW111+(1-EXP(-LN(2)/2))/(LN(2)/2)*AQ112*AT112*VLOOKUP('Données projet'!$B$10,Paramètres!$A$1:$I$89,3,0)*0.475*44/12</f>
        <v>1.3471333332837733E-6</v>
      </c>
      <c r="AX112" s="21">
        <f t="shared" si="60"/>
        <v>58.443998845228009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-1.4210854715202004E-13</v>
      </c>
      <c r="BE112" s="13">
        <f>BD112*VLOOKUP('Données projet'!$B$11,Paramètres!$A$1:$I$89,3,0)*VLOOKUP('Données projet'!$B$11,Paramètres!$A$1:$I$89,5,0)</f>
        <v>-8.128608897095547E-14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182.46132340647313</v>
      </c>
      <c r="BJ112" s="59">
        <f t="shared" si="92"/>
        <v>130.51706975490481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94.404074856195379</v>
      </c>
      <c r="BQ112" s="21">
        <f>EXP(-LN(2)/25)*BQ111+(1-EXP(-LN(2)/25))/(LN(2)/25)*Calculateur!BL112*Calculateur!BN112*VLOOKUP('Données projet'!$B$11,Paramètres!$A$1:$I$89,3,0)*0.475*44/12</f>
        <v>21.726212434210488</v>
      </c>
      <c r="BR112" s="21">
        <f>EXP(-LN(2)/2)*BR111+(1-EXP(-LN(2)/2))/(LN(2)/2)*BL112*BO112*VLOOKUP('Données projet'!$B$11,Paramètres!$A$1:$I$89,3,0)*0.475*44/12</f>
        <v>2.1726242715601773</v>
      </c>
      <c r="BS112" s="22">
        <f t="shared" si="63"/>
        <v>118.30291156196606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735.00000000000011</v>
      </c>
      <c r="BZ112" s="13">
        <f>BY112*VLOOKUP('Données projet'!$B$12,Paramètres!$A$1:$I$89,3,0)*VLOOKUP('Données projet'!$B$12,Paramètres!$A$1:$I$89,5,0)</f>
        <v>296.20500000000004</v>
      </c>
      <c r="CA112" s="13">
        <f t="shared" si="93"/>
        <v>70.380297204000939</v>
      </c>
      <c r="CB112" s="20">
        <f t="shared" si="64"/>
        <v>638.46939263030174</v>
      </c>
      <c r="CC112" s="59">
        <f t="shared" si="65"/>
        <v>931.80272596363511</v>
      </c>
      <c r="CD112" s="59">
        <f ca="1">AVERAGE(OFFSET($CC$3,0,0,'Données projet'!$E$12+1,1))-AVERAGE(OFFSET($H$3,0,0,'Données projet'!$E$12+1,1))</f>
        <v>291.0962681460345</v>
      </c>
      <c r="CE112" s="59">
        <f t="shared" si="94"/>
        <v>240.28311826371385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29.135273820146047</v>
      </c>
      <c r="CL112" s="21">
        <f>EXP(-LN(2)/25)*CL111+(1-EXP(-LN(2)/25))/(LN(2)/25)*Calculateur!CG112*Calculateur!CI112*VLOOKUP('Données projet'!$B$12,Paramètres!$A$1:$I$89,3,0)*0.475*44/12</f>
        <v>9.7807130315286415</v>
      </c>
      <c r="CM112" s="21">
        <f>EXP(-LN(2)/2)*CM111+(1-EXP(-LN(2)/2))/(LN(2)/2)*CG112*CJ112*VLOOKUP('Données projet'!$B$12,Paramètres!$A$1:$I$89,3,0)*0.475*44/12</f>
        <v>2.6202495499534616E-5</v>
      </c>
      <c r="CN112" s="22">
        <f t="shared" si="66"/>
        <v>38.916013054170186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-5.3205440053716299E-14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225.92546546283018</v>
      </c>
      <c r="CZ112" s="59">
        <f t="shared" si="96"/>
        <v>309.38786160614563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34.128177269017989</v>
      </c>
      <c r="DG112" s="21">
        <f>EXP(-LN(2)/25)*DG111+(1-EXP(-LN(2)/25))/(LN(2)/25)*Calculateur!DB112*Calculateur!DD112*VLOOKUP('Données projet'!$B$13,Paramètres!$A$1:$I$89,3,0)*0.475*44/12</f>
        <v>22.495588556569963</v>
      </c>
      <c r="DH112" s="21">
        <f>EXP(-LN(2)/2)*DH111+(1-EXP(-LN(2)/2))/(LN(2)/2)*DB112*DE112*VLOOKUP('Données projet'!$B$13,Paramètres!$A$1:$I$89,3,0)*0.475*44/12</f>
        <v>3.0980708973967488E-12</v>
      </c>
      <c r="DI112" s="22">
        <f t="shared" si="69"/>
        <v>56.62376582559105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168</v>
      </c>
      <c r="DP112" s="17">
        <f>DO112*VLOOKUP('Données projet'!$B$14,Paramètres!$A$1:$I$89,3,0)*VLOOKUP('Données projet'!$B$14,Paramètres!$A$1:$I$89,5,0)</f>
        <v>146.76480000000004</v>
      </c>
      <c r="DQ112" s="13">
        <f t="shared" si="97"/>
        <v>37.842444439956665</v>
      </c>
      <c r="DR112" s="20">
        <f t="shared" si="70"/>
        <v>321.52428406625791</v>
      </c>
      <c r="DS112" s="59">
        <f t="shared" si="71"/>
        <v>614.85761739959116</v>
      </c>
      <c r="DT112" s="59">
        <f ca="1">AVERAGE(OFFSET($DS$3,0,0,'Données projet'!$E$14+1,1))-AVERAGE(OFFSET($H$3,0,0,'Données projet'!$E$14+1,1))</f>
        <v>150.06600397498823</v>
      </c>
      <c r="DU112" s="59">
        <f t="shared" si="98"/>
        <v>170.53034305929714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4.1221601770100751</v>
      </c>
      <c r="EB112" s="21">
        <f>EXP(-LN(2)/25)*EB111+(1-EXP(-LN(2)/25))/(LN(2)/25)*Calculateur!DW112*Calculateur!DY112*VLOOKUP('Données projet'!$B$14,Paramètres!$A$1:$I$89,3,0)*0.475*44/12</f>
        <v>6.7297079284823358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10.851868105492411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294.94285920643927</v>
      </c>
      <c r="T113" s="59">
        <f t="shared" si="88"/>
        <v>399.89535338426606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51.246075617069309</v>
      </c>
      <c r="AA113" s="21">
        <f>EXP(-LN(2)/25)*AA112+(1-EXP(-LN(2)/25))/(LN(2)/25)*Calculateur!V113*Calculateur!X113*VLOOKUP('Données projet'!$B$9,Paramètres!$A$1:$I$89,3,0)*0.475*44/12</f>
        <v>34.462687724015183</v>
      </c>
      <c r="AB113" s="21">
        <f>EXP(-LN(2)/2)*AB112+(1-EXP(-LN(2)/2))/(LN(2)/2)*V113*Y113*VLOOKUP('Données projet'!$B$9,Paramètres!$A$1:$I$89,3,0)*0.475*44/12</f>
        <v>7.8904746996220664E-12</v>
      </c>
      <c r="AC113" s="22">
        <f t="shared" si="57"/>
        <v>85.708763341092379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-1.0197709343628959E-13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200.14675249215634</v>
      </c>
      <c r="AO113" s="59">
        <f t="shared" si="90"/>
        <v>200.55017434999968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48.19154757920959</v>
      </c>
      <c r="AV113" s="21">
        <f>EXP(-LN(2)/25)*AV112+(1-EXP(-LN(2)/25))/(LN(2)/25)*Calculateur!AQ113*Calculateur!AS113*VLOOKUP('Données projet'!$B$10,Paramètres!$A$1:$I$89,3,0)*0.475*44/12</f>
        <v>9.0345457535704163</v>
      </c>
      <c r="AW113" s="21">
        <f>EXP(-LN(2)/2)*AW112+(1-EXP(-LN(2)/2))/(LN(2)/2)*AQ113*AT113*VLOOKUP('Données projet'!$B$10,Paramètres!$A$1:$I$89,3,0)*0.475*44/12</f>
        <v>9.5256711512739357E-7</v>
      </c>
      <c r="AX113" s="21">
        <f t="shared" si="60"/>
        <v>57.226094285347124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-1.4210854715202004E-13</v>
      </c>
      <c r="BE113" s="13">
        <f>BD113*VLOOKUP('Données projet'!$B$11,Paramètres!$A$1:$I$89,3,0)*VLOOKUP('Données projet'!$B$11,Paramètres!$A$1:$I$89,5,0)</f>
        <v>-8.128608897095547E-14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182.46132340647313</v>
      </c>
      <c r="BJ113" s="59">
        <f t="shared" si="92"/>
        <v>130.51706975490481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92.552868529065421</v>
      </c>
      <c r="BQ113" s="21">
        <f>EXP(-LN(2)/25)*BQ112+(1-EXP(-LN(2)/25))/(LN(2)/25)*Calculateur!BL113*Calculateur!BN113*VLOOKUP('Données projet'!$B$11,Paramètres!$A$1:$I$89,3,0)*0.475*44/12</f>
        <v>21.132108012665146</v>
      </c>
      <c r="BR113" s="21">
        <f>EXP(-LN(2)/2)*BR112+(1-EXP(-LN(2)/2))/(LN(2)/2)*BL113*BO113*VLOOKUP('Données projet'!$B$11,Paramètres!$A$1:$I$89,3,0)*0.475*44/12</f>
        <v>1.5362773553906846</v>
      </c>
      <c r="BS113" s="22">
        <f t="shared" si="63"/>
        <v>115.22125389712124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735.00000000000011</v>
      </c>
      <c r="BZ113" s="13">
        <f>BY113*VLOOKUP('Données projet'!$B$12,Paramètres!$A$1:$I$89,3,0)*VLOOKUP('Données projet'!$B$12,Paramètres!$A$1:$I$89,5,0)</f>
        <v>296.20500000000004</v>
      </c>
      <c r="CA113" s="13">
        <f t="shared" si="93"/>
        <v>70.380297204000939</v>
      </c>
      <c r="CB113" s="20">
        <f t="shared" si="64"/>
        <v>638.46939263030174</v>
      </c>
      <c r="CC113" s="59">
        <f t="shared" si="65"/>
        <v>931.80272596363511</v>
      </c>
      <c r="CD113" s="59">
        <f ca="1">AVERAGE(OFFSET($CC$3,0,0,'Données projet'!$E$12+1,1))-AVERAGE(OFFSET($H$3,0,0,'Données projet'!$E$12+1,1))</f>
        <v>291.0962681460345</v>
      </c>
      <c r="CE113" s="59">
        <f t="shared" si="94"/>
        <v>240.28311826371385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28.563948871295295</v>
      </c>
      <c r="CL113" s="21">
        <f>EXP(-LN(2)/25)*CL112+(1-EXP(-LN(2)/25))/(LN(2)/25)*Calculateur!CG113*Calculateur!CI113*VLOOKUP('Données projet'!$B$12,Paramètres!$A$1:$I$89,3,0)*0.475*44/12</f>
        <v>9.5132589193361472</v>
      </c>
      <c r="CM113" s="21">
        <f>EXP(-LN(2)/2)*CM112+(1-EXP(-LN(2)/2))/(LN(2)/2)*CG113*CJ113*VLOOKUP('Données projet'!$B$12,Paramètres!$A$1:$I$89,3,0)*0.475*44/12</f>
        <v>1.852796225173092E-5</v>
      </c>
      <c r="CN113" s="22">
        <f t="shared" si="66"/>
        <v>38.077226318593695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-5.3205440053716299E-14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225.92546546283018</v>
      </c>
      <c r="CZ113" s="59">
        <f t="shared" si="96"/>
        <v>309.38786160614563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33.458944528905256</v>
      </c>
      <c r="DG113" s="21">
        <f>EXP(-LN(2)/25)*DG112+(1-EXP(-LN(2)/25))/(LN(2)/25)*Calculateur!DB113*Calculateur!DD113*VLOOKUP('Données projet'!$B$13,Paramètres!$A$1:$I$89,3,0)*0.475*44/12</f>
        <v>21.880445504498969</v>
      </c>
      <c r="DH113" s="21">
        <f>EXP(-LN(2)/2)*DH112+(1-EXP(-LN(2)/2))/(LN(2)/2)*DB113*DE113*VLOOKUP('Données projet'!$B$13,Paramètres!$A$1:$I$89,3,0)*0.475*44/12</f>
        <v>2.1906669401459337E-12</v>
      </c>
      <c r="DI113" s="22">
        <f t="shared" si="69"/>
        <v>55.339390033406417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168</v>
      </c>
      <c r="DP113" s="17">
        <f>DO113*VLOOKUP('Données projet'!$B$14,Paramètres!$A$1:$I$89,3,0)*VLOOKUP('Données projet'!$B$14,Paramètres!$A$1:$I$89,5,0)</f>
        <v>146.76480000000004</v>
      </c>
      <c r="DQ113" s="13">
        <f t="shared" si="97"/>
        <v>37.842444439956665</v>
      </c>
      <c r="DR113" s="20">
        <f t="shared" si="70"/>
        <v>321.52428406625791</v>
      </c>
      <c r="DS113" s="59">
        <f t="shared" si="71"/>
        <v>614.85761739959116</v>
      </c>
      <c r="DT113" s="59">
        <f ca="1">AVERAGE(OFFSET($DS$3,0,0,'Données projet'!$E$14+1,1))-AVERAGE(OFFSET($H$3,0,0,'Données projet'!$E$14+1,1))</f>
        <v>150.06600397498823</v>
      </c>
      <c r="DU113" s="59">
        <f t="shared" si="98"/>
        <v>170.53034305929714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4.0413271302083524</v>
      </c>
      <c r="EB113" s="21">
        <f>EXP(-LN(2)/25)*EB112+(1-EXP(-LN(2)/25))/(LN(2)/25)*Calculateur!DW113*Calculateur!DY113*VLOOKUP('Données projet'!$B$14,Paramètres!$A$1:$I$89,3,0)*0.475*44/12</f>
        <v>6.5456837112780271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10.587010841486379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294.94285920643927</v>
      </c>
      <c r="T114" s="59">
        <f t="shared" si="88"/>
        <v>399.89535338426606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50.241171331238334</v>
      </c>
      <c r="AA114" s="21">
        <f>EXP(-LN(2)/25)*AA113+(1-EXP(-LN(2)/25))/(LN(2)/25)*Calculateur!V114*Calculateur!X114*VLOOKUP('Données projet'!$B$9,Paramètres!$A$1:$I$89,3,0)*0.475*44/12</f>
        <v>33.520303715888005</v>
      </c>
      <c r="AB114" s="21">
        <f>EXP(-LN(2)/2)*AB113+(1-EXP(-LN(2)/2))/(LN(2)/2)*V114*Y114*VLOOKUP('Données projet'!$B$9,Paramètres!$A$1:$I$89,3,0)*0.475*44/12</f>
        <v>5.5794081668836498E-12</v>
      </c>
      <c r="AC114" s="22">
        <f t="shared" si="57"/>
        <v>83.761475047131924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-1.0197709343628959E-13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200.14675249215634</v>
      </c>
      <c r="AO114" s="59">
        <f t="shared" si="90"/>
        <v>200.55017434999968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47.246540725122905</v>
      </c>
      <c r="AV114" s="21">
        <f>EXP(-LN(2)/25)*AV113+(1-EXP(-LN(2)/25))/(LN(2)/25)*Calculateur!AQ114*Calculateur!AS114*VLOOKUP('Données projet'!$B$10,Paramètres!$A$1:$I$89,3,0)*0.475*44/12</f>
        <v>8.7874956248329212</v>
      </c>
      <c r="AW114" s="21">
        <f>EXP(-LN(2)/2)*AW113+(1-EXP(-LN(2)/2))/(LN(2)/2)*AQ114*AT114*VLOOKUP('Données projet'!$B$10,Paramètres!$A$1:$I$89,3,0)*0.475*44/12</f>
        <v>6.7356666664188675E-7</v>
      </c>
      <c r="AX114" s="21">
        <f t="shared" si="60"/>
        <v>56.034037023522494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-1.4210854715202004E-13</v>
      </c>
      <c r="BE114" s="13">
        <f>BD114*VLOOKUP('Données projet'!$B$11,Paramètres!$A$1:$I$89,3,0)*VLOOKUP('Données projet'!$B$11,Paramètres!$A$1:$I$89,5,0)</f>
        <v>-8.128608897095547E-14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182.46132340647313</v>
      </c>
      <c r="BJ114" s="59">
        <f t="shared" si="92"/>
        <v>130.51706975490481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90.737963228886116</v>
      </c>
      <c r="BQ114" s="21">
        <f>EXP(-LN(2)/25)*BQ113+(1-EXP(-LN(2)/25))/(LN(2)/25)*Calculateur!BL114*Calculateur!BN114*VLOOKUP('Données projet'!$B$11,Paramètres!$A$1:$I$89,3,0)*0.475*44/12</f>
        <v>20.554249407769554</v>
      </c>
      <c r="BR114" s="21">
        <f>EXP(-LN(2)/2)*BR113+(1-EXP(-LN(2)/2))/(LN(2)/2)*BL114*BO114*VLOOKUP('Données projet'!$B$11,Paramètres!$A$1:$I$89,3,0)*0.475*44/12</f>
        <v>1.0863121357800887</v>
      </c>
      <c r="BS114" s="22">
        <f t="shared" si="63"/>
        <v>112.37852477243577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735.00000000000011</v>
      </c>
      <c r="BZ114" s="13">
        <f>BY114*VLOOKUP('Données projet'!$B$12,Paramètres!$A$1:$I$89,3,0)*VLOOKUP('Données projet'!$B$12,Paramètres!$A$1:$I$89,5,0)</f>
        <v>296.20500000000004</v>
      </c>
      <c r="CA114" s="13">
        <f t="shared" si="93"/>
        <v>70.380297204000939</v>
      </c>
      <c r="CB114" s="20">
        <f t="shared" si="64"/>
        <v>638.46939263030174</v>
      </c>
      <c r="CC114" s="59">
        <f t="shared" si="65"/>
        <v>931.80272596363511</v>
      </c>
      <c r="CD114" s="59">
        <f ca="1">AVERAGE(OFFSET($CC$3,0,0,'Données projet'!$E$12+1,1))-AVERAGE(OFFSET($H$3,0,0,'Données projet'!$E$12+1,1))</f>
        <v>291.0962681460345</v>
      </c>
      <c r="CE114" s="59">
        <f t="shared" si="94"/>
        <v>240.28311826371385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28.003827256217697</v>
      </c>
      <c r="CL114" s="21">
        <f>EXP(-LN(2)/25)*CL113+(1-EXP(-LN(2)/25))/(LN(2)/25)*Calculateur!CG114*Calculateur!CI114*VLOOKUP('Données projet'!$B$12,Paramètres!$A$1:$I$89,3,0)*0.475*44/12</f>
        <v>9.2531183539063573</v>
      </c>
      <c r="CM114" s="21">
        <f>EXP(-LN(2)/2)*CM113+(1-EXP(-LN(2)/2))/(LN(2)/2)*CG114*CJ114*VLOOKUP('Données projet'!$B$12,Paramètres!$A$1:$I$89,3,0)*0.475*44/12</f>
        <v>1.3101247749767308E-5</v>
      </c>
      <c r="CN114" s="22">
        <f t="shared" si="66"/>
        <v>37.256958711371809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-5.3205440053716299E-14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225.92546546283018</v>
      </c>
      <c r="CZ114" s="59">
        <f t="shared" si="96"/>
        <v>309.38786160614563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32.802835034634469</v>
      </c>
      <c r="DG114" s="21">
        <f>EXP(-LN(2)/25)*DG113+(1-EXP(-LN(2)/25))/(LN(2)/25)*Calculateur!DB114*Calculateur!DD114*VLOOKUP('Données projet'!$B$13,Paramètres!$A$1:$I$89,3,0)*0.475*44/12</f>
        <v>21.282123571535823</v>
      </c>
      <c r="DH114" s="21">
        <f>EXP(-LN(2)/2)*DH113+(1-EXP(-LN(2)/2))/(LN(2)/2)*DB114*DE114*VLOOKUP('Données projet'!$B$13,Paramètres!$A$1:$I$89,3,0)*0.475*44/12</f>
        <v>1.5490354486983744E-12</v>
      </c>
      <c r="DI114" s="22">
        <f t="shared" si="69"/>
        <v>54.084958606171838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168</v>
      </c>
      <c r="DP114" s="17">
        <f>DO114*VLOOKUP('Données projet'!$B$14,Paramètres!$A$1:$I$89,3,0)*VLOOKUP('Données projet'!$B$14,Paramètres!$A$1:$I$89,5,0)</f>
        <v>146.76480000000004</v>
      </c>
      <c r="DQ114" s="13">
        <f t="shared" si="97"/>
        <v>37.842444439956665</v>
      </c>
      <c r="DR114" s="20">
        <f t="shared" si="70"/>
        <v>321.52428406625791</v>
      </c>
      <c r="DS114" s="59">
        <f t="shared" si="71"/>
        <v>614.85761739959116</v>
      </c>
      <c r="DT114" s="59">
        <f ca="1">AVERAGE(OFFSET($DS$3,0,0,'Données projet'!$E$14+1,1))-AVERAGE(OFFSET($H$3,0,0,'Données projet'!$E$14+1,1))</f>
        <v>150.06600397498823</v>
      </c>
      <c r="DU114" s="59">
        <f t="shared" si="98"/>
        <v>170.53034305929714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3.9620791701511209</v>
      </c>
      <c r="EB114" s="21">
        <f>EXP(-LN(2)/25)*EB113+(1-EXP(-LN(2)/25))/(LN(2)/25)*Calculateur!DW114*Calculateur!DY114*VLOOKUP('Données projet'!$B$14,Paramètres!$A$1:$I$89,3,0)*0.475*44/12</f>
        <v>6.3666916459705831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10.328770816121704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294.94285920643927</v>
      </c>
      <c r="T115" s="59">
        <f t="shared" si="88"/>
        <v>399.89535338426606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49.255972605521407</v>
      </c>
      <c r="AA115" s="21">
        <f>EXP(-LN(2)/25)*AA114+(1-EXP(-LN(2)/25))/(LN(2)/25)*Calculateur!V115*Calculateur!X115*VLOOKUP('Données projet'!$B$9,Paramètres!$A$1:$I$89,3,0)*0.475*44/12</f>
        <v>32.603689248020885</v>
      </c>
      <c r="AB115" s="21">
        <f>EXP(-LN(2)/2)*AB114+(1-EXP(-LN(2)/2))/(LN(2)/2)*V115*Y115*VLOOKUP('Données projet'!$B$9,Paramètres!$A$1:$I$89,3,0)*0.475*44/12</f>
        <v>3.9452373498110332E-12</v>
      </c>
      <c r="AC115" s="22">
        <f t="shared" si="57"/>
        <v>81.859661853546243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-1.0197709343628959E-13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200.14675249215634</v>
      </c>
      <c r="AO115" s="59">
        <f t="shared" si="90"/>
        <v>200.55017434999968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46.320064879047592</v>
      </c>
      <c r="AV115" s="21">
        <f>EXP(-LN(2)/25)*AV114+(1-EXP(-LN(2)/25))/(LN(2)/25)*Calculateur!AQ115*Calculateur!AS115*VLOOKUP('Données projet'!$B$10,Paramètres!$A$1:$I$89,3,0)*0.475*44/12</f>
        <v>8.5472010948575541</v>
      </c>
      <c r="AW115" s="21">
        <f>EXP(-LN(2)/2)*AW114+(1-EXP(-LN(2)/2))/(LN(2)/2)*AQ115*AT115*VLOOKUP('Données projet'!$B$10,Paramètres!$A$1:$I$89,3,0)*0.475*44/12</f>
        <v>4.7628355756369684E-7</v>
      </c>
      <c r="AX115" s="21">
        <f t="shared" si="60"/>
        <v>54.867266450188708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-1.4210854715202004E-13</v>
      </c>
      <c r="BE115" s="13">
        <f>BD115*VLOOKUP('Données projet'!$B$11,Paramètres!$A$1:$I$89,3,0)*VLOOKUP('Données projet'!$B$11,Paramètres!$A$1:$I$89,5,0)</f>
        <v>-8.128608897095547E-14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182.46132340647313</v>
      </c>
      <c r="BJ115" s="59">
        <f t="shared" si="92"/>
        <v>130.51706975490481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88.958647114660394</v>
      </c>
      <c r="BQ115" s="21">
        <f>EXP(-LN(2)/25)*BQ114+(1-EXP(-LN(2)/25))/(LN(2)/25)*Calculateur!BL115*Calculateur!BN115*VLOOKUP('Données projet'!$B$11,Paramètres!$A$1:$I$89,3,0)*0.475*44/12</f>
        <v>19.992192376813097</v>
      </c>
      <c r="BR115" s="21">
        <f>EXP(-LN(2)/2)*BR114+(1-EXP(-LN(2)/2))/(LN(2)/2)*BL115*BO115*VLOOKUP('Données projet'!$B$11,Paramètres!$A$1:$I$89,3,0)*0.475*44/12</f>
        <v>0.76813867769534228</v>
      </c>
      <c r="BS115" s="22">
        <f t="shared" si="63"/>
        <v>109.71897816916884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735.00000000000011</v>
      </c>
      <c r="BZ115" s="13">
        <f>BY115*VLOOKUP('Données projet'!$B$12,Paramètres!$A$1:$I$89,3,0)*VLOOKUP('Données projet'!$B$12,Paramètres!$A$1:$I$89,5,0)</f>
        <v>296.20500000000004</v>
      </c>
      <c r="CA115" s="13">
        <f t="shared" si="93"/>
        <v>70.380297204000939</v>
      </c>
      <c r="CB115" s="20">
        <f t="shared" si="64"/>
        <v>638.46939263030174</v>
      </c>
      <c r="CC115" s="59">
        <f t="shared" si="65"/>
        <v>931.80272596363511</v>
      </c>
      <c r="CD115" s="59">
        <f ca="1">AVERAGE(OFFSET($CC$3,0,0,'Données projet'!$E$12+1,1))-AVERAGE(OFFSET($H$3,0,0,'Données projet'!$E$12+1,1))</f>
        <v>291.0962681460345</v>
      </c>
      <c r="CE115" s="59">
        <f t="shared" si="94"/>
        <v>240.28311826371385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27.45468928437132</v>
      </c>
      <c r="CL115" s="21">
        <f>EXP(-LN(2)/25)*CL114+(1-EXP(-LN(2)/25))/(LN(2)/25)*Calculateur!CG115*Calculateur!CI115*VLOOKUP('Données projet'!$B$12,Paramètres!$A$1:$I$89,3,0)*0.475*44/12</f>
        <v>9.0000913459184417</v>
      </c>
      <c r="CM115" s="21">
        <f>EXP(-LN(2)/2)*CM114+(1-EXP(-LN(2)/2))/(LN(2)/2)*CG115*CJ115*VLOOKUP('Données projet'!$B$12,Paramètres!$A$1:$I$89,3,0)*0.475*44/12</f>
        <v>9.2639811258654599E-6</v>
      </c>
      <c r="CN115" s="22">
        <f t="shared" si="66"/>
        <v>36.454789894270888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-5.3205440053716299E-14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225.92546546283018</v>
      </c>
      <c r="CZ115" s="59">
        <f t="shared" si="96"/>
        <v>309.38786160614563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32.159591447359055</v>
      </c>
      <c r="DG115" s="21">
        <f>EXP(-LN(2)/25)*DG114+(1-EXP(-LN(2)/25))/(LN(2)/25)*Calculateur!DB115*Calculateur!DD115*VLOOKUP('Données projet'!$B$13,Paramètres!$A$1:$I$89,3,0)*0.475*44/12</f>
        <v>20.700162783293937</v>
      </c>
      <c r="DH115" s="21">
        <f>EXP(-LN(2)/2)*DH114+(1-EXP(-LN(2)/2))/(LN(2)/2)*DB115*DE115*VLOOKUP('Données projet'!$B$13,Paramètres!$A$1:$I$89,3,0)*0.475*44/12</f>
        <v>1.0953334700729669E-12</v>
      </c>
      <c r="DI115" s="22">
        <f t="shared" si="69"/>
        <v>52.85975423065409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168</v>
      </c>
      <c r="DP115" s="17">
        <f>DO115*VLOOKUP('Données projet'!$B$14,Paramètres!$A$1:$I$89,3,0)*VLOOKUP('Données projet'!$B$14,Paramètres!$A$1:$I$89,5,0)</f>
        <v>146.76480000000004</v>
      </c>
      <c r="DQ115" s="13">
        <f t="shared" si="97"/>
        <v>37.842444439956665</v>
      </c>
      <c r="DR115" s="20">
        <f t="shared" si="70"/>
        <v>321.52428406625791</v>
      </c>
      <c r="DS115" s="59">
        <f t="shared" si="71"/>
        <v>614.85761739959116</v>
      </c>
      <c r="DT115" s="59">
        <f ca="1">AVERAGE(OFFSET($DS$3,0,0,'Données projet'!$E$14+1,1))-AVERAGE(OFFSET($H$3,0,0,'Données projet'!$E$14+1,1))</f>
        <v>150.06600397498823</v>
      </c>
      <c r="DU115" s="59">
        <f t="shared" si="98"/>
        <v>170.53034305929714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3.8843852142541286</v>
      </c>
      <c r="EB115" s="21">
        <f>EXP(-LN(2)/25)*EB114+(1-EXP(-LN(2)/25))/(LN(2)/25)*Calculateur!DW115*Calculateur!DY115*VLOOKUP('Données projet'!$B$14,Paramètres!$A$1:$I$89,3,0)*0.475*44/12</f>
        <v>6.1925941281017556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10.076979342355884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294.94285920643927</v>
      </c>
      <c r="T116" s="59">
        <f t="shared" si="88"/>
        <v>399.89535338426606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48.290093025903907</v>
      </c>
      <c r="AA116" s="21">
        <f>EXP(-LN(2)/25)*AA115+(1-EXP(-LN(2)/25))/(LN(2)/25)*Calculateur!V116*Calculateur!X116*VLOOKUP('Données projet'!$B$9,Paramètres!$A$1:$I$89,3,0)*0.475*44/12</f>
        <v>31.712139650980252</v>
      </c>
      <c r="AB116" s="21">
        <f>EXP(-LN(2)/2)*AB115+(1-EXP(-LN(2)/2))/(LN(2)/2)*V116*Y116*VLOOKUP('Données projet'!$B$9,Paramètres!$A$1:$I$89,3,0)*0.475*44/12</f>
        <v>2.7897040834418249E-12</v>
      </c>
      <c r="AC116" s="22">
        <f t="shared" si="57"/>
        <v>80.002232676886948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-1.0197709343628959E-13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200.14675249215634</v>
      </c>
      <c r="AO116" s="59">
        <f t="shared" si="90"/>
        <v>200.55017434999968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45.41175665921935</v>
      </c>
      <c r="AV116" s="21">
        <f>EXP(-LN(2)/25)*AV115+(1-EXP(-LN(2)/25))/(LN(2)/25)*Calculateur!AQ116*Calculateur!AS116*VLOOKUP('Données projet'!$B$10,Paramètres!$A$1:$I$89,3,0)*0.475*44/12</f>
        <v>8.3134774314409032</v>
      </c>
      <c r="AW116" s="21">
        <f>EXP(-LN(2)/2)*AW115+(1-EXP(-LN(2)/2))/(LN(2)/2)*AQ116*AT116*VLOOKUP('Données projet'!$B$10,Paramètres!$A$1:$I$89,3,0)*0.475*44/12</f>
        <v>3.3678333332094343E-7</v>
      </c>
      <c r="AX116" s="21">
        <f t="shared" si="60"/>
        <v>53.725234427443581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-1.4210854715202004E-13</v>
      </c>
      <c r="BE116" s="13">
        <f>BD116*VLOOKUP('Données projet'!$B$11,Paramètres!$A$1:$I$89,3,0)*VLOOKUP('Données projet'!$B$11,Paramètres!$A$1:$I$89,5,0)</f>
        <v>-8.128608897095547E-14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182.46132340647313</v>
      </c>
      <c r="BJ116" s="59">
        <f t="shared" si="92"/>
        <v>130.51706975490481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87.214222304158966</v>
      </c>
      <c r="BQ116" s="21">
        <f>EXP(-LN(2)/25)*BQ115+(1-EXP(-LN(2)/25))/(LN(2)/25)*Calculateur!BL116*Calculateur!BN116*VLOOKUP('Données projet'!$B$11,Paramètres!$A$1:$I$89,3,0)*0.475*44/12</f>
        <v>19.44550482492544</v>
      </c>
      <c r="BR116" s="21">
        <f>EXP(-LN(2)/2)*BR115+(1-EXP(-LN(2)/2))/(LN(2)/2)*BL116*BO116*VLOOKUP('Données projet'!$B$11,Paramètres!$A$1:$I$89,3,0)*0.475*44/12</f>
        <v>0.54315606789004434</v>
      </c>
      <c r="BS116" s="22">
        <f t="shared" si="63"/>
        <v>107.20288319697444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735.00000000000011</v>
      </c>
      <c r="BZ116" s="13">
        <f>BY116*VLOOKUP('Données projet'!$B$12,Paramètres!$A$1:$I$89,3,0)*VLOOKUP('Données projet'!$B$12,Paramètres!$A$1:$I$89,5,0)</f>
        <v>296.20500000000004</v>
      </c>
      <c r="CA116" s="13">
        <f t="shared" si="93"/>
        <v>70.380297204000939</v>
      </c>
      <c r="CB116" s="20">
        <f t="shared" si="64"/>
        <v>638.46939263030174</v>
      </c>
      <c r="CC116" s="59">
        <f t="shared" si="65"/>
        <v>931.80272596363511</v>
      </c>
      <c r="CD116" s="59">
        <f ca="1">AVERAGE(OFFSET($CC$3,0,0,'Données projet'!$E$12+1,1))-AVERAGE(OFFSET($H$3,0,0,'Données projet'!$E$12+1,1))</f>
        <v>291.0962681460345</v>
      </c>
      <c r="CE116" s="59">
        <f t="shared" si="94"/>
        <v>240.28311826371385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26.916319573211759</v>
      </c>
      <c r="CL116" s="21">
        <f>EXP(-LN(2)/25)*CL115+(1-EXP(-LN(2)/25))/(LN(2)/25)*Calculateur!CG116*Calculateur!CI116*VLOOKUP('Données projet'!$B$12,Paramètres!$A$1:$I$89,3,0)*0.475*44/12</f>
        <v>8.7539833747700673</v>
      </c>
      <c r="CM116" s="21">
        <f>EXP(-LN(2)/2)*CM115+(1-EXP(-LN(2)/2))/(LN(2)/2)*CG116*CJ116*VLOOKUP('Données projet'!$B$12,Paramètres!$A$1:$I$89,3,0)*0.475*44/12</f>
        <v>6.550623874883654E-6</v>
      </c>
      <c r="CN116" s="22">
        <f t="shared" si="66"/>
        <v>35.670309498605697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-5.3205440053716299E-14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225.92546546283018</v>
      </c>
      <c r="CZ116" s="59">
        <f t="shared" si="96"/>
        <v>309.38786160614563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31.528961474490266</v>
      </c>
      <c r="DG116" s="21">
        <f>EXP(-LN(2)/25)*DG115+(1-EXP(-LN(2)/25))/(LN(2)/25)*Calculateur!DB116*Calculateur!DD116*VLOOKUP('Données projet'!$B$13,Paramètres!$A$1:$I$89,3,0)*0.475*44/12</f>
        <v>20.134115743410515</v>
      </c>
      <c r="DH116" s="21">
        <f>EXP(-LN(2)/2)*DH115+(1-EXP(-LN(2)/2))/(LN(2)/2)*DB116*DE116*VLOOKUP('Données projet'!$B$13,Paramètres!$A$1:$I$89,3,0)*0.475*44/12</f>
        <v>7.7451772434918719E-13</v>
      </c>
      <c r="DI116" s="22">
        <f t="shared" si="69"/>
        <v>51.663077217901552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168</v>
      </c>
      <c r="DP116" s="17">
        <f>DO116*VLOOKUP('Données projet'!$B$14,Paramètres!$A$1:$I$89,3,0)*VLOOKUP('Données projet'!$B$14,Paramètres!$A$1:$I$89,5,0)</f>
        <v>146.76480000000004</v>
      </c>
      <c r="DQ116" s="13">
        <f t="shared" si="97"/>
        <v>37.842444439956665</v>
      </c>
      <c r="DR116" s="20">
        <f t="shared" si="70"/>
        <v>321.52428406625791</v>
      </c>
      <c r="DS116" s="59">
        <f t="shared" si="71"/>
        <v>614.85761739959116</v>
      </c>
      <c r="DT116" s="59">
        <f ca="1">AVERAGE(OFFSET($DS$3,0,0,'Données projet'!$E$14+1,1))-AVERAGE(OFFSET($H$3,0,0,'Données projet'!$E$14+1,1))</f>
        <v>150.06600397498823</v>
      </c>
      <c r="DU116" s="59">
        <f t="shared" si="98"/>
        <v>170.53034305929714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3.8082147894436429</v>
      </c>
      <c r="EB116" s="21">
        <f>EXP(-LN(2)/25)*EB115+(1-EXP(-LN(2)/25))/(LN(2)/25)*Calculateur!DW116*Calculateur!DY116*VLOOKUP('Données projet'!$B$14,Paramètres!$A$1:$I$89,3,0)*0.475*44/12</f>
        <v>6.0232573160144414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9.8314721054580847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294.94285920643927</v>
      </c>
      <c r="T117" s="59">
        <f t="shared" si="88"/>
        <v>399.89535338426606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47.343153755714333</v>
      </c>
      <c r="AA117" s="21">
        <f>EXP(-LN(2)/25)*AA116+(1-EXP(-LN(2)/25))/(LN(2)/25)*Calculateur!V117*Calculateur!X117*VLOOKUP('Données projet'!$B$9,Paramètres!$A$1:$I$89,3,0)*0.475*44/12</f>
        <v>30.84496952455525</v>
      </c>
      <c r="AB117" s="21">
        <f>EXP(-LN(2)/2)*AB116+(1-EXP(-LN(2)/2))/(LN(2)/2)*V117*Y117*VLOOKUP('Données projet'!$B$9,Paramètres!$A$1:$I$89,3,0)*0.475*44/12</f>
        <v>1.9726186749055166E-12</v>
      </c>
      <c r="AC117" s="22">
        <f t="shared" si="57"/>
        <v>78.188123280271554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-1.0197709343628959E-13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200.14675249215634</v>
      </c>
      <c r="AO117" s="59">
        <f t="shared" si="90"/>
        <v>200.55017434999968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44.521259809568626</v>
      </c>
      <c r="AV117" s="21">
        <f>EXP(-LN(2)/25)*AV116+(1-EXP(-LN(2)/25))/(LN(2)/25)*Calculateur!AQ117*Calculateur!AS117*VLOOKUP('Données projet'!$B$10,Paramètres!$A$1:$I$89,3,0)*0.475*44/12</f>
        <v>8.0861449538913739</v>
      </c>
      <c r="AW117" s="21">
        <f>EXP(-LN(2)/2)*AW116+(1-EXP(-LN(2)/2))/(LN(2)/2)*AQ117*AT117*VLOOKUP('Données projet'!$B$10,Paramètres!$A$1:$I$89,3,0)*0.475*44/12</f>
        <v>2.3814177878184847E-7</v>
      </c>
      <c r="AX117" s="21">
        <f t="shared" si="60"/>
        <v>52.607405001601776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-1.4210854715202004E-13</v>
      </c>
      <c r="BE117" s="13">
        <f>BD117*VLOOKUP('Données projet'!$B$11,Paramètres!$A$1:$I$89,3,0)*VLOOKUP('Données projet'!$B$11,Paramètres!$A$1:$I$89,5,0)</f>
        <v>-8.128608897095547E-14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182.46132340647313</v>
      </c>
      <c r="BJ117" s="59">
        <f t="shared" si="92"/>
        <v>130.51706975490481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85.504004600197405</v>
      </c>
      <c r="BQ117" s="21">
        <f>EXP(-LN(2)/25)*BQ116+(1-EXP(-LN(2)/25))/(LN(2)/25)*Calculateur!BL117*Calculateur!BN117*VLOOKUP('Données projet'!$B$11,Paramètres!$A$1:$I$89,3,0)*0.475*44/12</f>
        <v>18.913766472893197</v>
      </c>
      <c r="BR117" s="21">
        <f>EXP(-LN(2)/2)*BR116+(1-EXP(-LN(2)/2))/(LN(2)/2)*BL117*BO117*VLOOKUP('Données projet'!$B$11,Paramètres!$A$1:$I$89,3,0)*0.475*44/12</f>
        <v>0.38406933884767114</v>
      </c>
      <c r="BS117" s="22">
        <f t="shared" si="63"/>
        <v>104.80184041193827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735.00000000000011</v>
      </c>
      <c r="BZ117" s="13">
        <f>BY117*VLOOKUP('Données projet'!$B$12,Paramètres!$A$1:$I$89,3,0)*VLOOKUP('Données projet'!$B$12,Paramètres!$A$1:$I$89,5,0)</f>
        <v>296.20500000000004</v>
      </c>
      <c r="CA117" s="13">
        <f t="shared" si="93"/>
        <v>70.380297204000939</v>
      </c>
      <c r="CB117" s="20">
        <f t="shared" si="64"/>
        <v>638.46939263030174</v>
      </c>
      <c r="CC117" s="59">
        <f t="shared" si="65"/>
        <v>931.80272596363511</v>
      </c>
      <c r="CD117" s="59">
        <f ca="1">AVERAGE(OFFSET($CC$3,0,0,'Données projet'!$E$12+1,1))-AVERAGE(OFFSET($H$3,0,0,'Données projet'!$E$12+1,1))</f>
        <v>291.0962681460345</v>
      </c>
      <c r="CE117" s="59">
        <f t="shared" si="94"/>
        <v>240.28311826371385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26.388506963714939</v>
      </c>
      <c r="CL117" s="21">
        <f>EXP(-LN(2)/25)*CL116+(1-EXP(-LN(2)/25))/(LN(2)/25)*Calculateur!CG117*Calculateur!CI117*VLOOKUP('Données projet'!$B$12,Paramètres!$A$1:$I$89,3,0)*0.475*44/12</f>
        <v>8.5146052390350011</v>
      </c>
      <c r="CM117" s="21">
        <f>EXP(-LN(2)/2)*CM116+(1-EXP(-LN(2)/2))/(LN(2)/2)*CG117*CJ117*VLOOKUP('Données projet'!$B$12,Paramètres!$A$1:$I$89,3,0)*0.475*44/12</f>
        <v>4.63199056293273E-6</v>
      </c>
      <c r="CN117" s="22">
        <f t="shared" si="66"/>
        <v>34.903116834740501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-5.3205440053716299E-14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225.92546546283018</v>
      </c>
      <c r="CZ117" s="59">
        <f t="shared" si="96"/>
        <v>309.38786160614563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30.910697770743131</v>
      </c>
      <c r="DG117" s="21">
        <f>EXP(-LN(2)/25)*DG116+(1-EXP(-LN(2)/25))/(LN(2)/25)*Calculateur!DB117*Calculateur!DD117*VLOOKUP('Données projet'!$B$13,Paramètres!$A$1:$I$89,3,0)*0.475*44/12</f>
        <v>19.583547289599824</v>
      </c>
      <c r="DH117" s="21">
        <f>EXP(-LN(2)/2)*DH116+(1-EXP(-LN(2)/2))/(LN(2)/2)*DB117*DE117*VLOOKUP('Données projet'!$B$13,Paramètres!$A$1:$I$89,3,0)*0.475*44/12</f>
        <v>5.4766673503648343E-13</v>
      </c>
      <c r="DI117" s="22">
        <f t="shared" si="69"/>
        <v>50.494245060343502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168</v>
      </c>
      <c r="DP117" s="17">
        <f>DO117*VLOOKUP('Données projet'!$B$14,Paramètres!$A$1:$I$89,3,0)*VLOOKUP('Données projet'!$B$14,Paramètres!$A$1:$I$89,5,0)</f>
        <v>146.76480000000004</v>
      </c>
      <c r="DQ117" s="13">
        <f t="shared" si="97"/>
        <v>37.842444439956665</v>
      </c>
      <c r="DR117" s="20">
        <f t="shared" si="70"/>
        <v>321.52428406625791</v>
      </c>
      <c r="DS117" s="59">
        <f t="shared" si="71"/>
        <v>614.85761739959116</v>
      </c>
      <c r="DT117" s="59">
        <f ca="1">AVERAGE(OFFSET($DS$3,0,0,'Données projet'!$E$14+1,1))-AVERAGE(OFFSET($H$3,0,0,'Données projet'!$E$14+1,1))</f>
        <v>150.06600397498823</v>
      </c>
      <c r="DU117" s="59">
        <f t="shared" si="98"/>
        <v>170.53034305929714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3.7335380202043189</v>
      </c>
      <c r="EB117" s="21">
        <f>EXP(-LN(2)/25)*EB116+(1-EXP(-LN(2)/25))/(LN(2)/25)*Calculateur!DW117*Calculateur!DY117*VLOOKUP('Données projet'!$B$14,Paramètres!$A$1:$I$89,3,0)*0.475*44/12</f>
        <v>5.8585510279586908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9.5920890481630092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294.94285920643927</v>
      </c>
      <c r="T118" s="59">
        <f t="shared" si="88"/>
        <v>399.89535338426606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46.414783387037254</v>
      </c>
      <c r="AA118" s="21">
        <f>EXP(-LN(2)/25)*AA117+(1-EXP(-LN(2)/25))/(LN(2)/25)*Calculateur!V118*Calculateur!X118*VLOOKUP('Données projet'!$B$9,Paramètres!$A$1:$I$89,3,0)*0.475*44/12</f>
        <v>30.001512210839838</v>
      </c>
      <c r="AB118" s="21">
        <f>EXP(-LN(2)/2)*AB117+(1-EXP(-LN(2)/2))/(LN(2)/2)*V118*Y118*VLOOKUP('Données projet'!$B$9,Paramètres!$A$1:$I$89,3,0)*0.475*44/12</f>
        <v>1.3948520417209125E-12</v>
      </c>
      <c r="AC118" s="22">
        <f t="shared" si="57"/>
        <v>76.416295597878488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-1.0197709343628959E-13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200.14675249215634</v>
      </c>
      <c r="AO118" s="59">
        <f t="shared" si="90"/>
        <v>200.55017434999968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43.648225059990111</v>
      </c>
      <c r="AV118" s="21">
        <f>EXP(-LN(2)/25)*AV117+(1-EXP(-LN(2)/25))/(LN(2)/25)*Calculateur!AQ118*Calculateur!AS118*VLOOKUP('Données projet'!$B$10,Paramètres!$A$1:$I$89,3,0)*0.475*44/12</f>
        <v>7.8650288948953326</v>
      </c>
      <c r="AW118" s="21">
        <f>EXP(-LN(2)/2)*AW117+(1-EXP(-LN(2)/2))/(LN(2)/2)*AQ118*AT118*VLOOKUP('Données projet'!$B$10,Paramètres!$A$1:$I$89,3,0)*0.475*44/12</f>
        <v>1.6839166666047174E-7</v>
      </c>
      <c r="AX118" s="21">
        <f t="shared" si="60"/>
        <v>51.513254123277108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-1.4210854715202004E-13</v>
      </c>
      <c r="BE118" s="13">
        <f>BD118*VLOOKUP('Données projet'!$B$11,Paramètres!$A$1:$I$89,3,0)*VLOOKUP('Données projet'!$B$11,Paramètres!$A$1:$I$89,5,0)</f>
        <v>-8.128608897095547E-14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182.46132340647313</v>
      </c>
      <c r="BJ118" s="59">
        <f t="shared" si="92"/>
        <v>130.51706975490481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83.827323222280725</v>
      </c>
      <c r="BQ118" s="21">
        <f>EXP(-LN(2)/25)*BQ117+(1-EXP(-LN(2)/25))/(LN(2)/25)*Calculateur!BL118*Calculateur!BN118*VLOOKUP('Données projet'!$B$11,Paramètres!$A$1:$I$89,3,0)*0.475*44/12</f>
        <v>18.396568534060183</v>
      </c>
      <c r="BR118" s="21">
        <f>EXP(-LN(2)/2)*BR117+(1-EXP(-LN(2)/2))/(LN(2)/2)*BL118*BO118*VLOOKUP('Données projet'!$B$11,Paramètres!$A$1:$I$89,3,0)*0.475*44/12</f>
        <v>0.27157803394502217</v>
      </c>
      <c r="BS118" s="22">
        <f t="shared" si="63"/>
        <v>102.49546979028592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735.00000000000011</v>
      </c>
      <c r="BZ118" s="13">
        <f>BY118*VLOOKUP('Données projet'!$B$12,Paramètres!$A$1:$I$89,3,0)*VLOOKUP('Données projet'!$B$12,Paramètres!$A$1:$I$89,5,0)</f>
        <v>296.20500000000004</v>
      </c>
      <c r="CA118" s="13">
        <f t="shared" si="93"/>
        <v>70.380297204000939</v>
      </c>
      <c r="CB118" s="20">
        <f t="shared" si="64"/>
        <v>638.46939263030174</v>
      </c>
      <c r="CC118" s="59">
        <f t="shared" si="65"/>
        <v>931.80272596363511</v>
      </c>
      <c r="CD118" s="59">
        <f ca="1">AVERAGE(OFFSET($CC$3,0,0,'Données projet'!$E$12+1,1))-AVERAGE(OFFSET($H$3,0,0,'Données projet'!$E$12+1,1))</f>
        <v>291.0962681460345</v>
      </c>
      <c r="CE118" s="59">
        <f t="shared" si="94"/>
        <v>240.28311826371385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25.871044437556449</v>
      </c>
      <c r="CL118" s="21">
        <f>EXP(-LN(2)/25)*CL117+(1-EXP(-LN(2)/25))/(LN(2)/25)*Calculateur!CG118*Calculateur!CI118*VLOOKUP('Données projet'!$B$12,Paramètres!$A$1:$I$89,3,0)*0.475*44/12</f>
        <v>8.2817729110099592</v>
      </c>
      <c r="CM118" s="21">
        <f>EXP(-LN(2)/2)*CM117+(1-EXP(-LN(2)/2))/(LN(2)/2)*CG118*CJ118*VLOOKUP('Données projet'!$B$12,Paramètres!$A$1:$I$89,3,0)*0.475*44/12</f>
        <v>3.275311937441827E-6</v>
      </c>
      <c r="CN118" s="22">
        <f t="shared" si="66"/>
        <v>34.152820623878348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-5.3205440053716299E-14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225.92546546283018</v>
      </c>
      <c r="CZ118" s="59">
        <f t="shared" si="96"/>
        <v>309.38786160614563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30.304557841122854</v>
      </c>
      <c r="DG118" s="21">
        <f>EXP(-LN(2)/25)*DG117+(1-EXP(-LN(2)/25))/(LN(2)/25)*Calculateur!DB118*Calculateur!DD118*VLOOKUP('Données projet'!$B$13,Paramètres!$A$1:$I$89,3,0)*0.475*44/12</f>
        <v>19.048034159111722</v>
      </c>
      <c r="DH118" s="21">
        <f>EXP(-LN(2)/2)*DH117+(1-EXP(-LN(2)/2))/(LN(2)/2)*DB118*DE118*VLOOKUP('Données projet'!$B$13,Paramètres!$A$1:$I$89,3,0)*0.475*44/12</f>
        <v>3.872588621745936E-13</v>
      </c>
      <c r="DI118" s="22">
        <f t="shared" si="69"/>
        <v>49.352592000234971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168</v>
      </c>
      <c r="DP118" s="17">
        <f>DO118*VLOOKUP('Données projet'!$B$14,Paramètres!$A$1:$I$89,3,0)*VLOOKUP('Données projet'!$B$14,Paramètres!$A$1:$I$89,5,0)</f>
        <v>146.76480000000004</v>
      </c>
      <c r="DQ118" s="13">
        <f t="shared" si="97"/>
        <v>37.842444439956665</v>
      </c>
      <c r="DR118" s="20">
        <f t="shared" si="70"/>
        <v>321.52428406625791</v>
      </c>
      <c r="DS118" s="59">
        <f t="shared" si="71"/>
        <v>614.85761739959116</v>
      </c>
      <c r="DT118" s="59">
        <f ca="1">AVERAGE(OFFSET($DS$3,0,0,'Données projet'!$E$14+1,1))-AVERAGE(OFFSET($H$3,0,0,'Données projet'!$E$14+1,1))</f>
        <v>150.06600397498823</v>
      </c>
      <c r="DU118" s="59">
        <f t="shared" si="98"/>
        <v>170.53034305929714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3.6603256168614466</v>
      </c>
      <c r="EB118" s="21">
        <f>EXP(-LN(2)/25)*EB117+(1-EXP(-LN(2)/25))/(LN(2)/25)*Calculateur!DW118*Calculateur!DY118*VLOOKUP('Données projet'!$B$14,Paramètres!$A$1:$I$89,3,0)*0.475*44/12</f>
        <v>5.6983486420113518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9.3586742588727994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294.94285920643927</v>
      </c>
      <c r="T119" s="59">
        <f t="shared" si="88"/>
        <v>399.89535338426606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45.50461779503992</v>
      </c>
      <c r="AA119" s="21">
        <f>EXP(-LN(2)/25)*AA118+(1-EXP(-LN(2)/25))/(LN(2)/25)*Calculateur!V119*Calculateur!X119*VLOOKUP('Données projet'!$B$9,Paramètres!$A$1:$I$89,3,0)*0.475*44/12</f>
        <v>29.181119281723465</v>
      </c>
      <c r="AB119" s="21">
        <f>EXP(-LN(2)/2)*AB118+(1-EXP(-LN(2)/2))/(LN(2)/2)*V119*Y119*VLOOKUP('Données projet'!$B$9,Paramètres!$A$1:$I$89,3,0)*0.475*44/12</f>
        <v>9.863093374527583E-13</v>
      </c>
      <c r="AC119" s="22">
        <f t="shared" si="57"/>
        <v>74.685737076764369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-1.0197709343628959E-13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200.14675249215634</v>
      </c>
      <c r="AO119" s="59">
        <f t="shared" si="90"/>
        <v>200.55017434999968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42.792309989352212</v>
      </c>
      <c r="AV119" s="21">
        <f>EXP(-LN(2)/25)*AV118+(1-EXP(-LN(2)/25))/(LN(2)/25)*Calculateur!AQ119*Calculateur!AS119*VLOOKUP('Données projet'!$B$10,Paramètres!$A$1:$I$89,3,0)*0.475*44/12</f>
        <v>7.6499592661605256</v>
      </c>
      <c r="AW119" s="21">
        <f>EXP(-LN(2)/2)*AW118+(1-EXP(-LN(2)/2))/(LN(2)/2)*AQ119*AT119*VLOOKUP('Données projet'!$B$10,Paramètres!$A$1:$I$89,3,0)*0.475*44/12</f>
        <v>1.1907088939092425E-7</v>
      </c>
      <c r="AX119" s="21">
        <f t="shared" si="60"/>
        <v>50.442269374583631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-1.4210854715202004E-13</v>
      </c>
      <c r="BE119" s="13">
        <f>BD119*VLOOKUP('Données projet'!$B$11,Paramètres!$A$1:$I$89,3,0)*VLOOKUP('Données projet'!$B$11,Paramètres!$A$1:$I$89,5,0)</f>
        <v>-8.128608897095547E-14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182.46132340647313</v>
      </c>
      <c r="BJ119" s="59">
        <f t="shared" si="92"/>
        <v>130.51706975490481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82.18352054351034</v>
      </c>
      <c r="BQ119" s="21">
        <f>EXP(-LN(2)/25)*BQ118+(1-EXP(-LN(2)/25))/(LN(2)/25)*Calculateur!BL119*Calculateur!BN119*VLOOKUP('Données projet'!$B$11,Paramètres!$A$1:$I$89,3,0)*0.475*44/12</f>
        <v>17.893513400062815</v>
      </c>
      <c r="BR119" s="21">
        <f>EXP(-LN(2)/2)*BR118+(1-EXP(-LN(2)/2))/(LN(2)/2)*BL119*BO119*VLOOKUP('Données projet'!$B$11,Paramètres!$A$1:$I$89,3,0)*0.475*44/12</f>
        <v>0.19203466942383557</v>
      </c>
      <c r="BS119" s="22">
        <f t="shared" si="63"/>
        <v>100.26906861299699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735.00000000000011</v>
      </c>
      <c r="BZ119" s="13">
        <f>BY119*VLOOKUP('Données projet'!$B$12,Paramètres!$A$1:$I$89,3,0)*VLOOKUP('Données projet'!$B$12,Paramètres!$A$1:$I$89,5,0)</f>
        <v>296.20500000000004</v>
      </c>
      <c r="CA119" s="13">
        <f t="shared" si="93"/>
        <v>70.380297204000939</v>
      </c>
      <c r="CB119" s="20">
        <f t="shared" si="64"/>
        <v>638.46939263030174</v>
      </c>
      <c r="CC119" s="59">
        <f t="shared" si="65"/>
        <v>931.80272596363511</v>
      </c>
      <c r="CD119" s="59">
        <f ca="1">AVERAGE(OFFSET($CC$3,0,0,'Données projet'!$E$12+1,1))-AVERAGE(OFFSET($H$3,0,0,'Données projet'!$E$12+1,1))</f>
        <v>291.0962681460345</v>
      </c>
      <c r="CE119" s="59">
        <f t="shared" si="94"/>
        <v>240.28311826371385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25.36372903591495</v>
      </c>
      <c r="CL119" s="21">
        <f>EXP(-LN(2)/25)*CL118+(1-EXP(-LN(2)/25))/(LN(2)/25)*Calculateur!CG119*Calculateur!CI119*VLOOKUP('Données projet'!$B$12,Paramètres!$A$1:$I$89,3,0)*0.475*44/12</f>
        <v>8.0553073952388825</v>
      </c>
      <c r="CM119" s="21">
        <f>EXP(-LN(2)/2)*CM118+(1-EXP(-LN(2)/2))/(LN(2)/2)*CG119*CJ119*VLOOKUP('Données projet'!$B$12,Paramètres!$A$1:$I$89,3,0)*0.475*44/12</f>
        <v>2.315995281466365E-6</v>
      </c>
      <c r="CN119" s="22">
        <f t="shared" si="66"/>
        <v>33.419038747149116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-5.3205440053716299E-14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225.92546546283018</v>
      </c>
      <c r="CZ119" s="59">
        <f t="shared" si="96"/>
        <v>309.38786160614563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29.710303945813578</v>
      </c>
      <c r="DG119" s="21">
        <f>EXP(-LN(2)/25)*DG118+(1-EXP(-LN(2)/25))/(LN(2)/25)*Calculateur!DB119*Calculateur!DD119*VLOOKUP('Données projet'!$B$13,Paramètres!$A$1:$I$89,3,0)*0.475*44/12</f>
        <v>18.52716466333823</v>
      </c>
      <c r="DH119" s="21">
        <f>EXP(-LN(2)/2)*DH118+(1-EXP(-LN(2)/2))/(LN(2)/2)*DB119*DE119*VLOOKUP('Données projet'!$B$13,Paramètres!$A$1:$I$89,3,0)*0.475*44/12</f>
        <v>2.7383336751824172E-13</v>
      </c>
      <c r="DI119" s="22">
        <f t="shared" si="69"/>
        <v>48.237468609152081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168</v>
      </c>
      <c r="DP119" s="17">
        <f>DO119*VLOOKUP('Données projet'!$B$14,Paramètres!$A$1:$I$89,3,0)*VLOOKUP('Données projet'!$B$14,Paramètres!$A$1:$I$89,5,0)</f>
        <v>146.76480000000004</v>
      </c>
      <c r="DQ119" s="13">
        <f t="shared" si="97"/>
        <v>37.842444439956665</v>
      </c>
      <c r="DR119" s="20">
        <f t="shared" si="70"/>
        <v>321.52428406625791</v>
      </c>
      <c r="DS119" s="59">
        <f t="shared" si="71"/>
        <v>614.85761739959116</v>
      </c>
      <c r="DT119" s="59">
        <f ca="1">AVERAGE(OFFSET($DS$3,0,0,'Données projet'!$E$14+1,1))-AVERAGE(OFFSET($H$3,0,0,'Données projet'!$E$14+1,1))</f>
        <v>150.06600397498823</v>
      </c>
      <c r="DU119" s="59">
        <f t="shared" si="98"/>
        <v>170.53034305929714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3.5885488640929712</v>
      </c>
      <c r="EB119" s="21">
        <f>EXP(-LN(2)/25)*EB118+(1-EXP(-LN(2)/25))/(LN(2)/25)*Calculateur!DW119*Calculateur!DY119*VLOOKUP('Données projet'!$B$14,Paramètres!$A$1:$I$89,3,0)*0.475*44/12</f>
        <v>5.5425269987324199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9.1310758628253907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294.94285920643927</v>
      </c>
      <c r="T120" s="59">
        <f t="shared" si="88"/>
        <v>399.89535338426606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44.612299995155453</v>
      </c>
      <c r="AA120" s="21">
        <f>EXP(-LN(2)/25)*AA119+(1-EXP(-LN(2)/25))/(LN(2)/25)*Calculateur!V120*Calculateur!X120*VLOOKUP('Données projet'!$B$9,Paramètres!$A$1:$I$89,3,0)*0.475*44/12</f>
        <v>28.383160040396369</v>
      </c>
      <c r="AB120" s="21">
        <f>EXP(-LN(2)/2)*AB119+(1-EXP(-LN(2)/2))/(LN(2)/2)*V120*Y120*VLOOKUP('Données projet'!$B$9,Paramètres!$A$1:$I$89,3,0)*0.475*44/12</f>
        <v>6.9742602086045623E-13</v>
      </c>
      <c r="AC120" s="22">
        <f t="shared" si="57"/>
        <v>72.995460035552512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-1.0197709343628959E-13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200.14675249215634</v>
      </c>
      <c r="AO120" s="59">
        <f t="shared" si="90"/>
        <v>200.55017434999968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41.953178891192877</v>
      </c>
      <c r="AV120" s="21">
        <f>EXP(-LN(2)/25)*AV119+(1-EXP(-LN(2)/25))/(LN(2)/25)*Calculateur!AQ120*Calculateur!AS120*VLOOKUP('Données projet'!$B$10,Paramètres!$A$1:$I$89,3,0)*0.475*44/12</f>
        <v>7.4407707277334927</v>
      </c>
      <c r="AW120" s="21">
        <f>EXP(-LN(2)/2)*AW119+(1-EXP(-LN(2)/2))/(LN(2)/2)*AQ120*AT120*VLOOKUP('Données projet'!$B$10,Paramètres!$A$1:$I$89,3,0)*0.475*44/12</f>
        <v>8.4195833330235883E-8</v>
      </c>
      <c r="AX120" s="21">
        <f t="shared" si="60"/>
        <v>49.393949703122203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-1.4210854715202004E-13</v>
      </c>
      <c r="BE120" s="13">
        <f>BD120*VLOOKUP('Données projet'!$B$11,Paramètres!$A$1:$I$89,3,0)*VLOOKUP('Données projet'!$B$11,Paramètres!$A$1:$I$89,5,0)</f>
        <v>-8.128608897095547E-14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182.46132340647313</v>
      </c>
      <c r="BJ120" s="59">
        <f t="shared" si="92"/>
        <v>130.51706975490481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80.571951832650001</v>
      </c>
      <c r="BQ120" s="21">
        <f>EXP(-LN(2)/25)*BQ119+(1-EXP(-LN(2)/25))/(LN(2)/25)*Calculateur!BL120*Calculateur!BN120*VLOOKUP('Données projet'!$B$11,Paramètres!$A$1:$I$89,3,0)*0.475*44/12</f>
        <v>17.404214335159125</v>
      </c>
      <c r="BR120" s="21">
        <f>EXP(-LN(2)/2)*BR119+(1-EXP(-LN(2)/2))/(LN(2)/2)*BL120*BO120*VLOOKUP('Données projet'!$B$11,Paramètres!$A$1:$I$89,3,0)*0.475*44/12</f>
        <v>0.13578901697251108</v>
      </c>
      <c r="BS120" s="22">
        <f t="shared" si="63"/>
        <v>98.111955184781635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735.00000000000011</v>
      </c>
      <c r="BZ120" s="13">
        <f>BY120*VLOOKUP('Données projet'!$B$12,Paramètres!$A$1:$I$89,3,0)*VLOOKUP('Données projet'!$B$12,Paramètres!$A$1:$I$89,5,0)</f>
        <v>296.20500000000004</v>
      </c>
      <c r="CA120" s="13">
        <f t="shared" si="93"/>
        <v>70.380297204000939</v>
      </c>
      <c r="CB120" s="20">
        <f t="shared" si="64"/>
        <v>638.46939263030174</v>
      </c>
      <c r="CC120" s="59">
        <f t="shared" si="65"/>
        <v>931.80272596363511</v>
      </c>
      <c r="CD120" s="59">
        <f ca="1">AVERAGE(OFFSET($CC$3,0,0,'Données projet'!$E$12+1,1))-AVERAGE(OFFSET($H$3,0,0,'Données projet'!$E$12+1,1))</f>
        <v>291.0962681460345</v>
      </c>
      <c r="CE120" s="59">
        <f t="shared" si="94"/>
        <v>240.28311826371385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24.866361779867802</v>
      </c>
      <c r="CL120" s="21">
        <f>EXP(-LN(2)/25)*CL119+(1-EXP(-LN(2)/25))/(LN(2)/25)*Calculateur!CG120*Calculateur!CI120*VLOOKUP('Données projet'!$B$12,Paramètres!$A$1:$I$89,3,0)*0.475*44/12</f>
        <v>7.8350345909058703</v>
      </c>
      <c r="CM120" s="21">
        <f>EXP(-LN(2)/2)*CM119+(1-EXP(-LN(2)/2))/(LN(2)/2)*CG120*CJ120*VLOOKUP('Données projet'!$B$12,Paramètres!$A$1:$I$89,3,0)*0.475*44/12</f>
        <v>1.6376559687209135E-6</v>
      </c>
      <c r="CN120" s="22">
        <f t="shared" si="66"/>
        <v>32.701398008429642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-5.3205440053716299E-14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225.92546546283018</v>
      </c>
      <c r="CZ120" s="59">
        <f t="shared" si="96"/>
        <v>309.38786160614563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29.127703006932233</v>
      </c>
      <c r="DG120" s="21">
        <f>EXP(-LN(2)/25)*DG119+(1-EXP(-LN(2)/25))/(LN(2)/25)*Calculateur!DB120*Calculateur!DD120*VLOOKUP('Données projet'!$B$13,Paramètres!$A$1:$I$89,3,0)*0.475*44/12</f>
        <v>18.020538371318001</v>
      </c>
      <c r="DH120" s="21">
        <f>EXP(-LN(2)/2)*DH119+(1-EXP(-LN(2)/2))/(LN(2)/2)*DB120*DE120*VLOOKUP('Données projet'!$B$13,Paramètres!$A$1:$I$89,3,0)*0.475*44/12</f>
        <v>1.936294310872968E-13</v>
      </c>
      <c r="DI120" s="22">
        <f t="shared" si="69"/>
        <v>47.148241378250425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168</v>
      </c>
      <c r="DP120" s="17">
        <f>DO120*VLOOKUP('Données projet'!$B$14,Paramètres!$A$1:$I$89,3,0)*VLOOKUP('Données projet'!$B$14,Paramètres!$A$1:$I$89,5,0)</f>
        <v>146.76480000000004</v>
      </c>
      <c r="DQ120" s="13">
        <f t="shared" si="97"/>
        <v>37.842444439956665</v>
      </c>
      <c r="DR120" s="20">
        <f t="shared" si="70"/>
        <v>321.52428406625791</v>
      </c>
      <c r="DS120" s="59">
        <f t="shared" si="71"/>
        <v>614.85761739959116</v>
      </c>
      <c r="DT120" s="59">
        <f ca="1">AVERAGE(OFFSET($DS$3,0,0,'Données projet'!$E$14+1,1))-AVERAGE(OFFSET($H$3,0,0,'Données projet'!$E$14+1,1))</f>
        <v>150.06600397498823</v>
      </c>
      <c r="DU120" s="59">
        <f t="shared" si="98"/>
        <v>170.53034305929714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3.5181796096667894</v>
      </c>
      <c r="EB120" s="21">
        <f>EXP(-LN(2)/25)*EB119+(1-EXP(-LN(2)/25))/(LN(2)/25)*Calculateur!DW120*Calculateur!DY120*VLOOKUP('Données projet'!$B$14,Paramètres!$A$1:$I$89,3,0)*0.475*44/12</f>
        <v>5.3909663064832545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8.9091459161500435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294.94285920643927</v>
      </c>
      <c r="T121" s="59">
        <f t="shared" si="88"/>
        <v>399.89535338426606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43.737480003066608</v>
      </c>
      <c r="AA121" s="21">
        <f>EXP(-LN(2)/25)*AA120+(1-EXP(-LN(2)/25))/(LN(2)/25)*Calculateur!V121*Calculateur!X121*VLOOKUP('Données projet'!$B$9,Paramètres!$A$1:$I$89,3,0)*0.475*44/12</f>
        <v>27.607021036486213</v>
      </c>
      <c r="AB121" s="21">
        <f>EXP(-LN(2)/2)*AB120+(1-EXP(-LN(2)/2))/(LN(2)/2)*V121*Y121*VLOOKUP('Données projet'!$B$9,Paramètres!$A$1:$I$89,3,0)*0.475*44/12</f>
        <v>4.9315466872637915E-13</v>
      </c>
      <c r="AC121" s="22">
        <f t="shared" si="57"/>
        <v>71.344501039553322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-1.0197709343628959E-13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200.14675249215634</v>
      </c>
      <c r="AO121" s="59">
        <f t="shared" si="90"/>
        <v>200.55017434999968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41.130502642049017</v>
      </c>
      <c r="AV121" s="21">
        <f>EXP(-LN(2)/25)*AV120+(1-EXP(-LN(2)/25))/(LN(2)/25)*Calculateur!AQ121*Calculateur!AS121*VLOOKUP('Données projet'!$B$10,Paramètres!$A$1:$I$89,3,0)*0.475*44/12</f>
        <v>7.2373024608904934</v>
      </c>
      <c r="AW121" s="21">
        <f>EXP(-LN(2)/2)*AW120+(1-EXP(-LN(2)/2))/(LN(2)/2)*AQ121*AT121*VLOOKUP('Données projet'!$B$10,Paramètres!$A$1:$I$89,3,0)*0.475*44/12</f>
        <v>5.9535444695462131E-8</v>
      </c>
      <c r="AX121" s="21">
        <f t="shared" si="60"/>
        <v>48.367805162474959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-1.4210854715202004E-13</v>
      </c>
      <c r="BE121" s="13">
        <f>BD121*VLOOKUP('Données projet'!$B$11,Paramètres!$A$1:$I$89,3,0)*VLOOKUP('Données projet'!$B$11,Paramètres!$A$1:$I$89,5,0)</f>
        <v>-8.128608897095547E-14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182.46132340647313</v>
      </c>
      <c r="BJ121" s="59">
        <f t="shared" si="92"/>
        <v>130.51706975490481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78.991985001249788</v>
      </c>
      <c r="BQ121" s="21">
        <f>EXP(-LN(2)/25)*BQ120+(1-EXP(-LN(2)/25))/(LN(2)/25)*Calculateur!BL121*Calculateur!BN121*VLOOKUP('Données projet'!$B$11,Paramètres!$A$1:$I$89,3,0)*0.475*44/12</f>
        <v>16.928295178916343</v>
      </c>
      <c r="BR121" s="21">
        <f>EXP(-LN(2)/2)*BR120+(1-EXP(-LN(2)/2))/(LN(2)/2)*BL121*BO121*VLOOKUP('Données projet'!$B$11,Paramètres!$A$1:$I$89,3,0)*0.475*44/12</f>
        <v>9.6017334711917784E-2</v>
      </c>
      <c r="BS121" s="22">
        <f t="shared" si="63"/>
        <v>96.016297514878048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735.00000000000011</v>
      </c>
      <c r="BZ121" s="13">
        <f>BY121*VLOOKUP('Données projet'!$B$12,Paramètres!$A$1:$I$89,3,0)*VLOOKUP('Données projet'!$B$12,Paramètres!$A$1:$I$89,5,0)</f>
        <v>296.20500000000004</v>
      </c>
      <c r="CA121" s="13">
        <f t="shared" si="93"/>
        <v>70.380297204000939</v>
      </c>
      <c r="CB121" s="20">
        <f t="shared" si="64"/>
        <v>638.46939263030174</v>
      </c>
      <c r="CC121" s="59">
        <f t="shared" si="65"/>
        <v>931.80272596363511</v>
      </c>
      <c r="CD121" s="59">
        <f ca="1">AVERAGE(OFFSET($CC$3,0,0,'Données projet'!$E$12+1,1))-AVERAGE(OFFSET($H$3,0,0,'Données projet'!$E$12+1,1))</f>
        <v>291.0962681460345</v>
      </c>
      <c r="CE121" s="59">
        <f t="shared" si="94"/>
        <v>240.28311826371385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24.378747592347665</v>
      </c>
      <c r="CL121" s="21">
        <f>EXP(-LN(2)/25)*CL120+(1-EXP(-LN(2)/25))/(LN(2)/25)*Calculateur!CG121*Calculateur!CI121*VLOOKUP('Données projet'!$B$12,Paramètres!$A$1:$I$89,3,0)*0.475*44/12</f>
        <v>7.6207851579909871</v>
      </c>
      <c r="CM121" s="21">
        <f>EXP(-LN(2)/2)*CM120+(1-EXP(-LN(2)/2))/(LN(2)/2)*CG121*CJ121*VLOOKUP('Données projet'!$B$12,Paramètres!$A$1:$I$89,3,0)*0.475*44/12</f>
        <v>1.1579976407331825E-6</v>
      </c>
      <c r="CN121" s="22">
        <f t="shared" si="66"/>
        <v>31.999533908336293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-5.3205440053716299E-14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225.92546546283018</v>
      </c>
      <c r="CZ121" s="59">
        <f t="shared" si="96"/>
        <v>309.38786160614563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28.556526517110864</v>
      </c>
      <c r="DG121" s="21">
        <f>EXP(-LN(2)/25)*DG120+(1-EXP(-LN(2)/25))/(LN(2)/25)*Calculateur!DB121*Calculateur!DD121*VLOOKUP('Données projet'!$B$13,Paramètres!$A$1:$I$89,3,0)*0.475*44/12</f>
        <v>17.527765801895384</v>
      </c>
      <c r="DH121" s="21">
        <f>EXP(-LN(2)/2)*DH120+(1-EXP(-LN(2)/2))/(LN(2)/2)*DB121*DE121*VLOOKUP('Données projet'!$B$13,Paramètres!$A$1:$I$89,3,0)*0.475*44/12</f>
        <v>1.3691668375912086E-13</v>
      </c>
      <c r="DI121" s="22">
        <f t="shared" si="69"/>
        <v>46.084292319006387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168</v>
      </c>
      <c r="DP121" s="17">
        <f>DO121*VLOOKUP('Données projet'!$B$14,Paramètres!$A$1:$I$89,3,0)*VLOOKUP('Données projet'!$B$14,Paramètres!$A$1:$I$89,5,0)</f>
        <v>146.76480000000004</v>
      </c>
      <c r="DQ121" s="13">
        <f t="shared" si="97"/>
        <v>37.842444439956665</v>
      </c>
      <c r="DR121" s="20">
        <f t="shared" si="70"/>
        <v>321.52428406625791</v>
      </c>
      <c r="DS121" s="59">
        <f t="shared" si="71"/>
        <v>614.85761739959116</v>
      </c>
      <c r="DT121" s="59">
        <f ca="1">AVERAGE(OFFSET($DS$3,0,0,'Données projet'!$E$14+1,1))-AVERAGE(OFFSET($H$3,0,0,'Données projet'!$E$14+1,1))</f>
        <v>150.06600397498823</v>
      </c>
      <c r="DU121" s="59">
        <f t="shared" si="98"/>
        <v>170.53034305929714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3.4491902533988976</v>
      </c>
      <c r="EB121" s="21">
        <f>EXP(-LN(2)/25)*EB120+(1-EXP(-LN(2)/25))/(LN(2)/25)*Calculateur!DW121*Calculateur!DY121*VLOOKUP('Données projet'!$B$14,Paramètres!$A$1:$I$89,3,0)*0.475*44/12</f>
        <v>5.2435500493338729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8.692740302732771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294.94285920643927</v>
      </c>
      <c r="T122" s="59">
        <f t="shared" si="88"/>
        <v>399.89535338426606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42.879814697435116</v>
      </c>
      <c r="AA122" s="21">
        <f>EXP(-LN(2)/25)*AA121+(1-EXP(-LN(2)/25))/(LN(2)/25)*Calculateur!V122*Calculateur!X122*VLOOKUP('Données projet'!$B$9,Paramètres!$A$1:$I$89,3,0)*0.475*44/12</f>
        <v>26.852105594453359</v>
      </c>
      <c r="AB122" s="21">
        <f>EXP(-LN(2)/2)*AB121+(1-EXP(-LN(2)/2))/(LN(2)/2)*V122*Y122*VLOOKUP('Données projet'!$B$9,Paramètres!$A$1:$I$89,3,0)*0.475*44/12</f>
        <v>3.4871301043022811E-13</v>
      </c>
      <c r="AC122" s="22">
        <f t="shared" si="57"/>
        <v>69.731920291888827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-1.0197709343628959E-13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200.14675249215634</v>
      </c>
      <c r="AO122" s="59">
        <f t="shared" si="90"/>
        <v>200.55017434999968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40.3239585723679</v>
      </c>
      <c r="AV122" s="21">
        <f>EXP(-LN(2)/25)*AV121+(1-EXP(-LN(2)/25))/(LN(2)/25)*Calculateur!AQ122*Calculateur!AS122*VLOOKUP('Données projet'!$B$10,Paramètres!$A$1:$I$89,3,0)*0.475*44/12</f>
        <v>7.0393980445042477</v>
      </c>
      <c r="AW122" s="21">
        <f>EXP(-LN(2)/2)*AW121+(1-EXP(-LN(2)/2))/(LN(2)/2)*AQ122*AT122*VLOOKUP('Données projet'!$B$10,Paramètres!$A$1:$I$89,3,0)*0.475*44/12</f>
        <v>4.2097916665117948E-8</v>
      </c>
      <c r="AX122" s="21">
        <f t="shared" si="60"/>
        <v>47.363356658970062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-1.4210854715202004E-13</v>
      </c>
      <c r="BE122" s="13">
        <f>BD122*VLOOKUP('Données projet'!$B$11,Paramètres!$A$1:$I$89,3,0)*VLOOKUP('Données projet'!$B$11,Paramètres!$A$1:$I$89,5,0)</f>
        <v>-8.128608897095547E-14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182.46132340647313</v>
      </c>
      <c r="BJ122" s="59">
        <f t="shared" si="92"/>
        <v>130.51706975490481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77.443000355728714</v>
      </c>
      <c r="BQ122" s="21">
        <f>EXP(-LN(2)/25)*BQ121+(1-EXP(-LN(2)/25))/(LN(2)/25)*Calculateur!BL122*Calculateur!BN122*VLOOKUP('Données projet'!$B$11,Paramètres!$A$1:$I$89,3,0)*0.475*44/12</f>
        <v>16.465390057028522</v>
      </c>
      <c r="BR122" s="21">
        <f>EXP(-LN(2)/2)*BR121+(1-EXP(-LN(2)/2))/(LN(2)/2)*BL122*BO122*VLOOKUP('Données projet'!$B$11,Paramètres!$A$1:$I$89,3,0)*0.475*44/12</f>
        <v>6.7894508486255542E-2</v>
      </c>
      <c r="BS122" s="22">
        <f t="shared" si="63"/>
        <v>93.97628492124349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735.00000000000011</v>
      </c>
      <c r="BZ122" s="13">
        <f>BY122*VLOOKUP('Données projet'!$B$12,Paramètres!$A$1:$I$89,3,0)*VLOOKUP('Données projet'!$B$12,Paramètres!$A$1:$I$89,5,0)</f>
        <v>296.20500000000004</v>
      </c>
      <c r="CA122" s="13">
        <f t="shared" si="93"/>
        <v>70.380297204000939</v>
      </c>
      <c r="CB122" s="20">
        <f t="shared" si="64"/>
        <v>638.46939263030174</v>
      </c>
      <c r="CC122" s="59">
        <f t="shared" si="65"/>
        <v>931.80272596363511</v>
      </c>
      <c r="CD122" s="59">
        <f ca="1">AVERAGE(OFFSET($CC$3,0,0,'Données projet'!$E$12+1,1))-AVERAGE(OFFSET($H$3,0,0,'Données projet'!$E$12+1,1))</f>
        <v>291.0962681460345</v>
      </c>
      <c r="CE122" s="59">
        <f t="shared" si="94"/>
        <v>240.28311826371385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23.900695221629512</v>
      </c>
      <c r="CL122" s="21">
        <f>EXP(-LN(2)/25)*CL121+(1-EXP(-LN(2)/25))/(LN(2)/25)*Calculateur!CG122*Calculateur!CI122*VLOOKUP('Données projet'!$B$12,Paramètres!$A$1:$I$89,3,0)*0.475*44/12</f>
        <v>7.4123943870860494</v>
      </c>
      <c r="CM122" s="21">
        <f>EXP(-LN(2)/2)*CM121+(1-EXP(-LN(2)/2))/(LN(2)/2)*CG122*CJ122*VLOOKUP('Données projet'!$B$12,Paramètres!$A$1:$I$89,3,0)*0.475*44/12</f>
        <v>8.1882798436045675E-7</v>
      </c>
      <c r="CN122" s="22">
        <f t="shared" si="66"/>
        <v>31.313090427543546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-5.3205440053716299E-14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225.92546546283018</v>
      </c>
      <c r="CZ122" s="59">
        <f t="shared" si="96"/>
        <v>309.38786160614563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27.996550449871634</v>
      </c>
      <c r="DG122" s="21">
        <f>EXP(-LN(2)/25)*DG121+(1-EXP(-LN(2)/25))/(LN(2)/25)*Calculateur!DB122*Calculateur!DD122*VLOOKUP('Données projet'!$B$13,Paramètres!$A$1:$I$89,3,0)*0.475*44/12</f>
        <v>17.048468124297411</v>
      </c>
      <c r="DH122" s="21">
        <f>EXP(-LN(2)/2)*DH121+(1-EXP(-LN(2)/2))/(LN(2)/2)*DB122*DE122*VLOOKUP('Données projet'!$B$13,Paramètres!$A$1:$I$89,3,0)*0.475*44/12</f>
        <v>9.6814715543648399E-14</v>
      </c>
      <c r="DI122" s="22">
        <f t="shared" si="69"/>
        <v>45.045018574169148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168</v>
      </c>
      <c r="DP122" s="17">
        <f>DO122*VLOOKUP('Données projet'!$B$14,Paramètres!$A$1:$I$89,3,0)*VLOOKUP('Données projet'!$B$14,Paramètres!$A$1:$I$89,5,0)</f>
        <v>146.76480000000004</v>
      </c>
      <c r="DQ122" s="13">
        <f t="shared" si="97"/>
        <v>37.842444439956665</v>
      </c>
      <c r="DR122" s="20">
        <f t="shared" si="70"/>
        <v>321.52428406625791</v>
      </c>
      <c r="DS122" s="59">
        <f t="shared" si="71"/>
        <v>614.85761739959116</v>
      </c>
      <c r="DT122" s="59">
        <f ca="1">AVERAGE(OFFSET($DS$3,0,0,'Données projet'!$E$14+1,1))-AVERAGE(OFFSET($H$3,0,0,'Données projet'!$E$14+1,1))</f>
        <v>150.06600397498823</v>
      </c>
      <c r="DU122" s="59">
        <f t="shared" si="98"/>
        <v>170.53034305929714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3.3815537363280668</v>
      </c>
      <c r="EB122" s="21">
        <f>EXP(-LN(2)/25)*EB121+(1-EXP(-LN(2)/25))/(LN(2)/25)*Calculateur!DW122*Calculateur!DY122*VLOOKUP('Données projet'!$B$14,Paramètres!$A$1:$I$89,3,0)*0.475*44/12</f>
        <v>5.1001648974885256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8.4817186338165929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294.94285920643927</v>
      </c>
      <c r="T123" s="59">
        <f t="shared" si="88"/>
        <v>399.89535338426606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42.038967685322874</v>
      </c>
      <c r="AA123" s="21">
        <f>EXP(-LN(2)/25)*AA122+(1-EXP(-LN(2)/25))/(LN(2)/25)*Calculateur!V123*Calculateur!X123*VLOOKUP('Données projet'!$B$9,Paramètres!$A$1:$I$89,3,0)*0.475*44/12</f>
        <v>26.117833354882169</v>
      </c>
      <c r="AB123" s="21">
        <f>EXP(-LN(2)/2)*AB122+(1-EXP(-LN(2)/2))/(LN(2)/2)*V123*Y123*VLOOKUP('Données projet'!$B$9,Paramètres!$A$1:$I$89,3,0)*0.475*44/12</f>
        <v>2.4657733436318957E-13</v>
      </c>
      <c r="AC123" s="22">
        <f t="shared" si="57"/>
        <v>68.156801040205281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-1.0197709343628959E-13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200.14675249215634</v>
      </c>
      <c r="AO123" s="59">
        <f t="shared" si="90"/>
        <v>200.55017434999968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39.533230339949924</v>
      </c>
      <c r="AV123" s="21">
        <f>EXP(-LN(2)/25)*AV122+(1-EXP(-LN(2)/25))/(LN(2)/25)*Calculateur!AQ123*Calculateur!AS123*VLOOKUP('Données projet'!$B$10,Paramètres!$A$1:$I$89,3,0)*0.475*44/12</f>
        <v>6.8469053347914244</v>
      </c>
      <c r="AW123" s="21">
        <f>EXP(-LN(2)/2)*AW122+(1-EXP(-LN(2)/2))/(LN(2)/2)*AQ123*AT123*VLOOKUP('Données projet'!$B$10,Paramètres!$A$1:$I$89,3,0)*0.475*44/12</f>
        <v>2.9767722347731072E-8</v>
      </c>
      <c r="AX123" s="21">
        <f t="shared" si="60"/>
        <v>46.380135704509065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-1.4210854715202004E-13</v>
      </c>
      <c r="BE123" s="13">
        <f>BD123*VLOOKUP('Données projet'!$B$11,Paramètres!$A$1:$I$89,3,0)*VLOOKUP('Données projet'!$B$11,Paramètres!$A$1:$I$89,5,0)</f>
        <v>-8.128608897095547E-14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182.46132340647313</v>
      </c>
      <c r="BJ123" s="59">
        <f t="shared" si="92"/>
        <v>130.51706975490481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75.924390354318959</v>
      </c>
      <c r="BQ123" s="21">
        <f>EXP(-LN(2)/25)*BQ122+(1-EXP(-LN(2)/25))/(LN(2)/25)*Calculateur!BL123*Calculateur!BN123*VLOOKUP('Données projet'!$B$11,Paramètres!$A$1:$I$89,3,0)*0.475*44/12</f>
        <v>16.015143100041847</v>
      </c>
      <c r="BR123" s="21">
        <f>EXP(-LN(2)/2)*BR122+(1-EXP(-LN(2)/2))/(LN(2)/2)*BL123*BO123*VLOOKUP('Données projet'!$B$11,Paramètres!$A$1:$I$89,3,0)*0.475*44/12</f>
        <v>4.8008667355958892E-2</v>
      </c>
      <c r="BS123" s="22">
        <f t="shared" si="63"/>
        <v>91.987542121716757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735.00000000000011</v>
      </c>
      <c r="BZ123" s="13">
        <f>BY123*VLOOKUP('Données projet'!$B$12,Paramètres!$A$1:$I$89,3,0)*VLOOKUP('Données projet'!$B$12,Paramètres!$A$1:$I$89,5,0)</f>
        <v>296.20500000000004</v>
      </c>
      <c r="CA123" s="13">
        <f t="shared" si="93"/>
        <v>70.380297204000939</v>
      </c>
      <c r="CB123" s="20">
        <f t="shared" si="64"/>
        <v>638.46939263030174</v>
      </c>
      <c r="CC123" s="59">
        <f t="shared" si="65"/>
        <v>931.80272596363511</v>
      </c>
      <c r="CD123" s="59">
        <f ca="1">AVERAGE(OFFSET($CC$3,0,0,'Données projet'!$E$12+1,1))-AVERAGE(OFFSET($H$3,0,0,'Données projet'!$E$12+1,1))</f>
        <v>291.0962681460345</v>
      </c>
      <c r="CE123" s="59">
        <f t="shared" si="94"/>
        <v>240.28311826371385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23.432017166317987</v>
      </c>
      <c r="CL123" s="21">
        <f>EXP(-LN(2)/25)*CL122+(1-EXP(-LN(2)/25))/(LN(2)/25)*Calculateur!CG123*Calculateur!CI123*VLOOKUP('Données projet'!$B$12,Paramètres!$A$1:$I$89,3,0)*0.475*44/12</f>
        <v>7.2097020727703018</v>
      </c>
      <c r="CM123" s="21">
        <f>EXP(-LN(2)/2)*CM122+(1-EXP(-LN(2)/2))/(LN(2)/2)*CG123*CJ123*VLOOKUP('Données projet'!$B$12,Paramètres!$A$1:$I$89,3,0)*0.475*44/12</f>
        <v>5.7899882036659124E-7</v>
      </c>
      <c r="CN123" s="22">
        <f t="shared" si="66"/>
        <v>30.641719818087108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-5.3205440053716299E-14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225.92546546283018</v>
      </c>
      <c r="CZ123" s="59">
        <f t="shared" si="96"/>
        <v>309.38786160614563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27.447555171759291</v>
      </c>
      <c r="DG123" s="21">
        <f>EXP(-LN(2)/25)*DG122+(1-EXP(-LN(2)/25))/(LN(2)/25)*Calculateur!DB123*Calculateur!DD123*VLOOKUP('Données projet'!$B$13,Paramètres!$A$1:$I$89,3,0)*0.475*44/12</f>
        <v>16.582276866898525</v>
      </c>
      <c r="DH123" s="21">
        <f>EXP(-LN(2)/2)*DH122+(1-EXP(-LN(2)/2))/(LN(2)/2)*DB123*DE123*VLOOKUP('Données projet'!$B$13,Paramètres!$A$1:$I$89,3,0)*0.475*44/12</f>
        <v>6.8458341879560429E-14</v>
      </c>
      <c r="DI123" s="22">
        <f t="shared" si="69"/>
        <v>44.029832038657887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168</v>
      </c>
      <c r="DP123" s="17">
        <f>DO123*VLOOKUP('Données projet'!$B$14,Paramètres!$A$1:$I$89,3,0)*VLOOKUP('Données projet'!$B$14,Paramètres!$A$1:$I$89,5,0)</f>
        <v>146.76480000000004</v>
      </c>
      <c r="DQ123" s="13">
        <f t="shared" si="97"/>
        <v>37.842444439956665</v>
      </c>
      <c r="DR123" s="20">
        <f t="shared" si="70"/>
        <v>321.52428406625791</v>
      </c>
      <c r="DS123" s="59">
        <f t="shared" si="71"/>
        <v>614.85761739959116</v>
      </c>
      <c r="DT123" s="59">
        <f ca="1">AVERAGE(OFFSET($DS$3,0,0,'Données projet'!$E$14+1,1))-AVERAGE(OFFSET($H$3,0,0,'Données projet'!$E$14+1,1))</f>
        <v>150.06600397498823</v>
      </c>
      <c r="DU123" s="59">
        <f t="shared" si="98"/>
        <v>170.53034305929714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3.3152435301027934</v>
      </c>
      <c r="EB123" s="21">
        <f>EXP(-LN(2)/25)*EB122+(1-EXP(-LN(2)/25))/(LN(2)/25)*Calculateur!DW123*Calculateur!DY123*VLOOKUP('Données projet'!$B$14,Paramètres!$A$1:$I$89,3,0)*0.475*44/12</f>
        <v>4.9607006201606865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8.2759441502634807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294.94285920643927</v>
      </c>
      <c r="T124" s="59">
        <f t="shared" si="88"/>
        <v>399.89535338426606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41.214609170252118</v>
      </c>
      <c r="AA124" s="21">
        <f>EXP(-LN(2)/25)*AA123+(1-EXP(-LN(2)/25))/(LN(2)/25)*Calculateur!V124*Calculateur!X124*VLOOKUP('Données projet'!$B$9,Paramètres!$A$1:$I$89,3,0)*0.475*44/12</f>
        <v>25.403639828315754</v>
      </c>
      <c r="AB124" s="21">
        <f>EXP(-LN(2)/2)*AB123+(1-EXP(-LN(2)/2))/(LN(2)/2)*V124*Y124*VLOOKUP('Données projet'!$B$9,Paramètres!$A$1:$I$89,3,0)*0.475*44/12</f>
        <v>1.7435650521511406E-13</v>
      </c>
      <c r="AC124" s="22">
        <f t="shared" si="57"/>
        <v>66.618248998568049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-1.0197709343628959E-13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200.14675249215634</v>
      </c>
      <c r="AO124" s="59">
        <f t="shared" si="90"/>
        <v>200.55017434999968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38.758007805873063</v>
      </c>
      <c r="AV124" s="21">
        <f>EXP(-LN(2)/25)*AV123+(1-EXP(-LN(2)/25))/(LN(2)/25)*Calculateur!AQ124*Calculateur!AS124*VLOOKUP('Données projet'!$B$10,Paramètres!$A$1:$I$89,3,0)*0.475*44/12</f>
        <v>6.6596763483484498</v>
      </c>
      <c r="AW124" s="21">
        <f>EXP(-LN(2)/2)*AW123+(1-EXP(-LN(2)/2))/(LN(2)/2)*AQ124*AT124*VLOOKUP('Données projet'!$B$10,Paramètres!$A$1:$I$89,3,0)*0.475*44/12</f>
        <v>2.1048958332558977E-8</v>
      </c>
      <c r="AX124" s="21">
        <f t="shared" si="60"/>
        <v>45.417684175270473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-1.4210854715202004E-13</v>
      </c>
      <c r="BE124" s="13">
        <f>BD124*VLOOKUP('Données projet'!$B$11,Paramètres!$A$1:$I$89,3,0)*VLOOKUP('Données projet'!$B$11,Paramètres!$A$1:$I$89,5,0)</f>
        <v>-8.128608897095547E-14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182.46132340647313</v>
      </c>
      <c r="BJ124" s="59">
        <f t="shared" si="92"/>
        <v>130.51706975490481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74.435559368776211</v>
      </c>
      <c r="BQ124" s="21">
        <f>EXP(-LN(2)/25)*BQ123+(1-EXP(-LN(2)/25))/(LN(2)/25)*Calculateur!BL124*Calculateur!BN124*VLOOKUP('Données projet'!$B$11,Paramètres!$A$1:$I$89,3,0)*0.475*44/12</f>
        <v>15.57720816977143</v>
      </c>
      <c r="BR124" s="21">
        <f>EXP(-LN(2)/2)*BR123+(1-EXP(-LN(2)/2))/(LN(2)/2)*BL124*BO124*VLOOKUP('Données projet'!$B$11,Paramètres!$A$1:$I$89,3,0)*0.475*44/12</f>
        <v>3.3947254243127771E-2</v>
      </c>
      <c r="BS124" s="22">
        <f t="shared" si="63"/>
        <v>90.046714792790766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735.00000000000011</v>
      </c>
      <c r="BZ124" s="13">
        <f>BY124*VLOOKUP('Données projet'!$B$12,Paramètres!$A$1:$I$89,3,0)*VLOOKUP('Données projet'!$B$12,Paramètres!$A$1:$I$89,5,0)</f>
        <v>296.20500000000004</v>
      </c>
      <c r="CA124" s="13">
        <f t="shared" si="93"/>
        <v>70.380297204000939</v>
      </c>
      <c r="CB124" s="20">
        <f t="shared" si="64"/>
        <v>638.46939263030174</v>
      </c>
      <c r="CC124" s="59">
        <f t="shared" si="65"/>
        <v>931.80272596363511</v>
      </c>
      <c r="CD124" s="59">
        <f ca="1">AVERAGE(OFFSET($CC$3,0,0,'Données projet'!$E$12+1,1))-AVERAGE(OFFSET($H$3,0,0,'Données projet'!$E$12+1,1))</f>
        <v>291.0962681460345</v>
      </c>
      <c r="CE124" s="59">
        <f t="shared" si="94"/>
        <v>240.28311826371385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22.972529601805732</v>
      </c>
      <c r="CL124" s="21">
        <f>EXP(-LN(2)/25)*CL123+(1-EXP(-LN(2)/25))/(LN(2)/25)*Calculateur!CG124*Calculateur!CI124*VLOOKUP('Données projet'!$B$12,Paramètres!$A$1:$I$89,3,0)*0.475*44/12</f>
        <v>7.0125523904486435</v>
      </c>
      <c r="CM124" s="21">
        <f>EXP(-LN(2)/2)*CM123+(1-EXP(-LN(2)/2))/(LN(2)/2)*CG124*CJ124*VLOOKUP('Données projet'!$B$12,Paramètres!$A$1:$I$89,3,0)*0.475*44/12</f>
        <v>4.0941399218022838E-7</v>
      </c>
      <c r="CN124" s="22">
        <f t="shared" si="66"/>
        <v>29.985082401668368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-5.3205440053716299E-14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225.92546546283018</v>
      </c>
      <c r="CZ124" s="59">
        <f t="shared" si="96"/>
        <v>309.38786160614563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26.909325356196675</v>
      </c>
      <c r="DG124" s="21">
        <f>EXP(-LN(2)/25)*DG123+(1-EXP(-LN(2)/25))/(LN(2)/25)*Calculateur!DB124*Calculateur!DD124*VLOOKUP('Données projet'!$B$13,Paramètres!$A$1:$I$89,3,0)*0.475*44/12</f>
        <v>16.128833633949142</v>
      </c>
      <c r="DH124" s="21">
        <f>EXP(-LN(2)/2)*DH123+(1-EXP(-LN(2)/2))/(LN(2)/2)*DB124*DE124*VLOOKUP('Données projet'!$B$13,Paramètres!$A$1:$I$89,3,0)*0.475*44/12</f>
        <v>4.84073577718242E-14</v>
      </c>
      <c r="DI124" s="22">
        <f t="shared" si="69"/>
        <v>43.038158990145867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168</v>
      </c>
      <c r="DP124" s="17">
        <f>DO124*VLOOKUP('Données projet'!$B$14,Paramètres!$A$1:$I$89,3,0)*VLOOKUP('Données projet'!$B$14,Paramètres!$A$1:$I$89,5,0)</f>
        <v>146.76480000000004</v>
      </c>
      <c r="DQ124" s="13">
        <f t="shared" si="97"/>
        <v>37.842444439956665</v>
      </c>
      <c r="DR124" s="20">
        <f t="shared" si="70"/>
        <v>321.52428406625791</v>
      </c>
      <c r="DS124" s="59">
        <f t="shared" si="71"/>
        <v>614.85761739959116</v>
      </c>
      <c r="DT124" s="59">
        <f ca="1">AVERAGE(OFFSET($DS$3,0,0,'Données projet'!$E$14+1,1))-AVERAGE(OFFSET($H$3,0,0,'Données projet'!$E$14+1,1))</f>
        <v>150.06600397498823</v>
      </c>
      <c r="DU124" s="59">
        <f t="shared" si="98"/>
        <v>170.53034305929714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3.2502336265763652</v>
      </c>
      <c r="EB124" s="21">
        <f>EXP(-LN(2)/25)*EB123+(1-EXP(-LN(2)/25))/(LN(2)/25)*Calculateur!DW124*Calculateur!DY124*VLOOKUP('Données projet'!$B$14,Paramètres!$A$1:$I$89,3,0)*0.475*44/12</f>
        <v>4.8250500008304851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8.0752836274068507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294.94285920643927</v>
      </c>
      <c r="T125" s="59">
        <f t="shared" si="88"/>
        <v>399.89535338426606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40.406415822852857</v>
      </c>
      <c r="AA125" s="21">
        <f>EXP(-LN(2)/25)*AA124+(1-EXP(-LN(2)/25))/(LN(2)/25)*Calculateur!V125*Calculateur!X125*VLOOKUP('Données projet'!$B$9,Paramètres!$A$1:$I$89,3,0)*0.475*44/12</f>
        <v>24.708975961291102</v>
      </c>
      <c r="AB125" s="21">
        <f>EXP(-LN(2)/2)*AB124+(1-EXP(-LN(2)/2))/(LN(2)/2)*V125*Y125*VLOOKUP('Données projet'!$B$9,Paramètres!$A$1:$I$89,3,0)*0.475*44/12</f>
        <v>1.2328866718159479E-13</v>
      </c>
      <c r="AC125" s="22">
        <f t="shared" si="57"/>
        <v>65.11539178414408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-1.0197709343628959E-13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200.14675249215634</v>
      </c>
      <c r="AO125" s="59">
        <f t="shared" si="90"/>
        <v>200.55017434999968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37.997986912850394</v>
      </c>
      <c r="AV125" s="21">
        <f>EXP(-LN(2)/25)*AV124+(1-EXP(-LN(2)/25))/(LN(2)/25)*Calculateur!AQ125*Calculateur!AS125*VLOOKUP('Données projet'!$B$10,Paramètres!$A$1:$I$89,3,0)*0.475*44/12</f>
        <v>6.4775671483857034</v>
      </c>
      <c r="AW125" s="21">
        <f>EXP(-LN(2)/2)*AW124+(1-EXP(-LN(2)/2))/(LN(2)/2)*AQ125*AT125*VLOOKUP('Données projet'!$B$10,Paramètres!$A$1:$I$89,3,0)*0.475*44/12</f>
        <v>1.4883861173865538E-8</v>
      </c>
      <c r="AX125" s="21">
        <f t="shared" si="60"/>
        <v>44.475554076119955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-1.4210854715202004E-13</v>
      </c>
      <c r="BE125" s="13">
        <f>BD125*VLOOKUP('Données projet'!$B$11,Paramètres!$A$1:$I$89,3,0)*VLOOKUP('Données projet'!$B$11,Paramètres!$A$1:$I$89,5,0)</f>
        <v>-8.128608897095547E-14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182.46132340647313</v>
      </c>
      <c r="BJ125" s="59">
        <f t="shared" si="92"/>
        <v>130.51706975490481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72.975923450762721</v>
      </c>
      <c r="BQ125" s="21">
        <f>EXP(-LN(2)/25)*BQ124+(1-EXP(-LN(2)/25))/(LN(2)/25)*Calculateur!BL125*Calculateur!BN125*VLOOKUP('Données projet'!$B$11,Paramètres!$A$1:$I$89,3,0)*0.475*44/12</f>
        <v>15.151248593199254</v>
      </c>
      <c r="BR125" s="21">
        <f>EXP(-LN(2)/2)*BR124+(1-EXP(-LN(2)/2))/(LN(2)/2)*BL125*BO125*VLOOKUP('Données projet'!$B$11,Paramètres!$A$1:$I$89,3,0)*0.475*44/12</f>
        <v>2.4004333677979446E-2</v>
      </c>
      <c r="BS125" s="22">
        <f t="shared" si="63"/>
        <v>88.151176377639956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735.00000000000011</v>
      </c>
      <c r="BZ125" s="13">
        <f>BY125*VLOOKUP('Données projet'!$B$12,Paramètres!$A$1:$I$89,3,0)*VLOOKUP('Données projet'!$B$12,Paramètres!$A$1:$I$89,5,0)</f>
        <v>296.20500000000004</v>
      </c>
      <c r="CA125" s="13">
        <f t="shared" si="93"/>
        <v>70.380297204000939</v>
      </c>
      <c r="CB125" s="20">
        <f t="shared" si="64"/>
        <v>638.46939263030174</v>
      </c>
      <c r="CC125" s="59">
        <f t="shared" si="65"/>
        <v>931.80272596363511</v>
      </c>
      <c r="CD125" s="59">
        <f ca="1">AVERAGE(OFFSET($CC$3,0,0,'Données projet'!$E$12+1,1))-AVERAGE(OFFSET($H$3,0,0,'Données projet'!$E$12+1,1))</f>
        <v>291.0962681460345</v>
      </c>
      <c r="CE125" s="59">
        <f t="shared" si="94"/>
        <v>240.28311826371385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22.522052308173823</v>
      </c>
      <c r="CL125" s="21">
        <f>EXP(-LN(2)/25)*CL124+(1-EXP(-LN(2)/25))/(LN(2)/25)*Calculateur!CG125*Calculateur!CI125*VLOOKUP('Données projet'!$B$12,Paramètres!$A$1:$I$89,3,0)*0.475*44/12</f>
        <v>6.8207937765577222</v>
      </c>
      <c r="CM125" s="21">
        <f>EXP(-LN(2)/2)*CM124+(1-EXP(-LN(2)/2))/(LN(2)/2)*CG125*CJ125*VLOOKUP('Données projet'!$B$12,Paramètres!$A$1:$I$89,3,0)*0.475*44/12</f>
        <v>2.8949941018329562E-7</v>
      </c>
      <c r="CN125" s="22">
        <f t="shared" si="66"/>
        <v>29.342846374230955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-5.3205440053716299E-14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225.92546546283018</v>
      </c>
      <c r="CZ125" s="59">
        <f t="shared" si="96"/>
        <v>309.38786160614563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26.381649899029469</v>
      </c>
      <c r="DG125" s="21">
        <f>EXP(-LN(2)/25)*DG124+(1-EXP(-LN(2)/25))/(LN(2)/25)*Calculateur!DB125*Calculateur!DD125*VLOOKUP('Données projet'!$B$13,Paramètres!$A$1:$I$89,3,0)*0.475*44/12</f>
        <v>15.687789830050304</v>
      </c>
      <c r="DH125" s="21">
        <f>EXP(-LN(2)/2)*DH124+(1-EXP(-LN(2)/2))/(LN(2)/2)*DB125*DE125*VLOOKUP('Données projet'!$B$13,Paramètres!$A$1:$I$89,3,0)*0.475*44/12</f>
        <v>3.4229170939780215E-14</v>
      </c>
      <c r="DI125" s="22">
        <f t="shared" si="69"/>
        <v>42.069439729079811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168</v>
      </c>
      <c r="DP125" s="17">
        <f>DO125*VLOOKUP('Données projet'!$B$14,Paramètres!$A$1:$I$89,3,0)*VLOOKUP('Données projet'!$B$14,Paramètres!$A$1:$I$89,5,0)</f>
        <v>146.76480000000004</v>
      </c>
      <c r="DQ125" s="13">
        <f t="shared" si="97"/>
        <v>37.842444439956665</v>
      </c>
      <c r="DR125" s="20">
        <f t="shared" si="70"/>
        <v>321.52428406625791</v>
      </c>
      <c r="DS125" s="59">
        <f t="shared" si="71"/>
        <v>614.85761739959116</v>
      </c>
      <c r="DT125" s="59">
        <f ca="1">AVERAGE(OFFSET($DS$3,0,0,'Données projet'!$E$14+1,1))-AVERAGE(OFFSET($H$3,0,0,'Données projet'!$E$14+1,1))</f>
        <v>150.06600397498823</v>
      </c>
      <c r="DU125" s="59">
        <f t="shared" si="98"/>
        <v>170.53034305929714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3.1864985276059645</v>
      </c>
      <c r="EB125" s="21">
        <f>EXP(-LN(2)/25)*EB124+(1-EXP(-LN(2)/25))/(LN(2)/25)*Calculateur!DW125*Calculateur!DY125*VLOOKUP('Données projet'!$B$14,Paramètres!$A$1:$I$89,3,0)*0.475*44/12</f>
        <v>4.6931087548194235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7.879607282425388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294.94285920643927</v>
      </c>
      <c r="T126" s="59">
        <f t="shared" si="88"/>
        <v>399.89535338426606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39.614070654046827</v>
      </c>
      <c r="AA126" s="21">
        <f>EXP(-LN(2)/25)*AA125+(1-EXP(-LN(2)/25))/(LN(2)/25)*Calculateur!V126*Calculateur!X126*VLOOKUP('Données projet'!$B$9,Paramètres!$A$1:$I$89,3,0)*0.475*44/12</f>
        <v>24.033307714241026</v>
      </c>
      <c r="AB126" s="21">
        <f>EXP(-LN(2)/2)*AB125+(1-EXP(-LN(2)/2))/(LN(2)/2)*V126*Y126*VLOOKUP('Données projet'!$B$9,Paramètres!$A$1:$I$89,3,0)*0.475*44/12</f>
        <v>8.7178252607557028E-14</v>
      </c>
      <c r="AC126" s="22">
        <f t="shared" si="57"/>
        <v>63.647378368287939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-1.0197709343628959E-13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200.14675249215634</v>
      </c>
      <c r="AO126" s="59">
        <f t="shared" si="90"/>
        <v>200.55017434999968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37.252869565972929</v>
      </c>
      <c r="AV126" s="21">
        <f>EXP(-LN(2)/25)*AV125+(1-EXP(-LN(2)/25))/(LN(2)/25)*Calculateur!AQ126*Calculateur!AS126*VLOOKUP('Données projet'!$B$10,Paramètres!$A$1:$I$89,3,0)*0.475*44/12</f>
        <v>6.300437734072645</v>
      </c>
      <c r="AW126" s="21">
        <f>EXP(-LN(2)/2)*AW125+(1-EXP(-LN(2)/2))/(LN(2)/2)*AQ126*AT126*VLOOKUP('Données projet'!$B$10,Paramètres!$A$1:$I$89,3,0)*0.475*44/12</f>
        <v>1.052447916627949E-8</v>
      </c>
      <c r="AX126" s="21">
        <f t="shared" si="60"/>
        <v>43.553307310570055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-1.4210854715202004E-13</v>
      </c>
      <c r="BE126" s="13">
        <f>BD126*VLOOKUP('Données projet'!$B$11,Paramètres!$A$1:$I$89,3,0)*VLOOKUP('Données projet'!$B$11,Paramètres!$A$1:$I$89,5,0)</f>
        <v>-8.128608897095547E-14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182.46132340647313</v>
      </c>
      <c r="BJ126" s="59">
        <f t="shared" si="92"/>
        <v>130.51706975490481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71.544910102811485</v>
      </c>
      <c r="BQ126" s="21">
        <f>EXP(-LN(2)/25)*BQ125+(1-EXP(-LN(2)/25))/(LN(2)/25)*Calculateur!BL126*Calculateur!BN126*VLOOKUP('Données projet'!$B$11,Paramètres!$A$1:$I$89,3,0)*0.475*44/12</f>
        <v>14.736936903648685</v>
      </c>
      <c r="BR126" s="21">
        <f>EXP(-LN(2)/2)*BR125+(1-EXP(-LN(2)/2))/(LN(2)/2)*BL126*BO126*VLOOKUP('Données projet'!$B$11,Paramètres!$A$1:$I$89,3,0)*0.475*44/12</f>
        <v>1.6973627121563886E-2</v>
      </c>
      <c r="BS126" s="22">
        <f t="shared" si="63"/>
        <v>86.298820633581727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735.00000000000011</v>
      </c>
      <c r="BZ126" s="13">
        <f>BY126*VLOOKUP('Données projet'!$B$12,Paramètres!$A$1:$I$89,3,0)*VLOOKUP('Données projet'!$B$12,Paramètres!$A$1:$I$89,5,0)</f>
        <v>296.20500000000004</v>
      </c>
      <c r="CA126" s="13">
        <f t="shared" si="93"/>
        <v>70.380297204000939</v>
      </c>
      <c r="CB126" s="20">
        <f t="shared" si="64"/>
        <v>638.46939263030174</v>
      </c>
      <c r="CC126" s="59">
        <f t="shared" si="65"/>
        <v>931.80272596363511</v>
      </c>
      <c r="CD126" s="59">
        <f ca="1">AVERAGE(OFFSET($CC$3,0,0,'Données projet'!$E$12+1,1))-AVERAGE(OFFSET($H$3,0,0,'Données projet'!$E$12+1,1))</f>
        <v>291.0962681460345</v>
      </c>
      <c r="CE126" s="59">
        <f t="shared" si="94"/>
        <v>240.28311826371385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22.080408599506018</v>
      </c>
      <c r="CL126" s="21">
        <f>EXP(-LN(2)/25)*CL125+(1-EXP(-LN(2)/25))/(LN(2)/25)*Calculateur!CG126*Calculateur!CI126*VLOOKUP('Données projet'!$B$12,Paramètres!$A$1:$I$89,3,0)*0.475*44/12</f>
        <v>6.6342788120477953</v>
      </c>
      <c r="CM126" s="21">
        <f>EXP(-LN(2)/2)*CM125+(1-EXP(-LN(2)/2))/(LN(2)/2)*CG126*CJ126*VLOOKUP('Données projet'!$B$12,Paramètres!$A$1:$I$89,3,0)*0.475*44/12</f>
        <v>2.0470699609011419E-7</v>
      </c>
      <c r="CN126" s="22">
        <f t="shared" si="66"/>
        <v>28.714687616260811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-5.3205440053716299E-14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225.92546546283018</v>
      </c>
      <c r="CZ126" s="59">
        <f t="shared" si="96"/>
        <v>309.38786160614563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25.864321835727065</v>
      </c>
      <c r="DG126" s="21">
        <f>EXP(-LN(2)/25)*DG125+(1-EXP(-LN(2)/25))/(LN(2)/25)*Calculateur!DB126*Calculateur!DD126*VLOOKUP('Données projet'!$B$13,Paramètres!$A$1:$I$89,3,0)*0.475*44/12</f>
        <v>15.258806392162567</v>
      </c>
      <c r="DH126" s="21">
        <f>EXP(-LN(2)/2)*DH125+(1-EXP(-LN(2)/2))/(LN(2)/2)*DB126*DE126*VLOOKUP('Données projet'!$B$13,Paramètres!$A$1:$I$89,3,0)*0.475*44/12</f>
        <v>2.42036788859121E-14</v>
      </c>
      <c r="DI126" s="22">
        <f t="shared" si="69"/>
        <v>41.123128227889651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168</v>
      </c>
      <c r="DP126" s="17">
        <f>DO126*VLOOKUP('Données projet'!$B$14,Paramètres!$A$1:$I$89,3,0)*VLOOKUP('Données projet'!$B$14,Paramètres!$A$1:$I$89,5,0)</f>
        <v>146.76480000000004</v>
      </c>
      <c r="DQ126" s="13">
        <f t="shared" si="97"/>
        <v>37.842444439956665</v>
      </c>
      <c r="DR126" s="20">
        <f t="shared" si="70"/>
        <v>321.52428406625791</v>
      </c>
      <c r="DS126" s="59">
        <f t="shared" si="71"/>
        <v>614.85761739959116</v>
      </c>
      <c r="DT126" s="59">
        <f ca="1">AVERAGE(OFFSET($DS$3,0,0,'Données projet'!$E$14+1,1))-AVERAGE(OFFSET($H$3,0,0,'Données projet'!$E$14+1,1))</f>
        <v>150.06600397498823</v>
      </c>
      <c r="DU126" s="59">
        <f t="shared" si="98"/>
        <v>170.53034305929714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3.1240132350518017</v>
      </c>
      <c r="EB126" s="21">
        <f>EXP(-LN(2)/25)*EB125+(1-EXP(-LN(2)/25))/(LN(2)/25)*Calculateur!DW126*Calculateur!DY126*VLOOKUP('Données projet'!$B$14,Paramètres!$A$1:$I$89,3,0)*0.475*44/12</f>
        <v>4.5647754491190229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7.6887886841708246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294.94285920643927</v>
      </c>
      <c r="T127" s="59">
        <f t="shared" si="88"/>
        <v>399.89535338426606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38.83726289071825</v>
      </c>
      <c r="AA127" s="21">
        <f>EXP(-LN(2)/25)*AA126+(1-EXP(-LN(2)/25))/(LN(2)/25)*Calculateur!V127*Calculateur!X127*VLOOKUP('Données projet'!$B$9,Paramètres!$A$1:$I$89,3,0)*0.475*44/12</f>
        <v>23.376115650938381</v>
      </c>
      <c r="AB127" s="21">
        <f>EXP(-LN(2)/2)*AB126+(1-EXP(-LN(2)/2))/(LN(2)/2)*V127*Y127*VLOOKUP('Données projet'!$B$9,Paramètres!$A$1:$I$89,3,0)*0.475*44/12</f>
        <v>6.1644333590797394E-14</v>
      </c>
      <c r="AC127" s="22">
        <f t="shared" si="57"/>
        <v>62.213378541656695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-1.0197709343628959E-13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200.14675249215634</v>
      </c>
      <c r="AO127" s="59">
        <f t="shared" si="90"/>
        <v>200.55017434999968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36.522363515791021</v>
      </c>
      <c r="AV127" s="21">
        <f>EXP(-LN(2)/25)*AV126+(1-EXP(-LN(2)/25))/(LN(2)/25)*Calculateur!AQ127*Calculateur!AS127*VLOOKUP('Données projet'!$B$10,Paramètres!$A$1:$I$89,3,0)*0.475*44/12</f>
        <v>6.1281519329088079</v>
      </c>
      <c r="AW127" s="21">
        <f>EXP(-LN(2)/2)*AW126+(1-EXP(-LN(2)/2))/(LN(2)/2)*AQ127*AT127*VLOOKUP('Données projet'!$B$10,Paramètres!$A$1:$I$89,3,0)*0.475*44/12</f>
        <v>7.4419305869327706E-9</v>
      </c>
      <c r="AX127" s="21">
        <f t="shared" si="60"/>
        <v>42.650515456141761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-1.4210854715202004E-13</v>
      </c>
      <c r="BE127" s="13">
        <f>BD127*VLOOKUP('Données projet'!$B$11,Paramètres!$A$1:$I$89,3,0)*VLOOKUP('Données projet'!$B$11,Paramètres!$A$1:$I$89,5,0)</f>
        <v>-8.128608897095547E-14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182.46132340647313</v>
      </c>
      <c r="BJ127" s="59">
        <f t="shared" si="92"/>
        <v>130.51706975490481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70.141958053781607</v>
      </c>
      <c r="BQ127" s="21">
        <f>EXP(-LN(2)/25)*BQ126+(1-EXP(-LN(2)/25))/(LN(2)/25)*Calculateur!BL127*Calculateur!BN127*VLOOKUP('Données projet'!$B$11,Paramètres!$A$1:$I$89,3,0)*0.475*44/12</f>
        <v>14.333954589036582</v>
      </c>
      <c r="BR127" s="21">
        <f>EXP(-LN(2)/2)*BR126+(1-EXP(-LN(2)/2))/(LN(2)/2)*BL127*BO127*VLOOKUP('Données projet'!$B$11,Paramètres!$A$1:$I$89,3,0)*0.475*44/12</f>
        <v>1.2002166838989723E-2</v>
      </c>
      <c r="BS127" s="22">
        <f t="shared" si="63"/>
        <v>84.487914809657184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735.00000000000011</v>
      </c>
      <c r="BZ127" s="13">
        <f>BY127*VLOOKUP('Données projet'!$B$12,Paramètres!$A$1:$I$89,3,0)*VLOOKUP('Données projet'!$B$12,Paramètres!$A$1:$I$89,5,0)</f>
        <v>296.20500000000004</v>
      </c>
      <c r="CA127" s="13">
        <f t="shared" si="93"/>
        <v>70.380297204000939</v>
      </c>
      <c r="CB127" s="20">
        <f t="shared" si="64"/>
        <v>638.46939263030174</v>
      </c>
      <c r="CC127" s="59">
        <f t="shared" si="65"/>
        <v>931.80272596363511</v>
      </c>
      <c r="CD127" s="59">
        <f ca="1">AVERAGE(OFFSET($CC$3,0,0,'Données projet'!$E$12+1,1))-AVERAGE(OFFSET($H$3,0,0,'Données projet'!$E$12+1,1))</f>
        <v>291.0962681460345</v>
      </c>
      <c r="CE127" s="59">
        <f t="shared" si="94"/>
        <v>240.28311826371385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21.647425254589123</v>
      </c>
      <c r="CL127" s="21">
        <f>EXP(-LN(2)/25)*CL126+(1-EXP(-LN(2)/25))/(LN(2)/25)*Calculateur!CG127*Calculateur!CI127*VLOOKUP('Données projet'!$B$12,Paramètres!$A$1:$I$89,3,0)*0.475*44/12</f>
        <v>6.4528641090507888</v>
      </c>
      <c r="CM127" s="21">
        <f>EXP(-LN(2)/2)*CM126+(1-EXP(-LN(2)/2))/(LN(2)/2)*CG127*CJ127*VLOOKUP('Données projet'!$B$12,Paramètres!$A$1:$I$89,3,0)*0.475*44/12</f>
        <v>1.4474970509164781E-7</v>
      </c>
      <c r="CN127" s="22">
        <f t="shared" si="66"/>
        <v>28.100289508389618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-5.3205440053716299E-14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225.92546546283018</v>
      </c>
      <c r="CZ127" s="59">
        <f t="shared" si="96"/>
        <v>309.38786160614563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25.357138260207059</v>
      </c>
      <c r="DG127" s="21">
        <f>EXP(-LN(2)/25)*DG126+(1-EXP(-LN(2)/25))/(LN(2)/25)*Calculateur!DB127*Calculateur!DD127*VLOOKUP('Données projet'!$B$13,Paramètres!$A$1:$I$89,3,0)*0.475*44/12</f>
        <v>14.841553528943129</v>
      </c>
      <c r="DH127" s="21">
        <f>EXP(-LN(2)/2)*DH126+(1-EXP(-LN(2)/2))/(LN(2)/2)*DB127*DE127*VLOOKUP('Données projet'!$B$13,Paramètres!$A$1:$I$89,3,0)*0.475*44/12</f>
        <v>1.7114585469890107E-14</v>
      </c>
      <c r="DI127" s="22">
        <f t="shared" si="69"/>
        <v>40.198691789150203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168</v>
      </c>
      <c r="DP127" s="17">
        <f>DO127*VLOOKUP('Données projet'!$B$14,Paramètres!$A$1:$I$89,3,0)*VLOOKUP('Données projet'!$B$14,Paramètres!$A$1:$I$89,5,0)</f>
        <v>146.76480000000004</v>
      </c>
      <c r="DQ127" s="13">
        <f t="shared" si="97"/>
        <v>37.842444439956665</v>
      </c>
      <c r="DR127" s="20">
        <f t="shared" si="70"/>
        <v>321.52428406625791</v>
      </c>
      <c r="DS127" s="59">
        <f t="shared" si="71"/>
        <v>614.85761739959116</v>
      </c>
      <c r="DT127" s="59">
        <f ca="1">AVERAGE(OFFSET($DS$3,0,0,'Données projet'!$E$14+1,1))-AVERAGE(OFFSET($H$3,0,0,'Données projet'!$E$14+1,1))</f>
        <v>150.06600397498823</v>
      </c>
      <c r="DU127" s="59">
        <f t="shared" si="98"/>
        <v>170.53034305929714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3.0627532409723606</v>
      </c>
      <c r="EB127" s="21">
        <f>EXP(-LN(2)/25)*EB126+(1-EXP(-LN(2)/25))/(LN(2)/25)*Calculateur!DW127*Calculateur!DY127*VLOOKUP('Données projet'!$B$14,Paramètres!$A$1:$I$89,3,0)*0.475*44/12</f>
        <v>4.4399514244117553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7.5027046653841154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294.94285920643927</v>
      </c>
      <c r="T128" s="59">
        <f t="shared" si="88"/>
        <v>399.89535338426606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38.075687853822593</v>
      </c>
      <c r="AA128" s="21">
        <f>EXP(-LN(2)/25)*AA127+(1-EXP(-LN(2)/25))/(LN(2)/25)*Calculateur!V128*Calculateur!X128*VLOOKUP('Données projet'!$B$9,Paramètres!$A$1:$I$89,3,0)*0.475*44/12</f>
        <v>22.736894539166975</v>
      </c>
      <c r="AB128" s="21">
        <f>EXP(-LN(2)/2)*AB127+(1-EXP(-LN(2)/2))/(LN(2)/2)*V128*Y128*VLOOKUP('Données projet'!$B$9,Paramètres!$A$1:$I$89,3,0)*0.475*44/12</f>
        <v>4.3589126303778514E-14</v>
      </c>
      <c r="AC128" s="22">
        <f t="shared" si="57"/>
        <v>60.812582392989611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-1.0197709343628959E-13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200.14675249215634</v>
      </c>
      <c r="AO128" s="59">
        <f t="shared" si="90"/>
        <v>200.55017434999968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35.80618224368849</v>
      </c>
      <c r="AV128" s="21">
        <f>EXP(-LN(2)/25)*AV127+(1-EXP(-LN(2)/25))/(LN(2)/25)*Calculateur!AQ128*Calculateur!AS128*VLOOKUP('Données projet'!$B$10,Paramètres!$A$1:$I$89,3,0)*0.475*44/12</f>
        <v>5.9605772960379122</v>
      </c>
      <c r="AW128" s="21">
        <f>EXP(-LN(2)/2)*AW127+(1-EXP(-LN(2)/2))/(LN(2)/2)*AQ128*AT128*VLOOKUP('Données projet'!$B$10,Paramètres!$A$1:$I$89,3,0)*0.475*44/12</f>
        <v>5.262239583139746E-9</v>
      </c>
      <c r="AX128" s="21">
        <f t="shared" si="60"/>
        <v>41.766759544988638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-1.4210854715202004E-13</v>
      </c>
      <c r="BE128" s="13">
        <f>BD128*VLOOKUP('Données projet'!$B$11,Paramètres!$A$1:$I$89,3,0)*VLOOKUP('Données projet'!$B$11,Paramètres!$A$1:$I$89,5,0)</f>
        <v>-8.128608897095547E-14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182.46132340647313</v>
      </c>
      <c r="BJ128" s="59">
        <f t="shared" si="92"/>
        <v>130.51706975490481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68.766517038716955</v>
      </c>
      <c r="BQ128" s="21">
        <f>EXP(-LN(2)/25)*BQ127+(1-EXP(-LN(2)/25))/(LN(2)/25)*Calculateur!BL128*Calculateur!BN128*VLOOKUP('Données projet'!$B$11,Paramètres!$A$1:$I$89,3,0)*0.475*44/12</f>
        <v>13.941991847009465</v>
      </c>
      <c r="BR128" s="21">
        <f>EXP(-LN(2)/2)*BR127+(1-EXP(-LN(2)/2))/(LN(2)/2)*BL128*BO128*VLOOKUP('Données projet'!$B$11,Paramètres!$A$1:$I$89,3,0)*0.475*44/12</f>
        <v>8.4868135607819428E-3</v>
      </c>
      <c r="BS128" s="22">
        <f t="shared" si="63"/>
        <v>82.716995699287196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735.00000000000011</v>
      </c>
      <c r="BZ128" s="13">
        <f>BY128*VLOOKUP('Données projet'!$B$12,Paramètres!$A$1:$I$89,3,0)*VLOOKUP('Données projet'!$B$12,Paramètres!$A$1:$I$89,5,0)</f>
        <v>296.20500000000004</v>
      </c>
      <c r="CA128" s="13">
        <f t="shared" si="93"/>
        <v>70.380297204000939</v>
      </c>
      <c r="CB128" s="20">
        <f t="shared" si="64"/>
        <v>638.46939263030174</v>
      </c>
      <c r="CC128" s="59">
        <f t="shared" si="65"/>
        <v>931.80272596363511</v>
      </c>
      <c r="CD128" s="59">
        <f ca="1">AVERAGE(OFFSET($CC$3,0,0,'Données projet'!$E$12+1,1))-AVERAGE(OFFSET($H$3,0,0,'Données projet'!$E$12+1,1))</f>
        <v>291.0962681460345</v>
      </c>
      <c r="CE128" s="59">
        <f t="shared" si="94"/>
        <v>240.28311826371385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21.222932448972287</v>
      </c>
      <c r="CL128" s="21">
        <f>EXP(-LN(2)/25)*CL127+(1-EXP(-LN(2)/25))/(LN(2)/25)*Calculateur!CG128*Calculateur!CI128*VLOOKUP('Données projet'!$B$12,Paramètres!$A$1:$I$89,3,0)*0.475*44/12</f>
        <v>6.2764102006474198</v>
      </c>
      <c r="CM128" s="21">
        <f>EXP(-LN(2)/2)*CM127+(1-EXP(-LN(2)/2))/(LN(2)/2)*CG128*CJ128*VLOOKUP('Données projet'!$B$12,Paramètres!$A$1:$I$89,3,0)*0.475*44/12</f>
        <v>1.0235349804505709E-7</v>
      </c>
      <c r="CN128" s="22">
        <f t="shared" si="66"/>
        <v>27.499342751973202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-5.3205440053716299E-14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225.92546546283018</v>
      </c>
      <c r="CZ128" s="59">
        <f t="shared" si="96"/>
        <v>309.38786160614563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24.859900245251563</v>
      </c>
      <c r="DG128" s="21">
        <f>EXP(-LN(2)/25)*DG127+(1-EXP(-LN(2)/25))/(LN(2)/25)*Calculateur!DB128*Calculateur!DD128*VLOOKUP('Données projet'!$B$13,Paramètres!$A$1:$I$89,3,0)*0.475*44/12</f>
        <v>14.4357104672108</v>
      </c>
      <c r="DH128" s="21">
        <f>EXP(-LN(2)/2)*DH127+(1-EXP(-LN(2)/2))/(LN(2)/2)*DB128*DE128*VLOOKUP('Données projet'!$B$13,Paramètres!$A$1:$I$89,3,0)*0.475*44/12</f>
        <v>1.210183944295605E-14</v>
      </c>
      <c r="DI128" s="22">
        <f t="shared" si="69"/>
        <v>39.295610712462377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168</v>
      </c>
      <c r="DP128" s="17">
        <f>DO128*VLOOKUP('Données projet'!$B$14,Paramètres!$A$1:$I$89,3,0)*VLOOKUP('Données projet'!$B$14,Paramètres!$A$1:$I$89,5,0)</f>
        <v>146.76480000000004</v>
      </c>
      <c r="DQ128" s="13">
        <f t="shared" si="97"/>
        <v>37.842444439956665</v>
      </c>
      <c r="DR128" s="20">
        <f t="shared" si="70"/>
        <v>321.52428406625791</v>
      </c>
      <c r="DS128" s="59">
        <f t="shared" si="71"/>
        <v>614.85761739959116</v>
      </c>
      <c r="DT128" s="59">
        <f ca="1">AVERAGE(OFFSET($DS$3,0,0,'Données projet'!$E$14+1,1))-AVERAGE(OFFSET($H$3,0,0,'Données projet'!$E$14+1,1))</f>
        <v>150.06600397498823</v>
      </c>
      <c r="DU128" s="59">
        <f t="shared" si="98"/>
        <v>170.53034305929714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3.0026945180119107</v>
      </c>
      <c r="EB128" s="21">
        <f>EXP(-LN(2)/25)*EB127+(1-EXP(-LN(2)/25))/(LN(2)/25)*Calculateur!DW128*Calculateur!DY128*VLOOKUP('Données projet'!$B$14,Paramètres!$A$1:$I$89,3,0)*0.475*44/12</f>
        <v>4.3185407192243179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7.3212352372362286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294.94285920643927</v>
      </c>
      <c r="T129" s="59">
        <f t="shared" si="88"/>
        <v>399.89535338426606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37.329046838885553</v>
      </c>
      <c r="AA129" s="21">
        <f>EXP(-LN(2)/25)*AA128+(1-EXP(-LN(2)/25))/(LN(2)/25)*Calculateur!V129*Calculateur!X129*VLOOKUP('Données projet'!$B$9,Paramètres!$A$1:$I$89,3,0)*0.475*44/12</f>
        <v>22.115152962312138</v>
      </c>
      <c r="AB129" s="21">
        <f>EXP(-LN(2)/2)*AB128+(1-EXP(-LN(2)/2))/(LN(2)/2)*V129*Y129*VLOOKUP('Données projet'!$B$9,Paramètres!$A$1:$I$89,3,0)*0.475*44/12</f>
        <v>3.0822166795398697E-14</v>
      </c>
      <c r="AC129" s="22">
        <f t="shared" si="57"/>
        <v>59.444199801197719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-1.0197709343628959E-13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200.14675249215634</v>
      </c>
      <c r="AO129" s="59">
        <f t="shared" si="90"/>
        <v>200.55017434999968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35.104044849504447</v>
      </c>
      <c r="AV129" s="21">
        <f>EXP(-LN(2)/25)*AV128+(1-EXP(-LN(2)/25))/(LN(2)/25)*Calculateur!AQ129*Calculateur!AS129*VLOOKUP('Données projet'!$B$10,Paramètres!$A$1:$I$89,3,0)*0.475*44/12</f>
        <v>5.7975849964246189</v>
      </c>
      <c r="AW129" s="21">
        <f>EXP(-LN(2)/2)*AW128+(1-EXP(-LN(2)/2))/(LN(2)/2)*AQ129*AT129*VLOOKUP('Données projet'!$B$10,Paramètres!$A$1:$I$89,3,0)*0.475*44/12</f>
        <v>3.7209652934663857E-9</v>
      </c>
      <c r="AX129" s="21">
        <f t="shared" si="60"/>
        <v>40.901629849650028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-1.4210854715202004E-13</v>
      </c>
      <c r="BE129" s="13">
        <f>BD129*VLOOKUP('Données projet'!$B$11,Paramètres!$A$1:$I$89,3,0)*VLOOKUP('Données projet'!$B$11,Paramètres!$A$1:$I$89,5,0)</f>
        <v>-8.128608897095547E-14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182.46132340647313</v>
      </c>
      <c r="BJ129" s="59">
        <f t="shared" si="92"/>
        <v>130.51706975490481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67.418047583021533</v>
      </c>
      <c r="BQ129" s="21">
        <f>EXP(-LN(2)/25)*BQ128+(1-EXP(-LN(2)/25))/(LN(2)/25)*Calculateur!BL129*Calculateur!BN129*VLOOKUP('Données projet'!$B$11,Paramètres!$A$1:$I$89,3,0)*0.475*44/12</f>
        <v>13.560747346775505</v>
      </c>
      <c r="BR129" s="21">
        <f>EXP(-LN(2)/2)*BR128+(1-EXP(-LN(2)/2))/(LN(2)/2)*BL129*BO129*VLOOKUP('Données projet'!$B$11,Paramètres!$A$1:$I$89,3,0)*0.475*44/12</f>
        <v>6.0010834194948615E-3</v>
      </c>
      <c r="BS129" s="22">
        <f t="shared" si="63"/>
        <v>80.984796013216524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735.00000000000011</v>
      </c>
      <c r="BZ129" s="13">
        <f>BY129*VLOOKUP('Données projet'!$B$12,Paramètres!$A$1:$I$89,3,0)*VLOOKUP('Données projet'!$B$12,Paramètres!$A$1:$I$89,5,0)</f>
        <v>296.20500000000004</v>
      </c>
      <c r="CA129" s="13">
        <f t="shared" si="93"/>
        <v>70.380297204000939</v>
      </c>
      <c r="CB129" s="20">
        <f t="shared" si="64"/>
        <v>638.46939263030174</v>
      </c>
      <c r="CC129" s="59">
        <f t="shared" si="65"/>
        <v>931.80272596363511</v>
      </c>
      <c r="CD129" s="59">
        <f ca="1">AVERAGE(OFFSET($CC$3,0,0,'Données projet'!$E$12+1,1))-AVERAGE(OFFSET($H$3,0,0,'Données projet'!$E$12+1,1))</f>
        <v>291.0962681460345</v>
      </c>
      <c r="CE129" s="59">
        <f t="shared" si="94"/>
        <v>240.28311826371385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20.806763688358551</v>
      </c>
      <c r="CL129" s="21">
        <f>EXP(-LN(2)/25)*CL128+(1-EXP(-LN(2)/25))/(LN(2)/25)*Calculateur!CG129*Calculateur!CI129*VLOOKUP('Données projet'!$B$12,Paramètres!$A$1:$I$89,3,0)*0.475*44/12</f>
        <v>6.1047814336486486</v>
      </c>
      <c r="CM129" s="21">
        <f>EXP(-LN(2)/2)*CM128+(1-EXP(-LN(2)/2))/(LN(2)/2)*CG129*CJ129*VLOOKUP('Données projet'!$B$12,Paramètres!$A$1:$I$89,3,0)*0.475*44/12</f>
        <v>7.2374852545823906E-8</v>
      </c>
      <c r="CN129" s="22">
        <f t="shared" si="66"/>
        <v>26.91154519438205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-5.3205440053716299E-14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225.92546546283018</v>
      </c>
      <c r="CZ129" s="59">
        <f t="shared" si="96"/>
        <v>309.38786160614563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24.372412764484103</v>
      </c>
      <c r="DG129" s="21">
        <f>EXP(-LN(2)/25)*DG128+(1-EXP(-LN(2)/25))/(LN(2)/25)*Calculateur!DB129*Calculateur!DD129*VLOOKUP('Données projet'!$B$13,Paramètres!$A$1:$I$89,3,0)*0.475*44/12</f>
        <v>14.0409652053439</v>
      </c>
      <c r="DH129" s="21">
        <f>EXP(-LN(2)/2)*DH128+(1-EXP(-LN(2)/2))/(LN(2)/2)*DB129*DE129*VLOOKUP('Données projet'!$B$13,Paramètres!$A$1:$I$89,3,0)*0.475*44/12</f>
        <v>8.5572927349450536E-15</v>
      </c>
      <c r="DI129" s="22">
        <f t="shared" si="69"/>
        <v>38.413377969828012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168</v>
      </c>
      <c r="DP129" s="17">
        <f>DO129*VLOOKUP('Données projet'!$B$14,Paramètres!$A$1:$I$89,3,0)*VLOOKUP('Données projet'!$B$14,Paramètres!$A$1:$I$89,5,0)</f>
        <v>146.76480000000004</v>
      </c>
      <c r="DQ129" s="13">
        <f t="shared" si="97"/>
        <v>37.842444439956665</v>
      </c>
      <c r="DR129" s="20">
        <f t="shared" si="70"/>
        <v>321.52428406625791</v>
      </c>
      <c r="DS129" s="59">
        <f t="shared" si="71"/>
        <v>614.85761739959116</v>
      </c>
      <c r="DT129" s="59">
        <f ca="1">AVERAGE(OFFSET($DS$3,0,0,'Données projet'!$E$14+1,1))-AVERAGE(OFFSET($H$3,0,0,'Données projet'!$E$14+1,1))</f>
        <v>150.06600397498823</v>
      </c>
      <c r="DU129" s="59">
        <f t="shared" si="98"/>
        <v>170.53034305929714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2.9438135099765113</v>
      </c>
      <c r="EB129" s="21">
        <f>EXP(-LN(2)/25)*EB128+(1-EXP(-LN(2)/25))/(LN(2)/25)*Calculateur!DW129*Calculateur!DY129*VLOOKUP('Données projet'!$B$14,Paramètres!$A$1:$I$89,3,0)*0.475*44/12</f>
        <v>4.2004499961549424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7.1442635061314537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294.94285920643927</v>
      </c>
      <c r="T130" s="59">
        <f t="shared" si="88"/>
        <v>399.89535338426606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36.597046998845379</v>
      </c>
      <c r="AA130" s="21">
        <f>EXP(-LN(2)/25)*AA129+(1-EXP(-LN(2)/25))/(LN(2)/25)*Calculateur!V130*Calculateur!X130*VLOOKUP('Données projet'!$B$9,Paramètres!$A$1:$I$89,3,0)*0.475*44/12</f>
        <v>21.510412941572362</v>
      </c>
      <c r="AB130" s="21">
        <f>EXP(-LN(2)/2)*AB129+(1-EXP(-LN(2)/2))/(LN(2)/2)*V130*Y130*VLOOKUP('Données projet'!$B$9,Paramètres!$A$1:$I$89,3,0)*0.475*44/12</f>
        <v>2.1794563151889257E-14</v>
      </c>
      <c r="AC130" s="22">
        <f t="shared" si="57"/>
        <v>58.107459940417762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-1.0197709343628959E-13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200.14675249215634</v>
      </c>
      <c r="AO130" s="59">
        <f t="shared" si="90"/>
        <v>200.55017434999968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34.415675941358828</v>
      </c>
      <c r="AV130" s="21">
        <f>EXP(-LN(2)/25)*AV129+(1-EXP(-LN(2)/25))/(LN(2)/25)*Calculateur!AQ130*Calculateur!AS130*VLOOKUP('Données projet'!$B$10,Paramètres!$A$1:$I$89,3,0)*0.475*44/12</f>
        <v>5.6390497298156435</v>
      </c>
      <c r="AW130" s="21">
        <f>EXP(-LN(2)/2)*AW129+(1-EXP(-LN(2)/2))/(LN(2)/2)*AQ130*AT130*VLOOKUP('Données projet'!$B$10,Paramètres!$A$1:$I$89,3,0)*0.475*44/12</f>
        <v>2.6311197915698734E-9</v>
      </c>
      <c r="AX130" s="21">
        <f t="shared" si="60"/>
        <v>40.054725673805592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-1.4210854715202004E-13</v>
      </c>
      <c r="BE130" s="13">
        <f>BD130*VLOOKUP('Données projet'!$B$11,Paramètres!$A$1:$I$89,3,0)*VLOOKUP('Données projet'!$B$11,Paramètres!$A$1:$I$89,5,0)</f>
        <v>-8.128608897095547E-14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182.46132340647313</v>
      </c>
      <c r="BJ130" s="59">
        <f t="shared" si="92"/>
        <v>130.51706975490481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66.096020790867144</v>
      </c>
      <c r="BQ130" s="21">
        <f>EXP(-LN(2)/25)*BQ129+(1-EXP(-LN(2)/25))/(LN(2)/25)*Calculateur!BL130*Calculateur!BN130*VLOOKUP('Données projet'!$B$11,Paramètres!$A$1:$I$89,3,0)*0.475*44/12</f>
        <v>13.189927997449219</v>
      </c>
      <c r="BR130" s="21">
        <f>EXP(-LN(2)/2)*BR129+(1-EXP(-LN(2)/2))/(LN(2)/2)*BL130*BO130*VLOOKUP('Données projet'!$B$11,Paramètres!$A$1:$I$89,3,0)*0.475*44/12</f>
        <v>4.2434067803909714E-3</v>
      </c>
      <c r="BS130" s="22">
        <f t="shared" si="63"/>
        <v>79.290192195096751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735.00000000000011</v>
      </c>
      <c r="BZ130" s="13">
        <f>BY130*VLOOKUP('Données projet'!$B$12,Paramètres!$A$1:$I$89,3,0)*VLOOKUP('Données projet'!$B$12,Paramètres!$A$1:$I$89,5,0)</f>
        <v>296.20500000000004</v>
      </c>
      <c r="CA130" s="13">
        <f t="shared" si="93"/>
        <v>70.380297204000939</v>
      </c>
      <c r="CB130" s="20">
        <f t="shared" si="64"/>
        <v>638.46939263030174</v>
      </c>
      <c r="CC130" s="59">
        <f t="shared" si="65"/>
        <v>931.80272596363511</v>
      </c>
      <c r="CD130" s="59">
        <f ca="1">AVERAGE(OFFSET($CC$3,0,0,'Données projet'!$E$12+1,1))-AVERAGE(OFFSET($H$3,0,0,'Données projet'!$E$12+1,1))</f>
        <v>291.0962681460345</v>
      </c>
      <c r="CE130" s="59">
        <f t="shared" si="94"/>
        <v>240.28311826371385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20.398755743302569</v>
      </c>
      <c r="CL130" s="21">
        <f>EXP(-LN(2)/25)*CL129+(1-EXP(-LN(2)/25))/(LN(2)/25)*Calculateur!CG130*Calculateur!CI130*VLOOKUP('Données projet'!$B$12,Paramètres!$A$1:$I$89,3,0)*0.475*44/12</f>
        <v>5.9378458643090237</v>
      </c>
      <c r="CM130" s="21">
        <f>EXP(-LN(2)/2)*CM129+(1-EXP(-LN(2)/2))/(LN(2)/2)*CG130*CJ130*VLOOKUP('Données projet'!$B$12,Paramètres!$A$1:$I$89,3,0)*0.475*44/12</f>
        <v>5.1176749022528547E-8</v>
      </c>
      <c r="CN130" s="22">
        <f t="shared" si="66"/>
        <v>26.336601658788339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-5.3205440053716299E-14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225.92546546283018</v>
      </c>
      <c r="CZ130" s="59">
        <f t="shared" si="96"/>
        <v>309.38786160614563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23.89448461587649</v>
      </c>
      <c r="DG130" s="21">
        <f>EXP(-LN(2)/25)*DG129+(1-EXP(-LN(2)/25))/(LN(2)/25)*Calculateur!DB130*Calculateur!DD130*VLOOKUP('Données projet'!$B$13,Paramètres!$A$1:$I$89,3,0)*0.475*44/12</f>
        <v>13.657014273421503</v>
      </c>
      <c r="DH130" s="21">
        <f>EXP(-LN(2)/2)*DH129+(1-EXP(-LN(2)/2))/(LN(2)/2)*DB130*DE130*VLOOKUP('Données projet'!$B$13,Paramètres!$A$1:$I$89,3,0)*0.475*44/12</f>
        <v>6.0509197214780249E-15</v>
      </c>
      <c r="DI130" s="22">
        <f t="shared" si="69"/>
        <v>37.551498889297996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168</v>
      </c>
      <c r="DP130" s="17">
        <f>DO130*VLOOKUP('Données projet'!$B$14,Paramètres!$A$1:$I$89,3,0)*VLOOKUP('Données projet'!$B$14,Paramètres!$A$1:$I$89,5,0)</f>
        <v>146.76480000000004</v>
      </c>
      <c r="DQ130" s="13">
        <f t="shared" si="97"/>
        <v>37.842444439956665</v>
      </c>
      <c r="DR130" s="20">
        <f t="shared" si="70"/>
        <v>321.52428406625791</v>
      </c>
      <c r="DS130" s="59">
        <f t="shared" si="71"/>
        <v>614.85761739959116</v>
      </c>
      <c r="DT130" s="59">
        <f ca="1">AVERAGE(OFFSET($DS$3,0,0,'Données projet'!$E$14+1,1))-AVERAGE(OFFSET($H$3,0,0,'Données projet'!$E$14+1,1))</f>
        <v>150.06600397498823</v>
      </c>
      <c r="DU130" s="59">
        <f t="shared" si="98"/>
        <v>170.53034305929714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2.8860871225948173</v>
      </c>
      <c r="EB130" s="21">
        <f>EXP(-LN(2)/25)*EB129+(1-EXP(-LN(2)/25))/(LN(2)/25)*Calculateur!DW130*Calculateur!DY130*VLOOKUP('Données projet'!$B$14,Paramètres!$A$1:$I$89,3,0)*0.475*44/12</f>
        <v>4.0855884701180205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6.9716755927128382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294.94285920643927</v>
      </c>
      <c r="T131" s="59">
        <f t="shared" si="88"/>
        <v>399.89535338426606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35.879401229192574</v>
      </c>
      <c r="AA131" s="21">
        <f>EXP(-LN(2)/25)*AA130+(1-EXP(-LN(2)/25))/(LN(2)/25)*Calculateur!V131*Calculateur!X131*VLOOKUP('Données projet'!$B$9,Paramètres!$A$1:$I$89,3,0)*0.475*44/12</f>
        <v>20.922209568501611</v>
      </c>
      <c r="AB131" s="21">
        <f>EXP(-LN(2)/2)*AB130+(1-EXP(-LN(2)/2))/(LN(2)/2)*V131*Y131*VLOOKUP('Données projet'!$B$9,Paramètres!$A$1:$I$89,3,0)*0.475*44/12</f>
        <v>1.5411083397699348E-14</v>
      </c>
      <c r="AC131" s="22">
        <f t="shared" si="57"/>
        <v>56.801610797694195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-1.0197709343628959E-13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200.14675249215634</v>
      </c>
      <c r="AO131" s="59">
        <f t="shared" si="90"/>
        <v>200.55017434999968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33.740805527638365</v>
      </c>
      <c r="AV131" s="21">
        <f>EXP(-LN(2)/25)*AV130+(1-EXP(-LN(2)/25))/(LN(2)/25)*Calculateur!AQ131*Calculateur!AS131*VLOOKUP('Données projet'!$B$10,Paramètres!$A$1:$I$89,3,0)*0.475*44/12</f>
        <v>5.4848496184090978</v>
      </c>
      <c r="AW131" s="21">
        <f>EXP(-LN(2)/2)*AW130+(1-EXP(-LN(2)/2))/(LN(2)/2)*AQ131*AT131*VLOOKUP('Données projet'!$B$10,Paramètres!$A$1:$I$89,3,0)*0.475*44/12</f>
        <v>1.8604826467331931E-9</v>
      </c>
      <c r="AX131" s="21">
        <f t="shared" si="60"/>
        <v>39.22565514790795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-1.4210854715202004E-13</v>
      </c>
      <c r="BE131" s="13">
        <f>BD131*VLOOKUP('Données projet'!$B$11,Paramètres!$A$1:$I$89,3,0)*VLOOKUP('Données projet'!$B$11,Paramètres!$A$1:$I$89,5,0)</f>
        <v>-8.128608897095547E-14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182.46132340647313</v>
      </c>
      <c r="BJ131" s="59">
        <f t="shared" si="92"/>
        <v>130.51706975490481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64.799918137750183</v>
      </c>
      <c r="BQ131" s="21">
        <f>EXP(-LN(2)/25)*BQ130+(1-EXP(-LN(2)/25))/(LN(2)/25)*Calculateur!BL131*Calculateur!BN131*VLOOKUP('Données projet'!$B$11,Paramètres!$A$1:$I$89,3,0)*0.475*44/12</f>
        <v>12.829248722730803</v>
      </c>
      <c r="BR131" s="21">
        <f>EXP(-LN(2)/2)*BR130+(1-EXP(-LN(2)/2))/(LN(2)/2)*BL131*BO131*VLOOKUP('Données projet'!$B$11,Paramètres!$A$1:$I$89,3,0)*0.475*44/12</f>
        <v>3.0005417097474308E-3</v>
      </c>
      <c r="BS131" s="22">
        <f t="shared" si="63"/>
        <v>77.632167402190731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735.00000000000011</v>
      </c>
      <c r="BZ131" s="13">
        <f>BY131*VLOOKUP('Données projet'!$B$12,Paramètres!$A$1:$I$89,3,0)*VLOOKUP('Données projet'!$B$12,Paramètres!$A$1:$I$89,5,0)</f>
        <v>296.20500000000004</v>
      </c>
      <c r="CA131" s="13">
        <f t="shared" si="93"/>
        <v>70.380297204000939</v>
      </c>
      <c r="CB131" s="20">
        <f t="shared" si="64"/>
        <v>638.46939263030174</v>
      </c>
      <c r="CC131" s="59">
        <f t="shared" si="65"/>
        <v>931.80272596363511</v>
      </c>
      <c r="CD131" s="59">
        <f ca="1">AVERAGE(OFFSET($CC$3,0,0,'Données projet'!$E$12+1,1))-AVERAGE(OFFSET($H$3,0,0,'Données projet'!$E$12+1,1))</f>
        <v>291.0962681460345</v>
      </c>
      <c r="CE131" s="59">
        <f t="shared" si="94"/>
        <v>240.28311826371385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19.998748585188864</v>
      </c>
      <c r="CL131" s="21">
        <f>EXP(-LN(2)/25)*CL130+(1-EXP(-LN(2)/25))/(LN(2)/25)*Calculateur!CG131*Calculateur!CI131*VLOOKUP('Données projet'!$B$12,Paramètres!$A$1:$I$89,3,0)*0.475*44/12</f>
        <v>5.7754751568917504</v>
      </c>
      <c r="CM131" s="21">
        <f>EXP(-LN(2)/2)*CM130+(1-EXP(-LN(2)/2))/(LN(2)/2)*CG131*CJ131*VLOOKUP('Données projet'!$B$12,Paramètres!$A$1:$I$89,3,0)*0.475*44/12</f>
        <v>3.6187426272911953E-8</v>
      </c>
      <c r="CN131" s="22">
        <f t="shared" si="66"/>
        <v>25.774223778268041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-5.3205440053716299E-14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225.92546546283018</v>
      </c>
      <c r="CZ131" s="59">
        <f t="shared" si="96"/>
        <v>309.38786160614563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23.425928346755686</v>
      </c>
      <c r="DG131" s="21">
        <f>EXP(-LN(2)/25)*DG130+(1-EXP(-LN(2)/25))/(LN(2)/25)*Calculateur!DB131*Calculateur!DD131*VLOOKUP('Données projet'!$B$13,Paramètres!$A$1:$I$89,3,0)*0.475*44/12</f>
        <v>13.283562499923624</v>
      </c>
      <c r="DH131" s="21">
        <f>EXP(-LN(2)/2)*DH130+(1-EXP(-LN(2)/2))/(LN(2)/2)*DB131*DE131*VLOOKUP('Données projet'!$B$13,Paramètres!$A$1:$I$89,3,0)*0.475*44/12</f>
        <v>4.2786463674725268E-15</v>
      </c>
      <c r="DI131" s="22">
        <f t="shared" si="69"/>
        <v>36.709490846679316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168</v>
      </c>
      <c r="DP131" s="17">
        <f>DO131*VLOOKUP('Données projet'!$B$14,Paramètres!$A$1:$I$89,3,0)*VLOOKUP('Données projet'!$B$14,Paramètres!$A$1:$I$89,5,0)</f>
        <v>146.76480000000004</v>
      </c>
      <c r="DQ131" s="13">
        <f t="shared" si="97"/>
        <v>37.842444439956665</v>
      </c>
      <c r="DR131" s="20">
        <f t="shared" si="70"/>
        <v>321.52428406625791</v>
      </c>
      <c r="DS131" s="59">
        <f t="shared" si="71"/>
        <v>614.85761739959116</v>
      </c>
      <c r="DT131" s="59">
        <f ca="1">AVERAGE(OFFSET($DS$3,0,0,'Données projet'!$E$14+1,1))-AVERAGE(OFFSET($H$3,0,0,'Données projet'!$E$14+1,1))</f>
        <v>150.06600397498823</v>
      </c>
      <c r="DU131" s="59">
        <f t="shared" si="98"/>
        <v>170.53034305929714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2.8294927144600588</v>
      </c>
      <c r="EB131" s="21">
        <f>EXP(-LN(2)/25)*EB130+(1-EXP(-LN(2)/25))/(LN(2)/25)*Calculateur!DW131*Calculateur!DY131*VLOOKUP('Données projet'!$B$14,Paramètres!$A$1:$I$89,3,0)*0.475*44/12</f>
        <v>3.9738678385508832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6.8033605530109416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294.94285920643927</v>
      </c>
      <c r="T132" s="59">
        <f t="shared" si="88"/>
        <v>399.89535338426606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35.175828055361961</v>
      </c>
      <c r="AA132" s="21">
        <f>EXP(-LN(2)/25)*AA131+(1-EXP(-LN(2)/25))/(LN(2)/25)*Calculateur!V132*Calculateur!X132*VLOOKUP('Données projet'!$B$9,Paramètres!$A$1:$I$89,3,0)*0.475*44/12</f>
        <v>20.35009064759975</v>
      </c>
      <c r="AB132" s="21">
        <f>EXP(-LN(2)/2)*AB131+(1-EXP(-LN(2)/2))/(LN(2)/2)*V132*Y132*VLOOKUP('Données projet'!$B$9,Paramètres!$A$1:$I$89,3,0)*0.475*44/12</f>
        <v>1.0897281575944629E-14</v>
      </c>
      <c r="AC132" s="22">
        <f t="shared" ref="AC132:AC153" si="111">SUM(Z132:AB132)</f>
        <v>55.525918702961725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-1.0197709343628959E-13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200.14675249215634</v>
      </c>
      <c r="AO132" s="59">
        <f t="shared" si="90"/>
        <v>200.55017434999968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33.079168911100659</v>
      </c>
      <c r="AV132" s="21">
        <f>EXP(-LN(2)/25)*AV131+(1-EXP(-LN(2)/25))/(LN(2)/25)*Calculateur!AQ132*Calculateur!AS132*VLOOKUP('Données projet'!$B$10,Paramètres!$A$1:$I$89,3,0)*0.475*44/12</f>
        <v>5.3348661171579952</v>
      </c>
      <c r="AW132" s="21">
        <f>EXP(-LN(2)/2)*AW131+(1-EXP(-LN(2)/2))/(LN(2)/2)*AQ132*AT132*VLOOKUP('Données projet'!$B$10,Paramètres!$A$1:$I$89,3,0)*0.475*44/12</f>
        <v>1.3155598957849369E-9</v>
      </c>
      <c r="AX132" s="21">
        <f t="shared" ref="AX132:AX153" si="114">SUM(AU132:AW132)</f>
        <v>38.414035029574215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-1.4210854715202004E-13</v>
      </c>
      <c r="BE132" s="13">
        <f>BD132*VLOOKUP('Données projet'!$B$11,Paramètres!$A$1:$I$89,3,0)*VLOOKUP('Données projet'!$B$11,Paramètres!$A$1:$I$89,5,0)</f>
        <v>-8.128608897095547E-14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182.46132340647313</v>
      </c>
      <c r="BJ132" s="59">
        <f t="shared" si="92"/>
        <v>130.51706975490481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63.529231267116288</v>
      </c>
      <c r="BQ132" s="21">
        <f>EXP(-LN(2)/25)*BQ131+(1-EXP(-LN(2)/25))/(LN(2)/25)*Calculateur!BL132*Calculateur!BN132*VLOOKUP('Données projet'!$B$11,Paramètres!$A$1:$I$89,3,0)*0.475*44/12</f>
        <v>12.47843224174686</v>
      </c>
      <c r="BR132" s="21">
        <f>EXP(-LN(2)/2)*BR131+(1-EXP(-LN(2)/2))/(LN(2)/2)*BL132*BO132*VLOOKUP('Données projet'!$B$11,Paramètres!$A$1:$I$89,3,0)*0.475*44/12</f>
        <v>2.1217033901954857E-3</v>
      </c>
      <c r="BS132" s="22">
        <f t="shared" ref="BS132:BS153" si="117">SUM(BP132:BR132)</f>
        <v>76.009785212253348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735.00000000000011</v>
      </c>
      <c r="BZ132" s="13">
        <f>BY132*VLOOKUP('Données projet'!$B$12,Paramètres!$A$1:$I$89,3,0)*VLOOKUP('Données projet'!$B$12,Paramètres!$A$1:$I$89,5,0)</f>
        <v>296.20500000000004</v>
      </c>
      <c r="CA132" s="13">
        <f t="shared" si="93"/>
        <v>70.380297204000939</v>
      </c>
      <c r="CB132" s="20">
        <f t="shared" ref="CB132:CB153" si="118">(BZ132+CA132)*0.475*44/12</f>
        <v>638.46939263030174</v>
      </c>
      <c r="CC132" s="59">
        <f t="shared" ref="CC132:CC195" si="119">CB132+(BT132+BU132)*44/12</f>
        <v>931.80272596363511</v>
      </c>
      <c r="CD132" s="59">
        <f ca="1">AVERAGE(OFFSET($CC$3,0,0,'Données projet'!$E$12+1,1))-AVERAGE(OFFSET($H$3,0,0,'Données projet'!$E$12+1,1))</f>
        <v>291.0962681460345</v>
      </c>
      <c r="CE132" s="59">
        <f t="shared" si="94"/>
        <v>240.28311826371385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19.606585323465492</v>
      </c>
      <c r="CL132" s="21">
        <f>EXP(-LN(2)/25)*CL131+(1-EXP(-LN(2)/25))/(LN(2)/25)*Calculateur!CG132*Calculateur!CI132*VLOOKUP('Données projet'!$B$12,Paramètres!$A$1:$I$89,3,0)*0.475*44/12</f>
        <v>5.6175444850075067</v>
      </c>
      <c r="CM132" s="21">
        <f>EXP(-LN(2)/2)*CM131+(1-EXP(-LN(2)/2))/(LN(2)/2)*CG132*CJ132*VLOOKUP('Données projet'!$B$12,Paramètres!$A$1:$I$89,3,0)*0.475*44/12</f>
        <v>2.5588374511264273E-8</v>
      </c>
      <c r="CN132" s="22">
        <f t="shared" ref="CN132:CN153" si="120">SUM(CK132:CM132)</f>
        <v>25.224129834061372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-5.3205440053716299E-14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225.92546546283018</v>
      </c>
      <c r="CZ132" s="59">
        <f t="shared" si="96"/>
        <v>309.38786160614563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22.966560180281235</v>
      </c>
      <c r="DG132" s="21">
        <f>EXP(-LN(2)/25)*DG131+(1-EXP(-LN(2)/25))/(LN(2)/25)*Calculateur!DB132*Calculateur!DD132*VLOOKUP('Données projet'!$B$13,Paramètres!$A$1:$I$89,3,0)*0.475*44/12</f>
        <v>12.92032278481102</v>
      </c>
      <c r="DH132" s="21">
        <f>EXP(-LN(2)/2)*DH131+(1-EXP(-LN(2)/2))/(LN(2)/2)*DB132*DE132*VLOOKUP('Données projet'!$B$13,Paramètres!$A$1:$I$89,3,0)*0.475*44/12</f>
        <v>3.0254598607390125E-15</v>
      </c>
      <c r="DI132" s="22">
        <f t="shared" ref="DI132:DI153" si="123">SUM(DF132:DH132)</f>
        <v>35.886882965092255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168</v>
      </c>
      <c r="DP132" s="17">
        <f>DO132*VLOOKUP('Données projet'!$B$14,Paramètres!$A$1:$I$89,3,0)*VLOOKUP('Données projet'!$B$14,Paramètres!$A$1:$I$89,5,0)</f>
        <v>146.76480000000004</v>
      </c>
      <c r="DQ132" s="13">
        <f t="shared" si="97"/>
        <v>37.842444439956665</v>
      </c>
      <c r="DR132" s="20">
        <f t="shared" ref="DR132:DR153" si="124">(DP132+DQ132)*0.475*44/12</f>
        <v>321.52428406625791</v>
      </c>
      <c r="DS132" s="59">
        <f t="shared" ref="DS132:DS195" si="125">DR132+(DJ132+DK132)*44/12</f>
        <v>614.85761739959116</v>
      </c>
      <c r="DT132" s="59">
        <f ca="1">AVERAGE(OFFSET($DS$3,0,0,'Données projet'!$E$14+1,1))-AVERAGE(OFFSET($H$3,0,0,'Données projet'!$E$14+1,1))</f>
        <v>150.06600397498823</v>
      </c>
      <c r="DU132" s="59">
        <f t="shared" si="98"/>
        <v>170.53034305929714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2.7740080881496421</v>
      </c>
      <c r="EB132" s="21">
        <f>EXP(-LN(2)/25)*EB131+(1-EXP(-LN(2)/25))/(LN(2)/25)*Calculateur!DW132*Calculateur!DY132*VLOOKUP('Données projet'!$B$14,Paramètres!$A$1:$I$89,3,0)*0.475*44/12</f>
        <v>3.865202213529082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6.6392103016787241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294.94285920643927</v>
      </c>
      <c r="T133" s="59">
        <f t="shared" ref="T133:T196" si="142">$T$3</f>
        <v>399.89535338426606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34.486051522332907</v>
      </c>
      <c r="AA133" s="21">
        <f>EXP(-LN(2)/25)*AA132+(1-EXP(-LN(2)/25))/(LN(2)/25)*Calculateur!V133*Calculateur!X133*VLOOKUP('Données projet'!$B$9,Paramètres!$A$1:$I$89,3,0)*0.475*44/12</f>
        <v>19.793616348676377</v>
      </c>
      <c r="AB133" s="21">
        <f>EXP(-LN(2)/2)*AB132+(1-EXP(-LN(2)/2))/(LN(2)/2)*V133*Y133*VLOOKUP('Données projet'!$B$9,Paramètres!$A$1:$I$89,3,0)*0.475*44/12</f>
        <v>7.7055416988496742E-15</v>
      </c>
      <c r="AC133" s="22">
        <f t="shared" si="111"/>
        <v>54.279667871009288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-1.0197709343628959E-13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200.14675249215634</v>
      </c>
      <c r="AO133" s="59">
        <f t="shared" ref="AO133:AO196" si="144">$AO$3</f>
        <v>200.55017434999968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32.430506585054765</v>
      </c>
      <c r="AV133" s="21">
        <f>EXP(-LN(2)/25)*AV132+(1-EXP(-LN(2)/25))/(LN(2)/25)*Calculateur!AQ133*Calculateur!AS133*VLOOKUP('Données projet'!$B$10,Paramètres!$A$1:$I$89,3,0)*0.475*44/12</f>
        <v>5.1889839226358934</v>
      </c>
      <c r="AW133" s="21">
        <f>EXP(-LN(2)/2)*AW132+(1-EXP(-LN(2)/2))/(LN(2)/2)*AQ133*AT133*VLOOKUP('Données projet'!$B$10,Paramètres!$A$1:$I$89,3,0)*0.475*44/12</f>
        <v>9.3024132336659673E-10</v>
      </c>
      <c r="AX133" s="21">
        <f t="shared" si="114"/>
        <v>37.619490508620899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-1.4210854715202004E-13</v>
      </c>
      <c r="BE133" s="13">
        <f>BD133*VLOOKUP('Données projet'!$B$11,Paramètres!$A$1:$I$89,3,0)*VLOOKUP('Données projet'!$B$11,Paramètres!$A$1:$I$89,5,0)</f>
        <v>-8.128608897095547E-14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182.46132340647313</v>
      </c>
      <c r="BJ133" s="59">
        <f t="shared" ref="BJ133:BJ196" si="146">$BJ$3</f>
        <v>130.51706975490481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62.283461790973064</v>
      </c>
      <c r="BQ133" s="21">
        <f>EXP(-LN(2)/25)*BQ132+(1-EXP(-LN(2)/25))/(LN(2)/25)*Calculateur!BL133*Calculateur!BN133*VLOOKUP('Données projet'!$B$11,Paramètres!$A$1:$I$89,3,0)*0.475*44/12</f>
        <v>12.137208855884062</v>
      </c>
      <c r="BR133" s="21">
        <f>EXP(-LN(2)/2)*BR132+(1-EXP(-LN(2)/2))/(LN(2)/2)*BL133*BO133*VLOOKUP('Données projet'!$B$11,Paramètres!$A$1:$I$89,3,0)*0.475*44/12</f>
        <v>1.5002708548737154E-3</v>
      </c>
      <c r="BS133" s="22">
        <f t="shared" si="117"/>
        <v>74.422170917712009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735.00000000000011</v>
      </c>
      <c r="BZ133" s="13">
        <f>BY133*VLOOKUP('Données projet'!$B$12,Paramètres!$A$1:$I$89,3,0)*VLOOKUP('Données projet'!$B$12,Paramètres!$A$1:$I$89,5,0)</f>
        <v>296.20500000000004</v>
      </c>
      <c r="CA133" s="13">
        <f t="shared" ref="CA133:CA153" si="147">EXP(-1.0587+0.8836*LN(BZ133)+0.284)</f>
        <v>70.380297204000939</v>
      </c>
      <c r="CB133" s="20">
        <f t="shared" si="118"/>
        <v>638.46939263030174</v>
      </c>
      <c r="CC133" s="59">
        <f t="shared" si="119"/>
        <v>931.80272596363511</v>
      </c>
      <c r="CD133" s="59">
        <f ca="1">AVERAGE(OFFSET($CC$3,0,0,'Données projet'!$E$12+1,1))-AVERAGE(OFFSET($H$3,0,0,'Données projet'!$E$12+1,1))</f>
        <v>291.0962681460345</v>
      </c>
      <c r="CE133" s="59">
        <f t="shared" ref="CE133:CE196" si="148">$CE$3</f>
        <v>240.28311826371385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19.222112144108543</v>
      </c>
      <c r="CL133" s="21">
        <f>EXP(-LN(2)/25)*CL132+(1-EXP(-LN(2)/25))/(LN(2)/25)*Calculateur!CG133*Calculateur!CI133*VLOOKUP('Données projet'!$B$12,Paramètres!$A$1:$I$89,3,0)*0.475*44/12</f>
        <v>5.4639324356511514</v>
      </c>
      <c r="CM133" s="21">
        <f>EXP(-LN(2)/2)*CM132+(1-EXP(-LN(2)/2))/(LN(2)/2)*CG133*CJ133*VLOOKUP('Données projet'!$B$12,Paramètres!$A$1:$I$89,3,0)*0.475*44/12</f>
        <v>1.8093713136455976E-8</v>
      </c>
      <c r="CN133" s="22">
        <f t="shared" si="120"/>
        <v>24.686044597853407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-5.3205440053716299E-14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225.92546546283018</v>
      </c>
      <c r="CZ133" s="59">
        <f t="shared" ref="CZ133:CZ196" si="150">$CZ$3</f>
        <v>309.38786160614563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22.516199943364434</v>
      </c>
      <c r="DG133" s="21">
        <f>EXP(-LN(2)/25)*DG132+(1-EXP(-LN(2)/25))/(LN(2)/25)*Calculateur!DB133*Calculateur!DD133*VLOOKUP('Données projet'!$B$13,Paramètres!$A$1:$I$89,3,0)*0.475*44/12</f>
        <v>12.567015878810118</v>
      </c>
      <c r="DH133" s="21">
        <f>EXP(-LN(2)/2)*DH132+(1-EXP(-LN(2)/2))/(LN(2)/2)*DB133*DE133*VLOOKUP('Données projet'!$B$13,Paramètres!$A$1:$I$89,3,0)*0.475*44/12</f>
        <v>2.1393231837362634E-15</v>
      </c>
      <c r="DI133" s="22">
        <f t="shared" si="123"/>
        <v>35.083215822174552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168</v>
      </c>
      <c r="DP133" s="17">
        <f>DO133*VLOOKUP('Données projet'!$B$14,Paramètres!$A$1:$I$89,3,0)*VLOOKUP('Données projet'!$B$14,Paramètres!$A$1:$I$89,5,0)</f>
        <v>146.76480000000004</v>
      </c>
      <c r="DQ133" s="13">
        <f t="shared" ref="DQ133:DQ153" si="151">EXP(-1.0587+0.8836*LN(DP133)+0.284)</f>
        <v>37.842444439956665</v>
      </c>
      <c r="DR133" s="20">
        <f t="shared" si="124"/>
        <v>321.52428406625791</v>
      </c>
      <c r="DS133" s="59">
        <f t="shared" si="125"/>
        <v>614.85761739959116</v>
      </c>
      <c r="DT133" s="59">
        <f ca="1">AVERAGE(OFFSET($DS$3,0,0,'Données projet'!$E$14+1,1))-AVERAGE(OFFSET($H$3,0,0,'Données projet'!$E$14+1,1))</f>
        <v>150.06600397498823</v>
      </c>
      <c r="DU133" s="59">
        <f t="shared" ref="DU133:DU196" si="152">$DU$3</f>
        <v>170.53034305929714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2.7196114815188923</v>
      </c>
      <c r="EB133" s="21">
        <f>EXP(-LN(2)/25)*EB132+(1-EXP(-LN(2)/25))/(LN(2)/25)*Calculateur!DW133*Calculateur!DY133*VLOOKUP('Données projet'!$B$14,Paramètres!$A$1:$I$89,3,0)*0.475*44/12</f>
        <v>3.759508055737979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6.4791195372568708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294.94285920643927</v>
      </c>
      <c r="T134" s="59">
        <f t="shared" si="142"/>
        <v>399.89535338426606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33.809801086394408</v>
      </c>
      <c r="AA134" s="21">
        <f>EXP(-LN(2)/25)*AA133+(1-EXP(-LN(2)/25))/(LN(2)/25)*Calculateur!V134*Calculateur!X134*VLOOKUP('Données projet'!$B$9,Paramètres!$A$1:$I$89,3,0)*0.475*44/12</f>
        <v>19.252358868720776</v>
      </c>
      <c r="AB134" s="21">
        <f>EXP(-LN(2)/2)*AB133+(1-EXP(-LN(2)/2))/(LN(2)/2)*V134*Y134*VLOOKUP('Données projet'!$B$9,Paramètres!$A$1:$I$89,3,0)*0.475*44/12</f>
        <v>5.4486407879723143E-15</v>
      </c>
      <c r="AC134" s="22">
        <f t="shared" si="111"/>
        <v>53.062159955115192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-1.0197709343628959E-13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200.14675249215634</v>
      </c>
      <c r="AO134" s="59">
        <f t="shared" si="144"/>
        <v>200.55017434999968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31.79456413157768</v>
      </c>
      <c r="AV134" s="21">
        <f>EXP(-LN(2)/25)*AV133+(1-EXP(-LN(2)/25))/(LN(2)/25)*Calculateur!AQ134*Calculateur!AS134*VLOOKUP('Données projet'!$B$10,Paramètres!$A$1:$I$89,3,0)*0.475*44/12</f>
        <v>5.0470908843946098</v>
      </c>
      <c r="AW134" s="21">
        <f>EXP(-LN(2)/2)*AW133+(1-EXP(-LN(2)/2))/(LN(2)/2)*AQ134*AT134*VLOOKUP('Données projet'!$B$10,Paramètres!$A$1:$I$89,3,0)*0.475*44/12</f>
        <v>6.5777994789246856E-10</v>
      </c>
      <c r="AX134" s="21">
        <f t="shared" si="114"/>
        <v>36.841655016630071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-1.4210854715202004E-13</v>
      </c>
      <c r="BE134" s="13">
        <f>BD134*VLOOKUP('Données projet'!$B$11,Paramètres!$A$1:$I$89,3,0)*VLOOKUP('Données projet'!$B$11,Paramètres!$A$1:$I$89,5,0)</f>
        <v>-8.128608897095547E-14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182.46132340647313</v>
      </c>
      <c r="BJ134" s="59">
        <f t="shared" si="146"/>
        <v>130.51706975490481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61.062121094412653</v>
      </c>
      <c r="BQ134" s="21">
        <f>EXP(-LN(2)/25)*BQ133+(1-EXP(-LN(2)/25))/(LN(2)/25)*Calculateur!BL134*Calculateur!BN134*VLOOKUP('Données projet'!$B$11,Paramètres!$A$1:$I$89,3,0)*0.475*44/12</f>
        <v>11.805316241451838</v>
      </c>
      <c r="BR134" s="21">
        <f>EXP(-LN(2)/2)*BR133+(1-EXP(-LN(2)/2))/(LN(2)/2)*BL134*BO134*VLOOKUP('Données projet'!$B$11,Paramètres!$A$1:$I$89,3,0)*0.475*44/12</f>
        <v>1.0608516950977428E-3</v>
      </c>
      <c r="BS134" s="22">
        <f t="shared" si="117"/>
        <v>72.868498187559595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735.00000000000011</v>
      </c>
      <c r="BZ134" s="13">
        <f>BY134*VLOOKUP('Données projet'!$B$12,Paramètres!$A$1:$I$89,3,0)*VLOOKUP('Données projet'!$B$12,Paramètres!$A$1:$I$89,5,0)</f>
        <v>296.20500000000004</v>
      </c>
      <c r="CA134" s="13">
        <f t="shared" si="147"/>
        <v>70.380297204000939</v>
      </c>
      <c r="CB134" s="20">
        <f t="shared" si="118"/>
        <v>638.46939263030174</v>
      </c>
      <c r="CC134" s="59">
        <f t="shared" si="119"/>
        <v>931.80272596363511</v>
      </c>
      <c r="CD134" s="59">
        <f ca="1">AVERAGE(OFFSET($CC$3,0,0,'Données projet'!$E$12+1,1))-AVERAGE(OFFSET($H$3,0,0,'Données projet'!$E$12+1,1))</f>
        <v>291.0962681460345</v>
      </c>
      <c r="CE134" s="59">
        <f t="shared" si="148"/>
        <v>240.28311826371385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18.845178249293301</v>
      </c>
      <c r="CL134" s="21">
        <f>EXP(-LN(2)/25)*CL133+(1-EXP(-LN(2)/25))/(LN(2)/25)*Calculateur!CG134*Calculateur!CI134*VLOOKUP('Données projet'!$B$12,Paramètres!$A$1:$I$89,3,0)*0.475*44/12</f>
        <v>5.3145209158625519</v>
      </c>
      <c r="CM134" s="21">
        <f>EXP(-LN(2)/2)*CM133+(1-EXP(-LN(2)/2))/(LN(2)/2)*CG134*CJ134*VLOOKUP('Données projet'!$B$12,Paramètres!$A$1:$I$89,3,0)*0.475*44/12</f>
        <v>1.2794187255632137E-8</v>
      </c>
      <c r="CN134" s="22">
        <f t="shared" si="120"/>
        <v>24.159699177950042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-5.3205440053716299E-14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225.92546546283018</v>
      </c>
      <c r="CZ134" s="59">
        <f t="shared" si="150"/>
        <v>309.38786160614563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22.07467099600095</v>
      </c>
      <c r="DG134" s="21">
        <f>EXP(-LN(2)/25)*DG133+(1-EXP(-LN(2)/25))/(LN(2)/25)*Calculateur!DB134*Calculateur!DD134*VLOOKUP('Données projet'!$B$13,Paramètres!$A$1:$I$89,3,0)*0.475*44/12</f>
        <v>12.223370168733412</v>
      </c>
      <c r="DH134" s="21">
        <f>EXP(-LN(2)/2)*DH133+(1-EXP(-LN(2)/2))/(LN(2)/2)*DB134*DE134*VLOOKUP('Données projet'!$B$13,Paramètres!$A$1:$I$89,3,0)*0.475*44/12</f>
        <v>1.5127299303695062E-15</v>
      </c>
      <c r="DI134" s="22">
        <f t="shared" si="123"/>
        <v>34.298041164734364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168</v>
      </c>
      <c r="DP134" s="17">
        <f>DO134*VLOOKUP('Données projet'!$B$14,Paramètres!$A$1:$I$89,3,0)*VLOOKUP('Données projet'!$B$14,Paramètres!$A$1:$I$89,5,0)</f>
        <v>146.76480000000004</v>
      </c>
      <c r="DQ134" s="13">
        <f t="shared" si="151"/>
        <v>37.842444439956665</v>
      </c>
      <c r="DR134" s="20">
        <f t="shared" si="124"/>
        <v>321.52428406625791</v>
      </c>
      <c r="DS134" s="59">
        <f t="shared" si="125"/>
        <v>614.85761739959116</v>
      </c>
      <c r="DT134" s="59">
        <f ca="1">AVERAGE(OFFSET($DS$3,0,0,'Données projet'!$E$14+1,1))-AVERAGE(OFFSET($H$3,0,0,'Données projet'!$E$14+1,1))</f>
        <v>150.06600397498823</v>
      </c>
      <c r="DU134" s="59">
        <f t="shared" si="152"/>
        <v>170.53034305929714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2.6662815591655176</v>
      </c>
      <c r="EB134" s="21">
        <f>EXP(-LN(2)/25)*EB133+(1-EXP(-LN(2)/25))/(LN(2)/25)*Calculateur!DW134*Calculateur!DY134*VLOOKUP('Données projet'!$B$14,Paramètres!$A$1:$I$89,3,0)*0.475*44/12</f>
        <v>3.6567041102498878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6.3229856694154059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294.94285920643927</v>
      </c>
      <c r="T135" s="59">
        <f t="shared" si="142"/>
        <v>399.89535338426606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33.146811509032631</v>
      </c>
      <c r="AA135" s="21">
        <f>EXP(-LN(2)/25)*AA134+(1-EXP(-LN(2)/25))/(LN(2)/25)*Calculateur!V135*Calculateur!X135*VLOOKUP('Données projet'!$B$9,Paramètres!$A$1:$I$89,3,0)*0.475*44/12</f>
        <v>18.725902103018054</v>
      </c>
      <c r="AB135" s="21">
        <f>EXP(-LN(2)/2)*AB134+(1-EXP(-LN(2)/2))/(LN(2)/2)*V135*Y135*VLOOKUP('Données projet'!$B$9,Paramètres!$A$1:$I$89,3,0)*0.475*44/12</f>
        <v>3.8527708494248371E-15</v>
      </c>
      <c r="AC135" s="22">
        <f t="shared" si="111"/>
        <v>51.872713612050696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-1.0197709343628959E-13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200.14675249215634</v>
      </c>
      <c r="AO135" s="59">
        <f t="shared" si="144"/>
        <v>200.55017434999968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31.171092121726684</v>
      </c>
      <c r="AV135" s="21">
        <f>EXP(-LN(2)/25)*AV134+(1-EXP(-LN(2)/25))/(LN(2)/25)*Calculateur!AQ135*Calculateur!AS135*VLOOKUP('Données projet'!$B$10,Paramètres!$A$1:$I$89,3,0)*0.475*44/12</f>
        <v>4.9090779187458651</v>
      </c>
      <c r="AW135" s="21">
        <f>EXP(-LN(2)/2)*AW134+(1-EXP(-LN(2)/2))/(LN(2)/2)*AQ135*AT135*VLOOKUP('Données projet'!$B$10,Paramètres!$A$1:$I$89,3,0)*0.475*44/12</f>
        <v>4.6512066168329842E-10</v>
      </c>
      <c r="AX135" s="21">
        <f t="shared" si="114"/>
        <v>36.080170040937674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-1.4210854715202004E-13</v>
      </c>
      <c r="BE135" s="13">
        <f>BD135*VLOOKUP('Données projet'!$B$11,Paramètres!$A$1:$I$89,3,0)*VLOOKUP('Données projet'!$B$11,Paramètres!$A$1:$I$89,5,0)</f>
        <v>-8.128608897095547E-14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182.46132340647313</v>
      </c>
      <c r="BJ135" s="59">
        <f t="shared" si="146"/>
        <v>130.51706975490481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59.864730143967527</v>
      </c>
      <c r="BQ135" s="21">
        <f>EXP(-LN(2)/25)*BQ134+(1-EXP(-LN(2)/25))/(LN(2)/25)*Calculateur!BL135*Calculateur!BN135*VLOOKUP('Données projet'!$B$11,Paramètres!$A$1:$I$89,3,0)*0.475*44/12</f>
        <v>11.482499248014737</v>
      </c>
      <c r="BR135" s="21">
        <f>EXP(-LN(2)/2)*BR134+(1-EXP(-LN(2)/2))/(LN(2)/2)*BL135*BO135*VLOOKUP('Données projet'!$B$11,Paramètres!$A$1:$I$89,3,0)*0.475*44/12</f>
        <v>7.5013542743685769E-4</v>
      </c>
      <c r="BS135" s="22">
        <f t="shared" si="117"/>
        <v>71.347979527409706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735.00000000000011</v>
      </c>
      <c r="BZ135" s="13">
        <f>BY135*VLOOKUP('Données projet'!$B$12,Paramètres!$A$1:$I$89,3,0)*VLOOKUP('Données projet'!$B$12,Paramètres!$A$1:$I$89,5,0)</f>
        <v>296.20500000000004</v>
      </c>
      <c r="CA135" s="13">
        <f t="shared" si="147"/>
        <v>70.380297204000939</v>
      </c>
      <c r="CB135" s="20">
        <f t="shared" si="118"/>
        <v>638.46939263030174</v>
      </c>
      <c r="CC135" s="59">
        <f t="shared" si="119"/>
        <v>931.80272596363511</v>
      </c>
      <c r="CD135" s="59">
        <f ca="1">AVERAGE(OFFSET($CC$3,0,0,'Données projet'!$E$12+1,1))-AVERAGE(OFFSET($H$3,0,0,'Données projet'!$E$12+1,1))</f>
        <v>291.0962681460345</v>
      </c>
      <c r="CE135" s="59">
        <f t="shared" si="148"/>
        <v>240.28311826371385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18.475635798248412</v>
      </c>
      <c r="CL135" s="21">
        <f>EXP(-LN(2)/25)*CL134+(1-EXP(-LN(2)/25))/(LN(2)/25)*Calculateur!CG135*Calculateur!CI135*VLOOKUP('Données projet'!$B$12,Paramètres!$A$1:$I$89,3,0)*0.475*44/12</f>
        <v>5.1691950619397824</v>
      </c>
      <c r="CM135" s="21">
        <f>EXP(-LN(2)/2)*CM134+(1-EXP(-LN(2)/2))/(LN(2)/2)*CG135*CJ135*VLOOKUP('Données projet'!$B$12,Paramètres!$A$1:$I$89,3,0)*0.475*44/12</f>
        <v>9.0468565682279882E-9</v>
      </c>
      <c r="CN135" s="22">
        <f t="shared" si="120"/>
        <v>23.644830869235051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-5.3205440053716299E-14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225.92546546283018</v>
      </c>
      <c r="CZ135" s="59">
        <f t="shared" si="150"/>
        <v>309.38786160614563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21.641800161989199</v>
      </c>
      <c r="DG135" s="21">
        <f>EXP(-LN(2)/25)*DG134+(1-EXP(-LN(2)/25))/(LN(2)/25)*Calculateur!DB135*Calculateur!DD135*VLOOKUP('Données projet'!$B$13,Paramètres!$A$1:$I$89,3,0)*0.475*44/12</f>
        <v>11.889121468670297</v>
      </c>
      <c r="DH135" s="21">
        <f>EXP(-LN(2)/2)*DH134+(1-EXP(-LN(2)/2))/(LN(2)/2)*DB135*DE135*VLOOKUP('Données projet'!$B$13,Paramètres!$A$1:$I$89,3,0)*0.475*44/12</f>
        <v>1.0696615918681317E-15</v>
      </c>
      <c r="DI135" s="22">
        <f t="shared" si="123"/>
        <v>33.530921630659492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168</v>
      </c>
      <c r="DP135" s="17">
        <f>DO135*VLOOKUP('Données projet'!$B$14,Paramètres!$A$1:$I$89,3,0)*VLOOKUP('Données projet'!$B$14,Paramètres!$A$1:$I$89,5,0)</f>
        <v>146.76480000000004</v>
      </c>
      <c r="DQ135" s="13">
        <f t="shared" si="151"/>
        <v>37.842444439956665</v>
      </c>
      <c r="DR135" s="20">
        <f t="shared" si="124"/>
        <v>321.52428406625791</v>
      </c>
      <c r="DS135" s="59">
        <f t="shared" si="125"/>
        <v>614.85761739959116</v>
      </c>
      <c r="DT135" s="59">
        <f ca="1">AVERAGE(OFFSET($DS$3,0,0,'Données projet'!$E$14+1,1))-AVERAGE(OFFSET($H$3,0,0,'Données projet'!$E$14+1,1))</f>
        <v>150.06600397498823</v>
      </c>
      <c r="DU135" s="59">
        <f t="shared" si="152"/>
        <v>170.53034305929714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2.6139974040614518</v>
      </c>
      <c r="EB135" s="21">
        <f>EXP(-LN(2)/25)*EB134+(1-EXP(-LN(2)/25))/(LN(2)/25)*Calculateur!DW135*Calculateur!DY135*VLOOKUP('Données projet'!$B$14,Paramètres!$A$1:$I$89,3,0)*0.475*44/12</f>
        <v>3.5567113440573932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6.1707087481188445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294.94285920643927</v>
      </c>
      <c r="T136" s="59">
        <f t="shared" si="142"/>
        <v>399.89535338426606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32.496822752899206</v>
      </c>
      <c r="AA136" s="21">
        <f>EXP(-LN(2)/25)*AA135+(1-EXP(-LN(2)/25))/(LN(2)/25)*Calculateur!V136*Calculateur!X136*VLOOKUP('Données projet'!$B$9,Paramètres!$A$1:$I$89,3,0)*0.475*44/12</f>
        <v>18.213841325258631</v>
      </c>
      <c r="AB136" s="21">
        <f>EXP(-LN(2)/2)*AB135+(1-EXP(-LN(2)/2))/(LN(2)/2)*V136*Y136*VLOOKUP('Données projet'!$B$9,Paramètres!$A$1:$I$89,3,0)*0.475*44/12</f>
        <v>2.7243203939861571E-15</v>
      </c>
      <c r="AC136" s="22">
        <f t="shared" si="111"/>
        <v>50.710664078157834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-1.0197709343628959E-13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200.14675249215634</v>
      </c>
      <c r="AO136" s="59">
        <f t="shared" si="144"/>
        <v>200.55017434999968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30.559846017708491</v>
      </c>
      <c r="AV136" s="21">
        <f>EXP(-LN(2)/25)*AV135+(1-EXP(-LN(2)/25))/(LN(2)/25)*Calculateur!AQ136*Calculateur!AS136*VLOOKUP('Données projet'!$B$10,Paramètres!$A$1:$I$89,3,0)*0.475*44/12</f>
        <v>4.7748389249005712</v>
      </c>
      <c r="AW136" s="21">
        <f>EXP(-LN(2)/2)*AW135+(1-EXP(-LN(2)/2))/(LN(2)/2)*AQ136*AT136*VLOOKUP('Données projet'!$B$10,Paramètres!$A$1:$I$89,3,0)*0.475*44/12</f>
        <v>3.2888997394623433E-10</v>
      </c>
      <c r="AX136" s="21">
        <f t="shared" si="114"/>
        <v>35.334684942937947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-1.4210854715202004E-13</v>
      </c>
      <c r="BE136" s="13">
        <f>BD136*VLOOKUP('Données projet'!$B$11,Paramètres!$A$1:$I$89,3,0)*VLOOKUP('Données projet'!$B$11,Paramètres!$A$1:$I$89,5,0)</f>
        <v>-8.128608897095547E-14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182.46132340647313</v>
      </c>
      <c r="BJ136" s="59">
        <f t="shared" si="146"/>
        <v>130.51706975490481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58.690819299724268</v>
      </c>
      <c r="BQ136" s="21">
        <f>EXP(-LN(2)/25)*BQ135+(1-EXP(-LN(2)/25))/(LN(2)/25)*Calculateur!BL136*Calculateur!BN136*VLOOKUP('Données projet'!$B$11,Paramètres!$A$1:$I$89,3,0)*0.475*44/12</f>
        <v>11.168509702239382</v>
      </c>
      <c r="BR136" s="21">
        <f>EXP(-LN(2)/2)*BR135+(1-EXP(-LN(2)/2))/(LN(2)/2)*BL136*BO136*VLOOKUP('Données projet'!$B$11,Paramètres!$A$1:$I$89,3,0)*0.475*44/12</f>
        <v>5.3042584754887142E-4</v>
      </c>
      <c r="BS136" s="22">
        <f t="shared" si="117"/>
        <v>69.859859427811188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735.00000000000011</v>
      </c>
      <c r="BZ136" s="13">
        <f>BY136*VLOOKUP('Données projet'!$B$12,Paramètres!$A$1:$I$89,3,0)*VLOOKUP('Données projet'!$B$12,Paramètres!$A$1:$I$89,5,0)</f>
        <v>296.20500000000004</v>
      </c>
      <c r="CA136" s="13">
        <f t="shared" si="147"/>
        <v>70.380297204000939</v>
      </c>
      <c r="CB136" s="20">
        <f t="shared" si="118"/>
        <v>638.46939263030174</v>
      </c>
      <c r="CC136" s="59">
        <f t="shared" si="119"/>
        <v>931.80272596363511</v>
      </c>
      <c r="CD136" s="59">
        <f ca="1">AVERAGE(OFFSET($CC$3,0,0,'Données projet'!$E$12+1,1))-AVERAGE(OFFSET($H$3,0,0,'Données projet'!$E$12+1,1))</f>
        <v>291.0962681460345</v>
      </c>
      <c r="CE136" s="59">
        <f t="shared" si="148"/>
        <v>240.28311826371385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18.113339849269874</v>
      </c>
      <c r="CL136" s="21">
        <f>EXP(-LN(2)/25)*CL135+(1-EXP(-LN(2)/25))/(LN(2)/25)*Calculateur!CG136*Calculateur!CI136*VLOOKUP('Données projet'!$B$12,Paramètres!$A$1:$I$89,3,0)*0.475*44/12</f>
        <v>5.0278431511348849</v>
      </c>
      <c r="CM136" s="21">
        <f>EXP(-LN(2)/2)*CM135+(1-EXP(-LN(2)/2))/(LN(2)/2)*CG136*CJ136*VLOOKUP('Données projet'!$B$12,Paramètres!$A$1:$I$89,3,0)*0.475*44/12</f>
        <v>6.3970936278160684E-9</v>
      </c>
      <c r="CN136" s="22">
        <f t="shared" si="120"/>
        <v>23.141183006801853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-5.3205440053716299E-14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225.92546546283018</v>
      </c>
      <c r="CZ136" s="59">
        <f t="shared" si="150"/>
        <v>309.38786160614563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21.217417661007278</v>
      </c>
      <c r="DG136" s="21">
        <f>EXP(-LN(2)/25)*DG135+(1-EXP(-LN(2)/25))/(LN(2)/25)*Calculateur!DB136*Calculateur!DD136*VLOOKUP('Données projet'!$B$13,Paramètres!$A$1:$I$89,3,0)*0.475*44/12</f>
        <v>11.564012816887782</v>
      </c>
      <c r="DH136" s="21">
        <f>EXP(-LN(2)/2)*DH135+(1-EXP(-LN(2)/2))/(LN(2)/2)*DB136*DE136*VLOOKUP('Données projet'!$B$13,Paramètres!$A$1:$I$89,3,0)*0.475*44/12</f>
        <v>7.5636496518475312E-16</v>
      </c>
      <c r="DI136" s="22">
        <f t="shared" si="123"/>
        <v>32.781430477895057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168</v>
      </c>
      <c r="DP136" s="17">
        <f>DO136*VLOOKUP('Données projet'!$B$14,Paramètres!$A$1:$I$89,3,0)*VLOOKUP('Données projet'!$B$14,Paramètres!$A$1:$I$89,5,0)</f>
        <v>146.76480000000004</v>
      </c>
      <c r="DQ136" s="13">
        <f t="shared" si="151"/>
        <v>37.842444439956665</v>
      </c>
      <c r="DR136" s="20">
        <f t="shared" si="124"/>
        <v>321.52428406625791</v>
      </c>
      <c r="DS136" s="59">
        <f t="shared" si="125"/>
        <v>614.85761739959116</v>
      </c>
      <c r="DT136" s="59">
        <f ca="1">AVERAGE(OFFSET($DS$3,0,0,'Données projet'!$E$14+1,1))-AVERAGE(OFFSET($H$3,0,0,'Données projet'!$E$14+1,1))</f>
        <v>150.06600397498823</v>
      </c>
      <c r="DU136" s="59">
        <f t="shared" si="152"/>
        <v>170.53034305929714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2.5627385093487911</v>
      </c>
      <c r="EB136" s="21">
        <f>EXP(-LN(2)/25)*EB135+(1-EXP(-LN(2)/25))/(LN(2)/25)*Calculateur!DW136*Calculateur!DY136*VLOOKUP('Données projet'!$B$14,Paramètres!$A$1:$I$89,3,0)*0.475*44/12</f>
        <v>3.459452885314823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6.0221913946636141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294.94285920643927</v>
      </c>
      <c r="T137" s="59">
        <f t="shared" si="142"/>
        <v>399.89535338426606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31.85957987981956</v>
      </c>
      <c r="AA137" s="21">
        <f>EXP(-LN(2)/25)*AA136+(1-EXP(-LN(2)/25))/(LN(2)/25)*Calculateur!V137*Calculateur!X137*VLOOKUP('Données projet'!$B$9,Paramètres!$A$1:$I$89,3,0)*0.475*44/12</f>
        <v>17.715782876395146</v>
      </c>
      <c r="AB137" s="21">
        <f>EXP(-LN(2)/2)*AB136+(1-EXP(-LN(2)/2))/(LN(2)/2)*V137*Y137*VLOOKUP('Données projet'!$B$9,Paramètres!$A$1:$I$89,3,0)*0.475*44/12</f>
        <v>1.9263854247124186E-15</v>
      </c>
      <c r="AC137" s="22">
        <f t="shared" si="111"/>
        <v>49.575362756214702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-1.0197709343628959E-13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200.14675249215634</v>
      </c>
      <c r="AO137" s="59">
        <f t="shared" si="144"/>
        <v>200.55017434999968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29.960586076966784</v>
      </c>
      <c r="AV137" s="21">
        <f>EXP(-LN(2)/25)*AV136+(1-EXP(-LN(2)/25))/(LN(2)/25)*Calculateur!AQ137*Calculateur!AS137*VLOOKUP('Données projet'!$B$10,Paramètres!$A$1:$I$89,3,0)*0.475*44/12</f>
        <v>4.6442707034012987</v>
      </c>
      <c r="AW137" s="21">
        <f>EXP(-LN(2)/2)*AW136+(1-EXP(-LN(2)/2))/(LN(2)/2)*AQ137*AT137*VLOOKUP('Données projet'!$B$10,Paramètres!$A$1:$I$89,3,0)*0.475*44/12</f>
        <v>2.3256033084164926E-10</v>
      </c>
      <c r="AX137" s="21">
        <f t="shared" si="114"/>
        <v>34.604856780600642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-1.4210854715202004E-13</v>
      </c>
      <c r="BE137" s="13">
        <f>BD137*VLOOKUP('Données projet'!$B$11,Paramètres!$A$1:$I$89,3,0)*VLOOKUP('Données projet'!$B$11,Paramètres!$A$1:$I$89,5,0)</f>
        <v>-8.128608897095547E-14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182.46132340647313</v>
      </c>
      <c r="BJ137" s="59">
        <f t="shared" si="146"/>
        <v>130.51706975490481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57.539928131121705</v>
      </c>
      <c r="BQ137" s="21">
        <f>EXP(-LN(2)/25)*BQ136+(1-EXP(-LN(2)/25))/(LN(2)/25)*Calculateur!BL137*Calculateur!BN137*VLOOKUP('Données projet'!$B$11,Paramètres!$A$1:$I$89,3,0)*0.475*44/12</f>
        <v>10.863106217105246</v>
      </c>
      <c r="BR137" s="21">
        <f>EXP(-LN(2)/2)*BR136+(1-EXP(-LN(2)/2))/(LN(2)/2)*BL137*BO137*VLOOKUP('Données projet'!$B$11,Paramètres!$A$1:$I$89,3,0)*0.475*44/12</f>
        <v>3.7506771371842885E-4</v>
      </c>
      <c r="BS137" s="22">
        <f t="shared" si="117"/>
        <v>68.403409415940672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735.00000000000011</v>
      </c>
      <c r="BZ137" s="13">
        <f>BY137*VLOOKUP('Données projet'!$B$12,Paramètres!$A$1:$I$89,3,0)*VLOOKUP('Données projet'!$B$12,Paramètres!$A$1:$I$89,5,0)</f>
        <v>296.20500000000004</v>
      </c>
      <c r="CA137" s="13">
        <f t="shared" si="147"/>
        <v>70.380297204000939</v>
      </c>
      <c r="CB137" s="20">
        <f t="shared" si="118"/>
        <v>638.46939263030174</v>
      </c>
      <c r="CC137" s="59">
        <f t="shared" si="119"/>
        <v>931.80272596363511</v>
      </c>
      <c r="CD137" s="59">
        <f ca="1">AVERAGE(OFFSET($CC$3,0,0,'Données projet'!$E$12+1,1))-AVERAGE(OFFSET($H$3,0,0,'Données projet'!$E$12+1,1))</f>
        <v>291.0962681460345</v>
      </c>
      <c r="CE137" s="59">
        <f t="shared" si="148"/>
        <v>240.28311826371385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17.758148302872097</v>
      </c>
      <c r="CL137" s="21">
        <f>EXP(-LN(2)/25)*CL136+(1-EXP(-LN(2)/25))/(LN(2)/25)*Calculateur!CG137*Calculateur!CI137*VLOOKUP('Données projet'!$B$12,Paramètres!$A$1:$I$89,3,0)*0.475*44/12</f>
        <v>4.8903565157643216</v>
      </c>
      <c r="CM137" s="21">
        <f>EXP(-LN(2)/2)*CM136+(1-EXP(-LN(2)/2))/(LN(2)/2)*CG137*CJ137*VLOOKUP('Données projet'!$B$12,Paramètres!$A$1:$I$89,3,0)*0.475*44/12</f>
        <v>4.5234282841139941E-9</v>
      </c>
      <c r="CN137" s="22">
        <f t="shared" si="120"/>
        <v>22.648504823159847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-5.3205440053716299E-14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225.92546546283018</v>
      </c>
      <c r="CZ137" s="59">
        <f t="shared" si="150"/>
        <v>309.38786160614563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20.801357042021849</v>
      </c>
      <c r="DG137" s="21">
        <f>EXP(-LN(2)/25)*DG136+(1-EXP(-LN(2)/25))/(LN(2)/25)*Calculateur!DB137*Calculateur!DD137*VLOOKUP('Données projet'!$B$13,Paramètres!$A$1:$I$89,3,0)*0.475*44/12</f>
        <v>11.247794278284982</v>
      </c>
      <c r="DH137" s="21">
        <f>EXP(-LN(2)/2)*DH136+(1-EXP(-LN(2)/2))/(LN(2)/2)*DB137*DE137*VLOOKUP('Données projet'!$B$13,Paramètres!$A$1:$I$89,3,0)*0.475*44/12</f>
        <v>5.3483079593406585E-16</v>
      </c>
      <c r="DI137" s="22">
        <f t="shared" si="123"/>
        <v>32.049151320306834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168</v>
      </c>
      <c r="DP137" s="17">
        <f>DO137*VLOOKUP('Données projet'!$B$14,Paramètres!$A$1:$I$89,3,0)*VLOOKUP('Données projet'!$B$14,Paramètres!$A$1:$I$89,5,0)</f>
        <v>146.76480000000004</v>
      </c>
      <c r="DQ137" s="13">
        <f t="shared" si="151"/>
        <v>37.842444439956665</v>
      </c>
      <c r="DR137" s="20">
        <f t="shared" si="124"/>
        <v>321.52428406625791</v>
      </c>
      <c r="DS137" s="59">
        <f t="shared" si="125"/>
        <v>614.85761739959116</v>
      </c>
      <c r="DT137" s="59">
        <f ca="1">AVERAGE(OFFSET($DS$3,0,0,'Données projet'!$E$14+1,1))-AVERAGE(OFFSET($H$3,0,0,'Données projet'!$E$14+1,1))</f>
        <v>150.06600397498823</v>
      </c>
      <c r="DU137" s="59">
        <f t="shared" si="152"/>
        <v>170.53034305929714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2.5124847702966071</v>
      </c>
      <c r="EB137" s="21">
        <f>EXP(-LN(2)/25)*EB136+(1-EXP(-LN(2)/25))/(LN(2)/25)*Calculateur!DW137*Calculateur!DY137*VLOOKUP('Données projet'!$B$14,Paramètres!$A$1:$I$89,3,0)*0.475*44/12</f>
        <v>3.3648539642411688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5.8773387345377763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294.94285920643927</v>
      </c>
      <c r="T138" s="59">
        <f t="shared" si="142"/>
        <v>399.89535338426606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31.234832950801231</v>
      </c>
      <c r="AA138" s="21">
        <f>EXP(-LN(2)/25)*AA137+(1-EXP(-LN(2)/25))/(LN(2)/25)*Calculateur!V138*Calculateur!X138*VLOOKUP('Données projet'!$B$9,Paramètres!$A$1:$I$89,3,0)*0.475*44/12</f>
        <v>17.231343862007588</v>
      </c>
      <c r="AB138" s="21">
        <f>EXP(-LN(2)/2)*AB137+(1-EXP(-LN(2)/2))/(LN(2)/2)*V138*Y138*VLOOKUP('Données projet'!$B$9,Paramètres!$A$1:$I$89,3,0)*0.475*44/12</f>
        <v>1.3621601969930786E-15</v>
      </c>
      <c r="AC138" s="22">
        <f t="shared" si="111"/>
        <v>48.466176812808818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-1.0197709343628959E-13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200.14675249215634</v>
      </c>
      <c r="AO138" s="59">
        <f t="shared" si="144"/>
        <v>200.55017434999968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29.373077258150548</v>
      </c>
      <c r="AV138" s="21">
        <f>EXP(-LN(2)/25)*AV137+(1-EXP(-LN(2)/25))/(LN(2)/25)*Calculateur!AQ138*Calculateur!AS138*VLOOKUP('Données projet'!$B$10,Paramètres!$A$1:$I$89,3,0)*0.475*44/12</f>
        <v>4.5172728767852082</v>
      </c>
      <c r="AW138" s="21">
        <f>EXP(-LN(2)/2)*AW137+(1-EXP(-LN(2)/2))/(LN(2)/2)*AQ138*AT138*VLOOKUP('Données projet'!$B$10,Paramètres!$A$1:$I$89,3,0)*0.475*44/12</f>
        <v>1.6444498697311719E-10</v>
      </c>
      <c r="AX138" s="21">
        <f t="shared" si="114"/>
        <v>33.890350135100206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-1.4210854715202004E-13</v>
      </c>
      <c r="BE138" s="13">
        <f>BD138*VLOOKUP('Données projet'!$B$11,Paramètres!$A$1:$I$89,3,0)*VLOOKUP('Données projet'!$B$11,Paramètres!$A$1:$I$89,5,0)</f>
        <v>-8.128608897095547E-14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182.46132340647313</v>
      </c>
      <c r="BJ138" s="59">
        <f t="shared" si="146"/>
        <v>130.51706975490481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56.41160523636114</v>
      </c>
      <c r="BQ138" s="21">
        <f>EXP(-LN(2)/25)*BQ137+(1-EXP(-LN(2)/25))/(LN(2)/25)*Calculateur!BL138*Calculateur!BN138*VLOOKUP('Données projet'!$B$11,Paramètres!$A$1:$I$89,3,0)*0.475*44/12</f>
        <v>10.566054006332575</v>
      </c>
      <c r="BR138" s="21">
        <f>EXP(-LN(2)/2)*BR137+(1-EXP(-LN(2)/2))/(LN(2)/2)*BL138*BO138*VLOOKUP('Données projet'!$B$11,Paramètres!$A$1:$I$89,3,0)*0.475*44/12</f>
        <v>2.6521292377443571E-4</v>
      </c>
      <c r="BS138" s="22">
        <f t="shared" si="117"/>
        <v>66.977924455617497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735.00000000000011</v>
      </c>
      <c r="BZ138" s="13">
        <f>BY138*VLOOKUP('Données projet'!$B$12,Paramètres!$A$1:$I$89,3,0)*VLOOKUP('Données projet'!$B$12,Paramètres!$A$1:$I$89,5,0)</f>
        <v>296.20500000000004</v>
      </c>
      <c r="CA138" s="13">
        <f t="shared" si="147"/>
        <v>70.380297204000939</v>
      </c>
      <c r="CB138" s="20">
        <f t="shared" si="118"/>
        <v>638.46939263030174</v>
      </c>
      <c r="CC138" s="59">
        <f t="shared" si="119"/>
        <v>931.80272596363511</v>
      </c>
      <c r="CD138" s="59">
        <f ca="1">AVERAGE(OFFSET($CC$3,0,0,'Données projet'!$E$12+1,1))-AVERAGE(OFFSET($H$3,0,0,'Données projet'!$E$12+1,1))</f>
        <v>291.0962681460345</v>
      </c>
      <c r="CE138" s="59">
        <f t="shared" si="148"/>
        <v>240.28311826371385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17.409921846053727</v>
      </c>
      <c r="CL138" s="21">
        <f>EXP(-LN(2)/25)*CL137+(1-EXP(-LN(2)/25))/(LN(2)/25)*Calculateur!CG138*Calculateur!CI138*VLOOKUP('Données projet'!$B$12,Paramètres!$A$1:$I$89,3,0)*0.475*44/12</f>
        <v>4.7566294596680745</v>
      </c>
      <c r="CM138" s="21">
        <f>EXP(-LN(2)/2)*CM137+(1-EXP(-LN(2)/2))/(LN(2)/2)*CG138*CJ138*VLOOKUP('Données projet'!$B$12,Paramètres!$A$1:$I$89,3,0)*0.475*44/12</f>
        <v>3.1985468139080342E-9</v>
      </c>
      <c r="CN138" s="22">
        <f t="shared" si="120"/>
        <v>22.166551308920351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-5.3205440053716299E-14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225.92546546283018</v>
      </c>
      <c r="CZ138" s="59">
        <f t="shared" si="150"/>
        <v>309.38786160614563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20.393455118002802</v>
      </c>
      <c r="DG138" s="21">
        <f>EXP(-LN(2)/25)*DG137+(1-EXP(-LN(2)/25))/(LN(2)/25)*Calculateur!DB138*Calculateur!DD138*VLOOKUP('Données projet'!$B$13,Paramètres!$A$1:$I$89,3,0)*0.475*44/12</f>
        <v>10.940222752249484</v>
      </c>
      <c r="DH138" s="21">
        <f>EXP(-LN(2)/2)*DH137+(1-EXP(-LN(2)/2))/(LN(2)/2)*DB138*DE138*VLOOKUP('Données projet'!$B$13,Paramètres!$A$1:$I$89,3,0)*0.475*44/12</f>
        <v>3.7818248259237656E-16</v>
      </c>
      <c r="DI138" s="22">
        <f t="shared" si="123"/>
        <v>31.333677870252288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168</v>
      </c>
      <c r="DP138" s="17">
        <f>DO138*VLOOKUP('Données projet'!$B$14,Paramètres!$A$1:$I$89,3,0)*VLOOKUP('Données projet'!$B$14,Paramètres!$A$1:$I$89,5,0)</f>
        <v>146.76480000000004</v>
      </c>
      <c r="DQ138" s="13">
        <f t="shared" si="151"/>
        <v>37.842444439956665</v>
      </c>
      <c r="DR138" s="20">
        <f t="shared" si="124"/>
        <v>321.52428406625791</v>
      </c>
      <c r="DS138" s="59">
        <f t="shared" si="125"/>
        <v>614.85761739959116</v>
      </c>
      <c r="DT138" s="59">
        <f ca="1">AVERAGE(OFFSET($DS$3,0,0,'Données projet'!$E$14+1,1))-AVERAGE(OFFSET($H$3,0,0,'Données projet'!$E$14+1,1))</f>
        <v>150.06600397498823</v>
      </c>
      <c r="DU138" s="59">
        <f t="shared" si="152"/>
        <v>170.53034305929714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2.4632164764154822</v>
      </c>
      <c r="EB138" s="21">
        <f>EXP(-LN(2)/25)*EB137+(1-EXP(-LN(2)/25))/(LN(2)/25)*Calculateur!DW138*Calculateur!DY138*VLOOKUP('Données projet'!$B$14,Paramètres!$A$1:$I$89,3,0)*0.475*44/12</f>
        <v>3.2728418556390144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5.7360583320544967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294.94285920643927</v>
      </c>
      <c r="T139" s="59">
        <f t="shared" si="142"/>
        <v>399.89535338426606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30.622336928002952</v>
      </c>
      <c r="AA139" s="21">
        <f>EXP(-LN(2)/25)*AA138+(1-EXP(-LN(2)/25))/(LN(2)/25)*Calculateur!V139*Calculateur!X139*VLOOKUP('Données projet'!$B$9,Paramètres!$A$1:$I$89,3,0)*0.475*44/12</f>
        <v>16.760151857943999</v>
      </c>
      <c r="AB139" s="21">
        <f>EXP(-LN(2)/2)*AB138+(1-EXP(-LN(2)/2))/(LN(2)/2)*V139*Y139*VLOOKUP('Données projet'!$B$9,Paramètres!$A$1:$I$89,3,0)*0.475*44/12</f>
        <v>9.6319271235620928E-16</v>
      </c>
      <c r="AC139" s="22">
        <f t="shared" si="111"/>
        <v>47.382488785946947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-1.0197709343628959E-13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200.14675249215634</v>
      </c>
      <c r="AO139" s="59">
        <f t="shared" si="144"/>
        <v>200.55017434999968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28.797089128926306</v>
      </c>
      <c r="AV139" s="21">
        <f>EXP(-LN(2)/25)*AV138+(1-EXP(-LN(2)/25))/(LN(2)/25)*Calculateur!AQ139*Calculateur!AS139*VLOOKUP('Données projet'!$B$10,Paramètres!$A$1:$I$89,3,0)*0.475*44/12</f>
        <v>4.3937478124164606</v>
      </c>
      <c r="AW139" s="21">
        <f>EXP(-LN(2)/2)*AW138+(1-EXP(-LN(2)/2))/(LN(2)/2)*AQ139*AT139*VLOOKUP('Données projet'!$B$10,Paramètres!$A$1:$I$89,3,0)*0.475*44/12</f>
        <v>1.1628016542082464E-10</v>
      </c>
      <c r="AX139" s="21">
        <f t="shared" si="114"/>
        <v>33.190836941459047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-1.4210854715202004E-13</v>
      </c>
      <c r="BE139" s="13">
        <f>BD139*VLOOKUP('Données projet'!$B$11,Paramètres!$A$1:$I$89,3,0)*VLOOKUP('Données projet'!$B$11,Paramètres!$A$1:$I$89,5,0)</f>
        <v>-8.128608897095547E-14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182.46132340647313</v>
      </c>
      <c r="BJ139" s="59">
        <f t="shared" si="146"/>
        <v>130.51706975490481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55.305408065357817</v>
      </c>
      <c r="BQ139" s="21">
        <f>EXP(-LN(2)/25)*BQ138+(1-EXP(-LN(2)/25))/(LN(2)/25)*Calculateur!BL139*Calculateur!BN139*VLOOKUP('Données projet'!$B$11,Paramètres!$A$1:$I$89,3,0)*0.475*44/12</f>
        <v>10.277124703884779</v>
      </c>
      <c r="BR139" s="21">
        <f>EXP(-LN(2)/2)*BR138+(1-EXP(-LN(2)/2))/(LN(2)/2)*BL139*BO139*VLOOKUP('Données projet'!$B$11,Paramètres!$A$1:$I$89,3,0)*0.475*44/12</f>
        <v>1.8753385685921442E-4</v>
      </c>
      <c r="BS139" s="22">
        <f t="shared" si="117"/>
        <v>65.58272030309945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735.00000000000011</v>
      </c>
      <c r="BZ139" s="13">
        <f>BY139*VLOOKUP('Données projet'!$B$12,Paramètres!$A$1:$I$89,3,0)*VLOOKUP('Données projet'!$B$12,Paramètres!$A$1:$I$89,5,0)</f>
        <v>296.20500000000004</v>
      </c>
      <c r="CA139" s="13">
        <f t="shared" si="147"/>
        <v>70.380297204000939</v>
      </c>
      <c r="CB139" s="20">
        <f t="shared" si="118"/>
        <v>638.46939263030174</v>
      </c>
      <c r="CC139" s="59">
        <f t="shared" si="119"/>
        <v>931.80272596363511</v>
      </c>
      <c r="CD139" s="59">
        <f ca="1">AVERAGE(OFFSET($CC$3,0,0,'Données projet'!$E$12+1,1))-AVERAGE(OFFSET($H$3,0,0,'Données projet'!$E$12+1,1))</f>
        <v>291.0962681460345</v>
      </c>
      <c r="CE139" s="59">
        <f t="shared" si="148"/>
        <v>240.28311826371385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17.068523897656402</v>
      </c>
      <c r="CL139" s="21">
        <f>EXP(-LN(2)/25)*CL138+(1-EXP(-LN(2)/25))/(LN(2)/25)*Calculateur!CG139*Calculateur!CI139*VLOOKUP('Données projet'!$B$12,Paramètres!$A$1:$I$89,3,0)*0.475*44/12</f>
        <v>4.6265591769531795</v>
      </c>
      <c r="CM139" s="21">
        <f>EXP(-LN(2)/2)*CM138+(1-EXP(-LN(2)/2))/(LN(2)/2)*CG139*CJ139*VLOOKUP('Données projet'!$B$12,Paramètres!$A$1:$I$89,3,0)*0.475*44/12</f>
        <v>2.2617141420569971E-9</v>
      </c>
      <c r="CN139" s="22">
        <f t="shared" si="120"/>
        <v>21.695083076871295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-5.3205440053716299E-14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225.92546546283018</v>
      </c>
      <c r="CZ139" s="59">
        <f t="shared" si="150"/>
        <v>309.38786160614563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19.99355190191816</v>
      </c>
      <c r="DG139" s="21">
        <f>EXP(-LN(2)/25)*DG138+(1-EXP(-LN(2)/25))/(LN(2)/25)*Calculateur!DB139*Calculateur!DD139*VLOOKUP('Données projet'!$B$13,Paramètres!$A$1:$I$89,3,0)*0.475*44/12</f>
        <v>10.641061785767912</v>
      </c>
      <c r="DH139" s="21">
        <f>EXP(-LN(2)/2)*DH138+(1-EXP(-LN(2)/2))/(LN(2)/2)*DB139*DE139*VLOOKUP('Données projet'!$B$13,Paramètres!$A$1:$I$89,3,0)*0.475*44/12</f>
        <v>2.6741539796703293E-16</v>
      </c>
      <c r="DI139" s="22">
        <f t="shared" si="123"/>
        <v>30.63461368768607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168</v>
      </c>
      <c r="DP139" s="17">
        <f>DO139*VLOOKUP('Données projet'!$B$14,Paramètres!$A$1:$I$89,3,0)*VLOOKUP('Données projet'!$B$14,Paramètres!$A$1:$I$89,5,0)</f>
        <v>146.76480000000004</v>
      </c>
      <c r="DQ139" s="13">
        <f t="shared" si="151"/>
        <v>37.842444439956665</v>
      </c>
      <c r="DR139" s="20">
        <f t="shared" si="124"/>
        <v>321.52428406625791</v>
      </c>
      <c r="DS139" s="59">
        <f t="shared" si="125"/>
        <v>614.85761739959116</v>
      </c>
      <c r="DT139" s="59">
        <f ca="1">AVERAGE(OFFSET($DS$3,0,0,'Données projet'!$E$14+1,1))-AVERAGE(OFFSET($H$3,0,0,'Données projet'!$E$14+1,1))</f>
        <v>150.06600397498823</v>
      </c>
      <c r="DU139" s="59">
        <f t="shared" si="152"/>
        <v>170.53034305929714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2.414914303726674</v>
      </c>
      <c r="EB139" s="21">
        <f>EXP(-LN(2)/25)*EB138+(1-EXP(-LN(2)/25))/(LN(2)/25)*Calculateur!DW139*Calculateur!DY139*VLOOKUP('Données projet'!$B$14,Paramètres!$A$1:$I$89,3,0)*0.475*44/12</f>
        <v>3.1833458229852925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5.5982601267119669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294.94285920643927</v>
      </c>
      <c r="T140" s="59">
        <f t="shared" si="142"/>
        <v>399.89535338426606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30.021851578626062</v>
      </c>
      <c r="AA140" s="21">
        <f>EXP(-LN(2)/25)*AA139+(1-EXP(-LN(2)/25))/(LN(2)/25)*Calculateur!V140*Calculateur!X140*VLOOKUP('Données projet'!$B$9,Paramètres!$A$1:$I$89,3,0)*0.475*44/12</f>
        <v>16.301844624010439</v>
      </c>
      <c r="AB140" s="21">
        <f>EXP(-LN(2)/2)*AB139+(1-EXP(-LN(2)/2))/(LN(2)/2)*V140*Y140*VLOOKUP('Données projet'!$B$9,Paramètres!$A$1:$I$89,3,0)*0.475*44/12</f>
        <v>6.8108009849653928E-16</v>
      </c>
      <c r="AC140" s="22">
        <f t="shared" si="111"/>
        <v>46.323696202636498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-1.0197709343628959E-13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200.14675249215634</v>
      </c>
      <c r="AO140" s="59">
        <f t="shared" si="144"/>
        <v>200.55017434999968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28.232395775598079</v>
      </c>
      <c r="AV140" s="21">
        <f>EXP(-LN(2)/25)*AV139+(1-EXP(-LN(2)/25))/(LN(2)/25)*Calculateur!AQ140*Calculateur!AS140*VLOOKUP('Données projet'!$B$10,Paramètres!$A$1:$I$89,3,0)*0.475*44/12</f>
        <v>4.273600547428777</v>
      </c>
      <c r="AW140" s="21">
        <f>EXP(-LN(2)/2)*AW139+(1-EXP(-LN(2)/2))/(LN(2)/2)*AQ140*AT140*VLOOKUP('Données projet'!$B$10,Paramètres!$A$1:$I$89,3,0)*0.475*44/12</f>
        <v>8.2222493486558609E-11</v>
      </c>
      <c r="AX140" s="21">
        <f t="shared" si="114"/>
        <v>32.50599632310908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-1.4210854715202004E-13</v>
      </c>
      <c r="BE140" s="13">
        <f>BD140*VLOOKUP('Données projet'!$B$11,Paramètres!$A$1:$I$89,3,0)*VLOOKUP('Données projet'!$B$11,Paramètres!$A$1:$I$89,5,0)</f>
        <v>-8.128608897095547E-14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182.46132340647313</v>
      </c>
      <c r="BJ140" s="59">
        <f t="shared" si="146"/>
        <v>130.51706975490481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54.220902746164214</v>
      </c>
      <c r="BQ140" s="21">
        <f>EXP(-LN(2)/25)*BQ139+(1-EXP(-LN(2)/25))/(LN(2)/25)*Calculateur!BL140*Calculateur!BN140*VLOOKUP('Données projet'!$B$11,Paramètres!$A$1:$I$89,3,0)*0.475*44/12</f>
        <v>9.9960961884065505</v>
      </c>
      <c r="BR140" s="21">
        <f>EXP(-LN(2)/2)*BR139+(1-EXP(-LN(2)/2))/(LN(2)/2)*BL140*BO140*VLOOKUP('Données projet'!$B$11,Paramètres!$A$1:$I$89,3,0)*0.475*44/12</f>
        <v>1.3260646188721786E-4</v>
      </c>
      <c r="BS140" s="22">
        <f t="shared" si="117"/>
        <v>64.217131541032657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735.00000000000011</v>
      </c>
      <c r="BZ140" s="13">
        <f>BY140*VLOOKUP('Données projet'!$B$12,Paramètres!$A$1:$I$89,3,0)*VLOOKUP('Données projet'!$B$12,Paramètres!$A$1:$I$89,5,0)</f>
        <v>296.20500000000004</v>
      </c>
      <c r="CA140" s="13">
        <f t="shared" si="147"/>
        <v>70.380297204000939</v>
      </c>
      <c r="CB140" s="20">
        <f t="shared" si="118"/>
        <v>638.46939263030174</v>
      </c>
      <c r="CC140" s="59">
        <f t="shared" si="119"/>
        <v>931.80272596363511</v>
      </c>
      <c r="CD140" s="59">
        <f ca="1">AVERAGE(OFFSET($CC$3,0,0,'Données projet'!$E$12+1,1))-AVERAGE(OFFSET($H$3,0,0,'Données projet'!$E$12+1,1))</f>
        <v>291.0962681460345</v>
      </c>
      <c r="CE140" s="59">
        <f t="shared" si="148"/>
        <v>240.28311826371385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16.73382055479496</v>
      </c>
      <c r="CL140" s="21">
        <f>EXP(-LN(2)/25)*CL139+(1-EXP(-LN(2)/25))/(LN(2)/25)*Calculateur!CG140*Calculateur!CI140*VLOOKUP('Données projet'!$B$12,Paramètres!$A$1:$I$89,3,0)*0.475*44/12</f>
        <v>4.5000456729592218</v>
      </c>
      <c r="CM140" s="21">
        <f>EXP(-LN(2)/2)*CM139+(1-EXP(-LN(2)/2))/(LN(2)/2)*CG140*CJ140*VLOOKUP('Données projet'!$B$12,Paramètres!$A$1:$I$89,3,0)*0.475*44/12</f>
        <v>1.5992734069540171E-9</v>
      </c>
      <c r="CN140" s="22">
        <f t="shared" si="120"/>
        <v>21.233866229353453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-5.3205440053716299E-14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225.92546546283018</v>
      </c>
      <c r="CZ140" s="59">
        <f t="shared" si="150"/>
        <v>309.38786160614563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19.601490543984063</v>
      </c>
      <c r="DG140" s="21">
        <f>EXP(-LN(2)/25)*DG139+(1-EXP(-LN(2)/25))/(LN(2)/25)*Calculateur!DB140*Calculateur!DD140*VLOOKUP('Données projet'!$B$13,Paramètres!$A$1:$I$89,3,0)*0.475*44/12</f>
        <v>10.350081391646968</v>
      </c>
      <c r="DH140" s="21">
        <f>EXP(-LN(2)/2)*DH139+(1-EXP(-LN(2)/2))/(LN(2)/2)*DB140*DE140*VLOOKUP('Données projet'!$B$13,Paramètres!$A$1:$I$89,3,0)*0.475*44/12</f>
        <v>1.8909124129618828E-16</v>
      </c>
      <c r="DI140" s="22">
        <f t="shared" si="123"/>
        <v>29.95157193563103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168</v>
      </c>
      <c r="DP140" s="17">
        <f>DO140*VLOOKUP('Données projet'!$B$14,Paramètres!$A$1:$I$89,3,0)*VLOOKUP('Données projet'!$B$14,Paramètres!$A$1:$I$89,5,0)</f>
        <v>146.76480000000004</v>
      </c>
      <c r="DQ140" s="13">
        <f t="shared" si="151"/>
        <v>37.842444439956665</v>
      </c>
      <c r="DR140" s="20">
        <f t="shared" si="124"/>
        <v>321.52428406625791</v>
      </c>
      <c r="DS140" s="59">
        <f t="shared" si="125"/>
        <v>614.85761739959116</v>
      </c>
      <c r="DT140" s="59">
        <f ca="1">AVERAGE(OFFSET($DS$3,0,0,'Données projet'!$E$14+1,1))-AVERAGE(OFFSET($H$3,0,0,'Données projet'!$E$14+1,1))</f>
        <v>150.06600397498823</v>
      </c>
      <c r="DU140" s="59">
        <f t="shared" si="152"/>
        <v>170.53034305929714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2.3675593071828773</v>
      </c>
      <c r="EB140" s="21">
        <f>EXP(-LN(2)/25)*EB139+(1-EXP(-LN(2)/25))/(LN(2)/25)*Calculateur!DW140*Calculateur!DY140*VLOOKUP('Données projet'!$B$14,Paramètres!$A$1:$I$89,3,0)*0.475*44/12</f>
        <v>3.0962970640508782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5.4638563712337556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294.94285920643927</v>
      </c>
      <c r="T141" s="59">
        <f t="shared" si="142"/>
        <v>399.89535338426606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29.433141380690557</v>
      </c>
      <c r="AA141" s="21">
        <f>EXP(-LN(2)/25)*AA140+(1-EXP(-LN(2)/25))/(LN(2)/25)*Calculateur!V141*Calculateur!X141*VLOOKUP('Données projet'!$B$9,Paramètres!$A$1:$I$89,3,0)*0.475*44/12</f>
        <v>15.856069825490122</v>
      </c>
      <c r="AB141" s="21">
        <f>EXP(-LN(2)/2)*AB140+(1-EXP(-LN(2)/2))/(LN(2)/2)*V141*Y141*VLOOKUP('Données projet'!$B$9,Paramètres!$A$1:$I$89,3,0)*0.475*44/12</f>
        <v>4.8159635617810464E-16</v>
      </c>
      <c r="AC141" s="22">
        <f t="shared" si="111"/>
        <v>45.289211206180681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-1.0197709343628959E-13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200.14675249215634</v>
      </c>
      <c r="AO141" s="59">
        <f t="shared" si="144"/>
        <v>200.55017434999968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27.678775714499682</v>
      </c>
      <c r="AV141" s="21">
        <f>EXP(-LN(2)/25)*AV140+(1-EXP(-LN(2)/25))/(LN(2)/25)*Calculateur!AQ141*Calculateur!AS141*VLOOKUP('Données projet'!$B$10,Paramètres!$A$1:$I$89,3,0)*0.475*44/12</f>
        <v>4.1567387157204516</v>
      </c>
      <c r="AW141" s="21">
        <f>EXP(-LN(2)/2)*AW140+(1-EXP(-LN(2)/2))/(LN(2)/2)*AQ141*AT141*VLOOKUP('Données projet'!$B$10,Paramètres!$A$1:$I$89,3,0)*0.475*44/12</f>
        <v>5.8140082710412328E-11</v>
      </c>
      <c r="AX141" s="21">
        <f t="shared" si="114"/>
        <v>31.835514430278273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-1.4210854715202004E-13</v>
      </c>
      <c r="BE141" s="13">
        <f>BD141*VLOOKUP('Données projet'!$B$11,Paramètres!$A$1:$I$89,3,0)*VLOOKUP('Données projet'!$B$11,Paramètres!$A$1:$I$89,5,0)</f>
        <v>-8.128608897095547E-14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182.46132340647313</v>
      </c>
      <c r="BJ141" s="59">
        <f t="shared" si="146"/>
        <v>130.51706975490481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53.15766391479707</v>
      </c>
      <c r="BQ141" s="21">
        <f>EXP(-LN(2)/25)*BQ140+(1-EXP(-LN(2)/25))/(LN(2)/25)*Calculateur!BL141*Calculateur!BN141*VLOOKUP('Données projet'!$B$11,Paramètres!$A$1:$I$89,3,0)*0.475*44/12</f>
        <v>9.7227524124627216</v>
      </c>
      <c r="BR141" s="21">
        <f>EXP(-LN(2)/2)*BR140+(1-EXP(-LN(2)/2))/(LN(2)/2)*BL141*BO141*VLOOKUP('Données projet'!$B$11,Paramètres!$A$1:$I$89,3,0)*0.475*44/12</f>
        <v>9.3766928429607211E-5</v>
      </c>
      <c r="BS141" s="22">
        <f t="shared" si="117"/>
        <v>62.880510094188224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735.00000000000011</v>
      </c>
      <c r="BZ141" s="13">
        <f>BY141*VLOOKUP('Données projet'!$B$12,Paramètres!$A$1:$I$89,3,0)*VLOOKUP('Données projet'!$B$12,Paramètres!$A$1:$I$89,5,0)</f>
        <v>296.20500000000004</v>
      </c>
      <c r="CA141" s="13">
        <f t="shared" si="147"/>
        <v>70.380297204000939</v>
      </c>
      <c r="CB141" s="20">
        <f t="shared" si="118"/>
        <v>638.46939263030174</v>
      </c>
      <c r="CC141" s="59">
        <f t="shared" si="119"/>
        <v>931.80272596363511</v>
      </c>
      <c r="CD141" s="59">
        <f ca="1">AVERAGE(OFFSET($CC$3,0,0,'Données projet'!$E$12+1,1))-AVERAGE(OFFSET($H$3,0,0,'Données projet'!$E$12+1,1))</f>
        <v>291.0962681460345</v>
      </c>
      <c r="CE141" s="59">
        <f t="shared" si="148"/>
        <v>240.28311826371385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16.40568054033815</v>
      </c>
      <c r="CL141" s="21">
        <f>EXP(-LN(2)/25)*CL140+(1-EXP(-LN(2)/25))/(LN(2)/25)*Calculateur!CG141*Calculateur!CI141*VLOOKUP('Données projet'!$B$12,Paramètres!$A$1:$I$89,3,0)*0.475*44/12</f>
        <v>4.3769916873850345</v>
      </c>
      <c r="CM141" s="21">
        <f>EXP(-LN(2)/2)*CM140+(1-EXP(-LN(2)/2))/(LN(2)/2)*CG141*CJ141*VLOOKUP('Données projet'!$B$12,Paramètres!$A$1:$I$89,3,0)*0.475*44/12</f>
        <v>1.1308570710284985E-9</v>
      </c>
      <c r="CN141" s="22">
        <f t="shared" si="120"/>
        <v>20.78267222885404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-5.3205440053716299E-14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225.92546546283018</v>
      </c>
      <c r="CZ141" s="59">
        <f t="shared" si="150"/>
        <v>309.38786160614563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19.217117270145238</v>
      </c>
      <c r="DG141" s="21">
        <f>EXP(-LN(2)/25)*DG140+(1-EXP(-LN(2)/25))/(LN(2)/25)*Calculateur!DB141*Calculateur!DD141*VLOOKUP('Données projet'!$B$13,Paramètres!$A$1:$I$89,3,0)*0.475*44/12</f>
        <v>10.067057871705257</v>
      </c>
      <c r="DH141" s="21">
        <f>EXP(-LN(2)/2)*DH140+(1-EXP(-LN(2)/2))/(LN(2)/2)*DB141*DE141*VLOOKUP('Données projet'!$B$13,Paramètres!$A$1:$I$89,3,0)*0.475*44/12</f>
        <v>1.3370769898351646E-16</v>
      </c>
      <c r="DI141" s="22">
        <f t="shared" si="123"/>
        <v>29.284175141850497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168</v>
      </c>
      <c r="DP141" s="17">
        <f>DO141*VLOOKUP('Données projet'!$B$14,Paramètres!$A$1:$I$89,3,0)*VLOOKUP('Données projet'!$B$14,Paramètres!$A$1:$I$89,5,0)</f>
        <v>146.76480000000004</v>
      </c>
      <c r="DQ141" s="13">
        <f t="shared" si="151"/>
        <v>37.842444439956665</v>
      </c>
      <c r="DR141" s="20">
        <f t="shared" si="124"/>
        <v>321.52428406625791</v>
      </c>
      <c r="DS141" s="59">
        <f t="shared" si="125"/>
        <v>614.85761739959116</v>
      </c>
      <c r="DT141" s="59">
        <f ca="1">AVERAGE(OFFSET($DS$3,0,0,'Données projet'!$E$14+1,1))-AVERAGE(OFFSET($H$3,0,0,'Données projet'!$E$14+1,1))</f>
        <v>150.06600397498823</v>
      </c>
      <c r="DU141" s="59">
        <f t="shared" si="152"/>
        <v>170.53034305929714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2.3211329132376086</v>
      </c>
      <c r="EB141" s="21">
        <f>EXP(-LN(2)/25)*EB140+(1-EXP(-LN(2)/25))/(LN(2)/25)*Calculateur!DW141*Calculateur!DY141*VLOOKUP('Données projet'!$B$14,Paramètres!$A$1:$I$89,3,0)*0.475*44/12</f>
        <v>3.0116286580072211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5.3327615712448297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294.94285920643927</v>
      </c>
      <c r="T142" s="59">
        <f t="shared" si="142"/>
        <v>399.89535338426606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28.855975430658802</v>
      </c>
      <c r="AA142" s="21">
        <f>EXP(-LN(2)/25)*AA141+(1-EXP(-LN(2)/25))/(LN(2)/25)*Calculateur!V142*Calculateur!X142*VLOOKUP('Données projet'!$B$9,Paramètres!$A$1:$I$89,3,0)*0.475*44/12</f>
        <v>15.422484762277623</v>
      </c>
      <c r="AB142" s="21">
        <f>EXP(-LN(2)/2)*AB141+(1-EXP(-LN(2)/2))/(LN(2)/2)*V142*Y142*VLOOKUP('Données projet'!$B$9,Paramètres!$A$1:$I$89,3,0)*0.475*44/12</f>
        <v>3.4054004924826964E-16</v>
      </c>
      <c r="AC142" s="22">
        <f t="shared" si="111"/>
        <v>44.278460192936421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-1.0197709343628959E-13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200.14675249215634</v>
      </c>
      <c r="AO142" s="59">
        <f t="shared" si="144"/>
        <v>200.55017434999968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27.136011805124532</v>
      </c>
      <c r="AV142" s="21">
        <f>EXP(-LN(2)/25)*AV141+(1-EXP(-LN(2)/25))/(LN(2)/25)*Calculateur!AQ142*Calculateur!AS142*VLOOKUP('Données projet'!$B$10,Paramètres!$A$1:$I$89,3,0)*0.475*44/12</f>
        <v>4.0430724769456869</v>
      </c>
      <c r="AW142" s="21">
        <f>EXP(-LN(2)/2)*AW141+(1-EXP(-LN(2)/2))/(LN(2)/2)*AQ142*AT142*VLOOKUP('Données projet'!$B$10,Paramètres!$A$1:$I$89,3,0)*0.475*44/12</f>
        <v>4.1111246743279311E-11</v>
      </c>
      <c r="AX142" s="21">
        <f t="shared" si="114"/>
        <v>31.179084282111333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-1.4210854715202004E-13</v>
      </c>
      <c r="BE142" s="13">
        <f>BD142*VLOOKUP('Données projet'!$B$11,Paramètres!$A$1:$I$89,3,0)*VLOOKUP('Données projet'!$B$11,Paramètres!$A$1:$I$89,5,0)</f>
        <v>-8.128608897095547E-14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182.46132340647313</v>
      </c>
      <c r="BJ142" s="59">
        <f t="shared" si="146"/>
        <v>130.51706975490481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52.115274548401388</v>
      </c>
      <c r="BQ142" s="21">
        <f>EXP(-LN(2)/25)*BQ141+(1-EXP(-LN(2)/25))/(LN(2)/25)*Calculateur!BL142*Calculateur!BN142*VLOOKUP('Données projet'!$B$11,Paramètres!$A$1:$I$89,3,0)*0.475*44/12</f>
        <v>9.4568832364466004</v>
      </c>
      <c r="BR142" s="21">
        <f>EXP(-LN(2)/2)*BR141+(1-EXP(-LN(2)/2))/(LN(2)/2)*BL142*BO142*VLOOKUP('Données projet'!$B$11,Paramètres!$A$1:$I$89,3,0)*0.475*44/12</f>
        <v>6.6303230943608928E-5</v>
      </c>
      <c r="BS142" s="22">
        <f t="shared" si="117"/>
        <v>61.572224088078933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735.00000000000011</v>
      </c>
      <c r="BZ142" s="13">
        <f>BY142*VLOOKUP('Données projet'!$B$12,Paramètres!$A$1:$I$89,3,0)*VLOOKUP('Données projet'!$B$12,Paramètres!$A$1:$I$89,5,0)</f>
        <v>296.20500000000004</v>
      </c>
      <c r="CA142" s="13">
        <f t="shared" si="147"/>
        <v>70.380297204000939</v>
      </c>
      <c r="CB142" s="20">
        <f t="shared" si="118"/>
        <v>638.46939263030174</v>
      </c>
      <c r="CC142" s="59">
        <f t="shared" si="119"/>
        <v>931.80272596363511</v>
      </c>
      <c r="CD142" s="59">
        <f ca="1">AVERAGE(OFFSET($CC$3,0,0,'Données projet'!$E$12+1,1))-AVERAGE(OFFSET($H$3,0,0,'Données projet'!$E$12+1,1))</f>
        <v>291.0962681460345</v>
      </c>
      <c r="CE142" s="59">
        <f t="shared" si="148"/>
        <v>240.28311826371385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16.083975151419189</v>
      </c>
      <c r="CL142" s="21">
        <f>EXP(-LN(2)/25)*CL141+(1-EXP(-LN(2)/25))/(LN(2)/25)*Calculateur!CG142*Calculateur!CI142*VLOOKUP('Données projet'!$B$12,Paramètres!$A$1:$I$89,3,0)*0.475*44/12</f>
        <v>4.2573026195175014</v>
      </c>
      <c r="CM142" s="21">
        <f>EXP(-LN(2)/2)*CM141+(1-EXP(-LN(2)/2))/(LN(2)/2)*CG142*CJ142*VLOOKUP('Données projet'!$B$12,Paramètres!$A$1:$I$89,3,0)*0.475*44/12</f>
        <v>7.9963670347700854E-10</v>
      </c>
      <c r="CN142" s="22">
        <f t="shared" si="120"/>
        <v>20.34127777173633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-5.3205440053716299E-14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225.92546546283018</v>
      </c>
      <c r="CZ142" s="59">
        <f t="shared" si="150"/>
        <v>309.38786160614563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18.840281321761843</v>
      </c>
      <c r="DG142" s="21">
        <f>EXP(-LN(2)/25)*DG141+(1-EXP(-LN(2)/25))/(LN(2)/25)*Calculateur!DB142*Calculateur!DD142*VLOOKUP('Données projet'!$B$13,Paramètres!$A$1:$I$89,3,0)*0.475*44/12</f>
        <v>9.7917736447999122</v>
      </c>
      <c r="DH142" s="21">
        <f>EXP(-LN(2)/2)*DH141+(1-EXP(-LN(2)/2))/(LN(2)/2)*DB142*DE142*VLOOKUP('Données projet'!$B$13,Paramètres!$A$1:$I$89,3,0)*0.475*44/12</f>
        <v>9.454562064809414E-17</v>
      </c>
      <c r="DI142" s="22">
        <f t="shared" si="123"/>
        <v>28.632054966561753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168</v>
      </c>
      <c r="DP142" s="17">
        <f>DO142*VLOOKUP('Données projet'!$B$14,Paramètres!$A$1:$I$89,3,0)*VLOOKUP('Données projet'!$B$14,Paramètres!$A$1:$I$89,5,0)</f>
        <v>146.76480000000004</v>
      </c>
      <c r="DQ142" s="13">
        <f t="shared" si="151"/>
        <v>37.842444439956665</v>
      </c>
      <c r="DR142" s="20">
        <f t="shared" si="124"/>
        <v>321.52428406625791</v>
      </c>
      <c r="DS142" s="59">
        <f t="shared" si="125"/>
        <v>614.85761739959116</v>
      </c>
      <c r="DT142" s="59">
        <f ca="1">AVERAGE(OFFSET($DS$3,0,0,'Données projet'!$E$14+1,1))-AVERAGE(OFFSET($H$3,0,0,'Données projet'!$E$14+1,1))</f>
        <v>150.06600397498823</v>
      </c>
      <c r="DU142" s="59">
        <f t="shared" si="152"/>
        <v>170.53034305929714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2.2756169125603023</v>
      </c>
      <c r="EB142" s="21">
        <f>EXP(-LN(2)/25)*EB141+(1-EXP(-LN(2)/25))/(LN(2)/25)*Calculateur!DW142*Calculateur!DY142*VLOOKUP('Données projet'!$B$14,Paramètres!$A$1:$I$89,3,0)*0.475*44/12</f>
        <v>2.9292755139793458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5.2048924265396481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294.94285920643927</v>
      </c>
      <c r="T143" s="59">
        <f t="shared" si="142"/>
        <v>399.89535338426606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28.290127352870698</v>
      </c>
      <c r="AA143" s="21">
        <f>EXP(-LN(2)/25)*AA142+(1-EXP(-LN(2)/25))/(LN(2)/25)*Calculateur!V143*Calculateur!X143*VLOOKUP('Données projet'!$B$9,Paramètres!$A$1:$I$89,3,0)*0.475*44/12</f>
        <v>15.000756105419917</v>
      </c>
      <c r="AB143" s="21">
        <f>EXP(-LN(2)/2)*AB142+(1-EXP(-LN(2)/2))/(LN(2)/2)*V143*Y143*VLOOKUP('Données projet'!$B$9,Paramètres!$A$1:$I$89,3,0)*0.475*44/12</f>
        <v>2.4079817808905232E-16</v>
      </c>
      <c r="AC143" s="22">
        <f t="shared" si="111"/>
        <v>43.290883458290615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-1.0197709343628959E-13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200.14675249215634</v>
      </c>
      <c r="AO143" s="59">
        <f t="shared" si="144"/>
        <v>200.55017434999968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26.603891164958934</v>
      </c>
      <c r="AV143" s="21">
        <f>EXP(-LN(2)/25)*AV142+(1-EXP(-LN(2)/25))/(LN(2)/25)*Calculateur!AQ143*Calculateur!AS143*VLOOKUP('Données projet'!$B$10,Paramètres!$A$1:$I$89,3,0)*0.475*44/12</f>
        <v>3.9325144474476663</v>
      </c>
      <c r="AW143" s="21">
        <f>EXP(-LN(2)/2)*AW142+(1-EXP(-LN(2)/2))/(LN(2)/2)*AQ143*AT143*VLOOKUP('Données projet'!$B$10,Paramètres!$A$1:$I$89,3,0)*0.475*44/12</f>
        <v>2.9070041355206171E-11</v>
      </c>
      <c r="AX143" s="21">
        <f t="shared" si="114"/>
        <v>30.536405612435669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-1.4210854715202004E-13</v>
      </c>
      <c r="BE143" s="13">
        <f>BD143*VLOOKUP('Données projet'!$B$11,Paramètres!$A$1:$I$89,3,0)*VLOOKUP('Données projet'!$B$11,Paramètres!$A$1:$I$89,5,0)</f>
        <v>-8.128608897095547E-14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182.46132340647313</v>
      </c>
      <c r="BJ143" s="59">
        <f t="shared" si="146"/>
        <v>130.51706975490481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51.093325801685985</v>
      </c>
      <c r="BQ143" s="21">
        <f>EXP(-LN(2)/25)*BQ142+(1-EXP(-LN(2)/25))/(LN(2)/25)*Calculateur!BL143*Calculateur!BN143*VLOOKUP('Données projet'!$B$11,Paramètres!$A$1:$I$89,3,0)*0.475*44/12</f>
        <v>9.1982842670300933</v>
      </c>
      <c r="BR143" s="21">
        <f>EXP(-LN(2)/2)*BR142+(1-EXP(-LN(2)/2))/(LN(2)/2)*BL143*BO143*VLOOKUP('Données projet'!$B$11,Paramètres!$A$1:$I$89,3,0)*0.475*44/12</f>
        <v>4.6883464214803606E-5</v>
      </c>
      <c r="BS143" s="22">
        <f t="shared" si="117"/>
        <v>60.291656952180297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735.00000000000011</v>
      </c>
      <c r="BZ143" s="13">
        <f>BY143*VLOOKUP('Données projet'!$B$12,Paramètres!$A$1:$I$89,3,0)*VLOOKUP('Données projet'!$B$12,Paramètres!$A$1:$I$89,5,0)</f>
        <v>296.20500000000004</v>
      </c>
      <c r="CA143" s="13">
        <f t="shared" si="147"/>
        <v>70.380297204000939</v>
      </c>
      <c r="CB143" s="20">
        <f t="shared" si="118"/>
        <v>638.46939263030174</v>
      </c>
      <c r="CC143" s="59">
        <f t="shared" si="119"/>
        <v>931.80272596363511</v>
      </c>
      <c r="CD143" s="59">
        <f ca="1">AVERAGE(OFFSET($CC$3,0,0,'Données projet'!$E$12+1,1))-AVERAGE(OFFSET($H$3,0,0,'Données projet'!$E$12+1,1))</f>
        <v>291.0962681460345</v>
      </c>
      <c r="CE143" s="59">
        <f t="shared" si="148"/>
        <v>240.28311826371385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15.768578208956018</v>
      </c>
      <c r="CL143" s="21">
        <f>EXP(-LN(2)/25)*CL142+(1-EXP(-LN(2)/25))/(LN(2)/25)*Calculateur!CG143*Calculateur!CI143*VLOOKUP('Données projet'!$B$12,Paramètres!$A$1:$I$89,3,0)*0.475*44/12</f>
        <v>4.1408864555049805</v>
      </c>
      <c r="CM143" s="21">
        <f>EXP(-LN(2)/2)*CM142+(1-EXP(-LN(2)/2))/(LN(2)/2)*CG143*CJ143*VLOOKUP('Données projet'!$B$12,Paramètres!$A$1:$I$89,3,0)*0.475*44/12</f>
        <v>5.6542853551424926E-10</v>
      </c>
      <c r="CN143" s="22">
        <f t="shared" si="120"/>
        <v>19.909464665026427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-5.3205440053716299E-14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225.92546546283018</v>
      </c>
      <c r="CZ143" s="59">
        <f t="shared" si="150"/>
        <v>309.38786160614563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18.470834896479015</v>
      </c>
      <c r="DG143" s="21">
        <f>EXP(-LN(2)/25)*DG142+(1-EXP(-LN(2)/25))/(LN(2)/25)*Calculateur!DB143*Calculateur!DD143*VLOOKUP('Données projet'!$B$13,Paramètres!$A$1:$I$89,3,0)*0.475*44/12</f>
        <v>9.5240170795558612</v>
      </c>
      <c r="DH143" s="21">
        <f>EXP(-LN(2)/2)*DH142+(1-EXP(-LN(2)/2))/(LN(2)/2)*DB143*DE143*VLOOKUP('Données projet'!$B$13,Paramètres!$A$1:$I$89,3,0)*0.475*44/12</f>
        <v>6.6853849491758231E-17</v>
      </c>
      <c r="DI143" s="22">
        <f t="shared" si="123"/>
        <v>27.994851976034877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168</v>
      </c>
      <c r="DP143" s="17">
        <f>DO143*VLOOKUP('Données projet'!$B$14,Paramètres!$A$1:$I$89,3,0)*VLOOKUP('Données projet'!$B$14,Paramètres!$A$1:$I$89,5,0)</f>
        <v>146.76480000000004</v>
      </c>
      <c r="DQ143" s="13">
        <f t="shared" si="151"/>
        <v>37.842444439956665</v>
      </c>
      <c r="DR143" s="20">
        <f t="shared" si="124"/>
        <v>321.52428406625791</v>
      </c>
      <c r="DS143" s="59">
        <f t="shared" si="125"/>
        <v>614.85761739959116</v>
      </c>
      <c r="DT143" s="59">
        <f ca="1">AVERAGE(OFFSET($DS$3,0,0,'Données projet'!$E$14+1,1))-AVERAGE(OFFSET($H$3,0,0,'Données projet'!$E$14+1,1))</f>
        <v>150.06600397498823</v>
      </c>
      <c r="DU143" s="59">
        <f t="shared" si="152"/>
        <v>170.53034305929714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2.2309934528942588</v>
      </c>
      <c r="EB143" s="21">
        <f>EXP(-LN(2)/25)*EB142+(1-EXP(-LN(2)/25))/(LN(2)/25)*Calculateur!DW143*Calculateur!DY143*VLOOKUP('Données projet'!$B$14,Paramètres!$A$1:$I$89,3,0)*0.475*44/12</f>
        <v>2.8491743210056764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5.0801677738999356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294.94285920643927</v>
      </c>
      <c r="T144" s="59">
        <f t="shared" si="142"/>
        <v>399.89535338426606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27.735375210754771</v>
      </c>
      <c r="AA144" s="21">
        <f>EXP(-LN(2)/25)*AA143+(1-EXP(-LN(2)/25))/(LN(2)/25)*Calculateur!V144*Calculateur!X144*VLOOKUP('Données projet'!$B$9,Paramètres!$A$1:$I$89,3,0)*0.475*44/12</f>
        <v>14.590559640861731</v>
      </c>
      <c r="AB144" s="21">
        <f>EXP(-LN(2)/2)*AB143+(1-EXP(-LN(2)/2))/(LN(2)/2)*V144*Y144*VLOOKUP('Données projet'!$B$9,Paramètres!$A$1:$I$89,3,0)*0.475*44/12</f>
        <v>1.7027002462413482E-16</v>
      </c>
      <c r="AC144" s="22">
        <f t="shared" si="111"/>
        <v>42.325934851616502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-1.0197709343628959E-13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200.14675249215634</v>
      </c>
      <c r="AO144" s="59">
        <f t="shared" si="144"/>
        <v>200.55017434999968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26.082205085985439</v>
      </c>
      <c r="AV144" s="21">
        <f>EXP(-LN(2)/25)*AV143+(1-EXP(-LN(2)/25))/(LN(2)/25)*Calculateur!AQ144*Calculateur!AS144*VLOOKUP('Données projet'!$B$10,Paramètres!$A$1:$I$89,3,0)*0.475*44/12</f>
        <v>3.8249796330802628</v>
      </c>
      <c r="AW144" s="21">
        <f>EXP(-LN(2)/2)*AW143+(1-EXP(-LN(2)/2))/(LN(2)/2)*AQ144*AT144*VLOOKUP('Données projet'!$B$10,Paramètres!$A$1:$I$89,3,0)*0.475*44/12</f>
        <v>2.0555623371639659E-11</v>
      </c>
      <c r="AX144" s="21">
        <f t="shared" si="114"/>
        <v>29.90718471908626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-1.4210854715202004E-13</v>
      </c>
      <c r="BE144" s="13">
        <f>BD144*VLOOKUP('Données projet'!$B$11,Paramètres!$A$1:$I$89,3,0)*VLOOKUP('Données projet'!$B$11,Paramètres!$A$1:$I$89,5,0)</f>
        <v>-8.128608897095547E-14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182.46132340647313</v>
      </c>
      <c r="BJ144" s="59">
        <f t="shared" si="146"/>
        <v>130.51706975490481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50.091416846566489</v>
      </c>
      <c r="BQ144" s="21">
        <f>EXP(-LN(2)/25)*BQ143+(1-EXP(-LN(2)/25))/(LN(2)/25)*Calculateur!BL144*Calculateur!BN144*VLOOKUP('Données projet'!$B$11,Paramètres!$A$1:$I$89,3,0)*0.475*44/12</f>
        <v>8.9467567000314094</v>
      </c>
      <c r="BR144" s="21">
        <f>EXP(-LN(2)/2)*BR143+(1-EXP(-LN(2)/2))/(LN(2)/2)*BL144*BO144*VLOOKUP('Données projet'!$B$11,Paramètres!$A$1:$I$89,3,0)*0.475*44/12</f>
        <v>3.3151615471804464E-5</v>
      </c>
      <c r="BS144" s="22">
        <f t="shared" si="117"/>
        <v>59.038206698213365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735.00000000000011</v>
      </c>
      <c r="BZ144" s="13">
        <f>BY144*VLOOKUP('Données projet'!$B$12,Paramètres!$A$1:$I$89,3,0)*VLOOKUP('Données projet'!$B$12,Paramètres!$A$1:$I$89,5,0)</f>
        <v>296.20500000000004</v>
      </c>
      <c r="CA144" s="13">
        <f t="shared" si="147"/>
        <v>70.380297204000939</v>
      </c>
      <c r="CB144" s="20">
        <f t="shared" si="118"/>
        <v>638.46939263030174</v>
      </c>
      <c r="CC144" s="59">
        <f t="shared" si="119"/>
        <v>931.80272596363511</v>
      </c>
      <c r="CD144" s="59">
        <f ca="1">AVERAGE(OFFSET($CC$3,0,0,'Données projet'!$E$12+1,1))-AVERAGE(OFFSET($H$3,0,0,'Données projet'!$E$12+1,1))</f>
        <v>291.0962681460345</v>
      </c>
      <c r="CE144" s="59">
        <f t="shared" si="148"/>
        <v>240.28311826371385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15.459366008161412</v>
      </c>
      <c r="CL144" s="21">
        <f>EXP(-LN(2)/25)*CL143+(1-EXP(-LN(2)/25))/(LN(2)/25)*Calculateur!CG144*Calculateur!CI144*VLOOKUP('Données projet'!$B$12,Paramètres!$A$1:$I$89,3,0)*0.475*44/12</f>
        <v>4.0276536976194421</v>
      </c>
      <c r="CM144" s="21">
        <f>EXP(-LN(2)/2)*CM143+(1-EXP(-LN(2)/2))/(LN(2)/2)*CG144*CJ144*VLOOKUP('Données projet'!$B$12,Paramètres!$A$1:$I$89,3,0)*0.475*44/12</f>
        <v>3.9981835173850427E-10</v>
      </c>
      <c r="CN144" s="22">
        <f t="shared" si="120"/>
        <v>19.487019706180671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-5.3205440053716299E-14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225.92546546283018</v>
      </c>
      <c r="CZ144" s="59">
        <f t="shared" si="150"/>
        <v>309.38786160614563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18.108633090255914</v>
      </c>
      <c r="DG144" s="21">
        <f>EXP(-LN(2)/25)*DG143+(1-EXP(-LN(2)/25))/(LN(2)/25)*Calculateur!DB144*Calculateur!DD144*VLOOKUP('Données projet'!$B$13,Paramètres!$A$1:$I$89,3,0)*0.475*44/12</f>
        <v>9.2635823316691148</v>
      </c>
      <c r="DH144" s="21">
        <f>EXP(-LN(2)/2)*DH143+(1-EXP(-LN(2)/2))/(LN(2)/2)*DB144*DE144*VLOOKUP('Données projet'!$B$13,Paramètres!$A$1:$I$89,3,0)*0.475*44/12</f>
        <v>4.727281032404707E-17</v>
      </c>
      <c r="DI144" s="22">
        <f t="shared" si="123"/>
        <v>27.372215421925027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168</v>
      </c>
      <c r="DP144" s="17">
        <f>DO144*VLOOKUP('Données projet'!$B$14,Paramètres!$A$1:$I$89,3,0)*VLOOKUP('Données projet'!$B$14,Paramètres!$A$1:$I$89,5,0)</f>
        <v>146.76480000000004</v>
      </c>
      <c r="DQ144" s="13">
        <f t="shared" si="151"/>
        <v>37.842444439956665</v>
      </c>
      <c r="DR144" s="20">
        <f t="shared" si="124"/>
        <v>321.52428406625791</v>
      </c>
      <c r="DS144" s="59">
        <f t="shared" si="125"/>
        <v>614.85761739959116</v>
      </c>
      <c r="DT144" s="59">
        <f ca="1">AVERAGE(OFFSET($DS$3,0,0,'Données projet'!$E$14+1,1))-AVERAGE(OFFSET($H$3,0,0,'Données projet'!$E$14+1,1))</f>
        <v>150.06600397498823</v>
      </c>
      <c r="DU144" s="59">
        <f t="shared" si="152"/>
        <v>170.53034305929714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2.1872450320546437</v>
      </c>
      <c r="EB144" s="21">
        <f>EXP(-LN(2)/25)*EB143+(1-EXP(-LN(2)/25))/(LN(2)/25)*Calculateur!DW144*Calculateur!DY144*VLOOKUP('Données projet'!$B$14,Paramètres!$A$1:$I$89,3,0)*0.475*44/12</f>
        <v>2.7712634993662104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4.9585085314208541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294.94285920643927</v>
      </c>
      <c r="T145" s="59">
        <f t="shared" si="142"/>
        <v>399.89535338426606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27.191501419780344</v>
      </c>
      <c r="AA145" s="21">
        <f>EXP(-LN(2)/25)*AA144+(1-EXP(-LN(2)/25))/(LN(2)/25)*Calculateur!V145*Calculateur!X145*VLOOKUP('Données projet'!$B$9,Paramètres!$A$1:$I$89,3,0)*0.475*44/12</f>
        <v>14.191580020198183</v>
      </c>
      <c r="AB145" s="21">
        <f>EXP(-LN(2)/2)*AB144+(1-EXP(-LN(2)/2))/(LN(2)/2)*V145*Y145*VLOOKUP('Données projet'!$B$9,Paramètres!$A$1:$I$89,3,0)*0.475*44/12</f>
        <v>1.2039908904452616E-16</v>
      </c>
      <c r="AC145" s="22">
        <f t="shared" si="111"/>
        <v>41.383081439978525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-1.0197709343628959E-13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200.14675249215634</v>
      </c>
      <c r="AO145" s="59">
        <f t="shared" si="144"/>
        <v>200.55017434999968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25.570748952823525</v>
      </c>
      <c r="AV145" s="21">
        <f>EXP(-LN(2)/25)*AV144+(1-EXP(-LN(2)/25))/(LN(2)/25)*Calculateur!AQ145*Calculateur!AS145*VLOOKUP('Données projet'!$B$10,Paramètres!$A$1:$I$89,3,0)*0.475*44/12</f>
        <v>3.7203853638667463</v>
      </c>
      <c r="AW145" s="21">
        <f>EXP(-LN(2)/2)*AW144+(1-EXP(-LN(2)/2))/(LN(2)/2)*AQ145*AT145*VLOOKUP('Données projet'!$B$10,Paramètres!$A$1:$I$89,3,0)*0.475*44/12</f>
        <v>1.4535020677603087E-11</v>
      </c>
      <c r="AX145" s="21">
        <f t="shared" si="114"/>
        <v>29.291134316704806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-1.4210854715202004E-13</v>
      </c>
      <c r="BE145" s="13">
        <f>BD145*VLOOKUP('Données projet'!$B$11,Paramètres!$A$1:$I$89,3,0)*VLOOKUP('Données projet'!$B$11,Paramètres!$A$1:$I$89,5,0)</f>
        <v>-8.128608897095547E-14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182.46132340647313</v>
      </c>
      <c r="BJ145" s="59">
        <f t="shared" si="146"/>
        <v>130.51706975490481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49.109154714952766</v>
      </c>
      <c r="BQ145" s="21">
        <f>EXP(-LN(2)/25)*BQ144+(1-EXP(-LN(2)/25))/(LN(2)/25)*Calculateur!BL145*Calculateur!BN145*VLOOKUP('Données projet'!$B$11,Paramètres!$A$1:$I$89,3,0)*0.475*44/12</f>
        <v>8.7021071675795643</v>
      </c>
      <c r="BR145" s="21">
        <f>EXP(-LN(2)/2)*BR144+(1-EXP(-LN(2)/2))/(LN(2)/2)*BL145*BO145*VLOOKUP('Données projet'!$B$11,Paramètres!$A$1:$I$89,3,0)*0.475*44/12</f>
        <v>2.3441732107401803E-5</v>
      </c>
      <c r="BS145" s="22">
        <f t="shared" si="117"/>
        <v>57.811285324264432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735.00000000000011</v>
      </c>
      <c r="BZ145" s="13">
        <f>BY145*VLOOKUP('Données projet'!$B$12,Paramètres!$A$1:$I$89,3,0)*VLOOKUP('Données projet'!$B$12,Paramètres!$A$1:$I$89,5,0)</f>
        <v>296.20500000000004</v>
      </c>
      <c r="CA145" s="13">
        <f t="shared" si="147"/>
        <v>70.380297204000939</v>
      </c>
      <c r="CB145" s="20">
        <f t="shared" si="118"/>
        <v>638.46939263030174</v>
      </c>
      <c r="CC145" s="59">
        <f t="shared" si="119"/>
        <v>931.80272596363511</v>
      </c>
      <c r="CD145" s="59">
        <f ca="1">AVERAGE(OFFSET($CC$3,0,0,'Données projet'!$E$12+1,1))-AVERAGE(OFFSET($H$3,0,0,'Données projet'!$E$12+1,1))</f>
        <v>291.0962681460345</v>
      </c>
      <c r="CE145" s="59">
        <f t="shared" si="148"/>
        <v>240.28311826371385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15.156217270023568</v>
      </c>
      <c r="CL145" s="21">
        <f>EXP(-LN(2)/25)*CL144+(1-EXP(-LN(2)/25))/(LN(2)/25)*Calculateur!CG145*Calculateur!CI145*VLOOKUP('Données projet'!$B$12,Paramètres!$A$1:$I$89,3,0)*0.475*44/12</f>
        <v>3.917517295452936</v>
      </c>
      <c r="CM145" s="21">
        <f>EXP(-LN(2)/2)*CM144+(1-EXP(-LN(2)/2))/(LN(2)/2)*CG145*CJ145*VLOOKUP('Données projet'!$B$12,Paramètres!$A$1:$I$89,3,0)*0.475*44/12</f>
        <v>2.8271426775712463E-10</v>
      </c>
      <c r="CN145" s="22">
        <f t="shared" si="120"/>
        <v>19.073734565759217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-5.3205440053716299E-14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225.92546546283018</v>
      </c>
      <c r="CZ145" s="59">
        <f t="shared" si="150"/>
        <v>309.38786160614563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17.75353384053156</v>
      </c>
      <c r="DG145" s="21">
        <f>EXP(-LN(2)/25)*DG144+(1-EXP(-LN(2)/25))/(LN(2)/25)*Calculateur!DB145*Calculateur!DD145*VLOOKUP('Données projet'!$B$13,Paramètres!$A$1:$I$89,3,0)*0.475*44/12</f>
        <v>9.0102691856590003</v>
      </c>
      <c r="DH145" s="21">
        <f>EXP(-LN(2)/2)*DH144+(1-EXP(-LN(2)/2))/(LN(2)/2)*DB145*DE145*VLOOKUP('Données projet'!$B$13,Paramètres!$A$1:$I$89,3,0)*0.475*44/12</f>
        <v>3.3426924745879116E-17</v>
      </c>
      <c r="DI145" s="22">
        <f t="shared" si="123"/>
        <v>26.763803026190558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168</v>
      </c>
      <c r="DP145" s="17">
        <f>DO145*VLOOKUP('Données projet'!$B$14,Paramètres!$A$1:$I$89,3,0)*VLOOKUP('Données projet'!$B$14,Paramètres!$A$1:$I$89,5,0)</f>
        <v>146.76480000000004</v>
      </c>
      <c r="DQ145" s="13">
        <f t="shared" si="151"/>
        <v>37.842444439956665</v>
      </c>
      <c r="DR145" s="20">
        <f t="shared" si="124"/>
        <v>321.52428406625791</v>
      </c>
      <c r="DS145" s="59">
        <f t="shared" si="125"/>
        <v>614.85761739959116</v>
      </c>
      <c r="DT145" s="59">
        <f ca="1">AVERAGE(OFFSET($DS$3,0,0,'Données projet'!$E$14+1,1))-AVERAGE(OFFSET($H$3,0,0,'Données projet'!$E$14+1,1))</f>
        <v>150.06600397498823</v>
      </c>
      <c r="DU145" s="59">
        <f t="shared" si="152"/>
        <v>170.53034305929714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2.1443544910637913</v>
      </c>
      <c r="EB145" s="21">
        <f>EXP(-LN(2)/25)*EB144+(1-EXP(-LN(2)/25))/(LN(2)/25)*Calculateur!DW145*Calculateur!DY145*VLOOKUP('Données projet'!$B$14,Paramètres!$A$1:$I$89,3,0)*0.475*44/12</f>
        <v>2.6954831532416277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4.839837644305419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294.94285920643927</v>
      </c>
      <c r="T146" s="59">
        <f t="shared" si="142"/>
        <v>399.89535338426606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26.658292662116668</v>
      </c>
      <c r="AA146" s="21">
        <f>EXP(-LN(2)/25)*AA145+(1-EXP(-LN(2)/25))/(LN(2)/25)*Calculateur!V146*Calculateur!X146*VLOOKUP('Données projet'!$B$9,Paramètres!$A$1:$I$89,3,0)*0.475*44/12</f>
        <v>13.803510518243106</v>
      </c>
      <c r="AB146" s="21">
        <f>EXP(-LN(2)/2)*AB145+(1-EXP(-LN(2)/2))/(LN(2)/2)*V146*Y146*VLOOKUP('Données projet'!$B$9,Paramètres!$A$1:$I$89,3,0)*0.475*44/12</f>
        <v>8.5135012312067411E-17</v>
      </c>
      <c r="AC146" s="22">
        <f t="shared" si="111"/>
        <v>40.461803180359773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-1.0197709343628959E-13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200.14675249215634</v>
      </c>
      <c r="AO146" s="59">
        <f t="shared" si="144"/>
        <v>200.55017434999968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25.06932216247548</v>
      </c>
      <c r="AV146" s="21">
        <f>EXP(-LN(2)/25)*AV145+(1-EXP(-LN(2)/25))/(LN(2)/25)*Calculateur!AQ146*Calculateur!AS146*VLOOKUP('Données projet'!$B$10,Paramètres!$A$1:$I$89,3,0)*0.475*44/12</f>
        <v>3.6186512304452467</v>
      </c>
      <c r="AW146" s="21">
        <f>EXP(-LN(2)/2)*AW145+(1-EXP(-LN(2)/2))/(LN(2)/2)*AQ146*AT146*VLOOKUP('Données projet'!$B$10,Paramètres!$A$1:$I$89,3,0)*0.475*44/12</f>
        <v>1.0277811685819831E-11</v>
      </c>
      <c r="AX146" s="21">
        <f t="shared" si="114"/>
        <v>28.687973392931003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-1.4210854715202004E-13</v>
      </c>
      <c r="BE146" s="13">
        <f>BD146*VLOOKUP('Données projet'!$B$11,Paramètres!$A$1:$I$89,3,0)*VLOOKUP('Données projet'!$B$11,Paramètres!$A$1:$I$89,5,0)</f>
        <v>-8.128608897095547E-14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182.46132340647313</v>
      </c>
      <c r="BJ146" s="59">
        <f t="shared" si="146"/>
        <v>130.51706975490481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48.146154144619246</v>
      </c>
      <c r="BQ146" s="21">
        <f>EXP(-LN(2)/25)*BQ145+(1-EXP(-LN(2)/25))/(LN(2)/25)*Calculateur!BL146*Calculateur!BN146*VLOOKUP('Données projet'!$B$11,Paramètres!$A$1:$I$89,3,0)*0.475*44/12</f>
        <v>8.4641475894581735</v>
      </c>
      <c r="BR146" s="21">
        <f>EXP(-LN(2)/2)*BR145+(1-EXP(-LN(2)/2))/(LN(2)/2)*BL146*BO146*VLOOKUP('Données projet'!$B$11,Paramètres!$A$1:$I$89,3,0)*0.475*44/12</f>
        <v>1.6575807735902232E-5</v>
      </c>
      <c r="BS146" s="22">
        <f t="shared" si="117"/>
        <v>56.610318309885152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735.00000000000011</v>
      </c>
      <c r="BZ146" s="13">
        <f>BY146*VLOOKUP('Données projet'!$B$12,Paramètres!$A$1:$I$89,3,0)*VLOOKUP('Données projet'!$B$12,Paramètres!$A$1:$I$89,5,0)</f>
        <v>296.20500000000004</v>
      </c>
      <c r="CA146" s="13">
        <f t="shared" si="147"/>
        <v>70.380297204000939</v>
      </c>
      <c r="CB146" s="20">
        <f t="shared" si="118"/>
        <v>638.46939263030174</v>
      </c>
      <c r="CC146" s="59">
        <f t="shared" si="119"/>
        <v>931.80272596363511</v>
      </c>
      <c r="CD146" s="59">
        <f ca="1">AVERAGE(OFFSET($CC$3,0,0,'Données projet'!$E$12+1,1))-AVERAGE(OFFSET($H$3,0,0,'Données projet'!$E$12+1,1))</f>
        <v>291.0962681460345</v>
      </c>
      <c r="CE146" s="59">
        <f t="shared" si="148"/>
        <v>240.28311826371385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14.859013093738133</v>
      </c>
      <c r="CL146" s="21">
        <f>EXP(-LN(2)/25)*CL145+(1-EXP(-LN(2)/25))/(LN(2)/25)*Calculateur!CG146*Calculateur!CI146*VLOOKUP('Données projet'!$B$12,Paramètres!$A$1:$I$89,3,0)*0.475*44/12</f>
        <v>3.8103925789954944</v>
      </c>
      <c r="CM146" s="21">
        <f>EXP(-LN(2)/2)*CM145+(1-EXP(-LN(2)/2))/(LN(2)/2)*CG146*CJ146*VLOOKUP('Données projet'!$B$12,Paramètres!$A$1:$I$89,3,0)*0.475*44/12</f>
        <v>1.9990917586925214E-10</v>
      </c>
      <c r="CN146" s="22">
        <f t="shared" si="120"/>
        <v>18.669405672933536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-5.3205440053716299E-14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225.92546546283018</v>
      </c>
      <c r="CZ146" s="59">
        <f t="shared" si="150"/>
        <v>309.38786160614563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17.405397870505144</v>
      </c>
      <c r="DG146" s="21">
        <f>EXP(-LN(2)/25)*DG145+(1-EXP(-LN(2)/25))/(LN(2)/25)*Calculateur!DB146*Calculateur!DD146*VLOOKUP('Données projet'!$B$13,Paramètres!$A$1:$I$89,3,0)*0.475*44/12</f>
        <v>8.7638829009476922</v>
      </c>
      <c r="DH146" s="21">
        <f>EXP(-LN(2)/2)*DH145+(1-EXP(-LN(2)/2))/(LN(2)/2)*DB146*DE146*VLOOKUP('Données projet'!$B$13,Paramètres!$A$1:$I$89,3,0)*0.475*44/12</f>
        <v>2.3636405162023535E-17</v>
      </c>
      <c r="DI146" s="22">
        <f t="shared" si="123"/>
        <v>26.169280771452836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168</v>
      </c>
      <c r="DP146" s="17">
        <f>DO146*VLOOKUP('Données projet'!$B$14,Paramètres!$A$1:$I$89,3,0)*VLOOKUP('Données projet'!$B$14,Paramètres!$A$1:$I$89,5,0)</f>
        <v>146.76480000000004</v>
      </c>
      <c r="DQ146" s="13">
        <f t="shared" si="151"/>
        <v>37.842444439956665</v>
      </c>
      <c r="DR146" s="20">
        <f t="shared" si="124"/>
        <v>321.52428406625791</v>
      </c>
      <c r="DS146" s="59">
        <f t="shared" si="125"/>
        <v>614.85761739959116</v>
      </c>
      <c r="DT146" s="59">
        <f ca="1">AVERAGE(OFFSET($DS$3,0,0,'Données projet'!$E$14+1,1))-AVERAGE(OFFSET($H$3,0,0,'Données projet'!$E$14+1,1))</f>
        <v>150.06600397498823</v>
      </c>
      <c r="DU146" s="59">
        <f t="shared" si="152"/>
        <v>170.53034305929714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2.1023050074211227</v>
      </c>
      <c r="EB146" s="21">
        <f>EXP(-LN(2)/25)*EB145+(1-EXP(-LN(2)/25))/(LN(2)/25)*Calculateur!DW146*Calculateur!DY146*VLOOKUP('Données projet'!$B$14,Paramètres!$A$1:$I$89,3,0)*0.475*44/12</f>
        <v>2.6217750246669369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4.7240800320880592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294.94285920643927</v>
      </c>
      <c r="T147" s="59">
        <f t="shared" si="142"/>
        <v>399.89535338426606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26.135539802965546</v>
      </c>
      <c r="AA147" s="21">
        <f>EXP(-LN(2)/25)*AA146+(1-EXP(-LN(2)/25))/(LN(2)/25)*Calculateur!V147*Calculateur!X147*VLOOKUP('Données projet'!$B$9,Paramètres!$A$1:$I$89,3,0)*0.475*44/12</f>
        <v>13.42605279722668</v>
      </c>
      <c r="AB147" s="21">
        <f>EXP(-LN(2)/2)*AB146+(1-EXP(-LN(2)/2))/(LN(2)/2)*V147*Y147*VLOOKUP('Données projet'!$B$9,Paramètres!$A$1:$I$89,3,0)*0.475*44/12</f>
        <v>6.019954452226308E-17</v>
      </c>
      <c r="AC147" s="22">
        <f t="shared" si="111"/>
        <v>39.561592600192228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-1.0197709343628959E-13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200.14675249215634</v>
      </c>
      <c r="AO147" s="59">
        <f t="shared" si="144"/>
        <v>200.55017434999968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24.577728045646015</v>
      </c>
      <c r="AV147" s="21">
        <f>EXP(-LN(2)/25)*AV146+(1-EXP(-LN(2)/25))/(LN(2)/25)*Calculateur!AQ147*Calculateur!AS147*VLOOKUP('Données projet'!$B$10,Paramètres!$A$1:$I$89,3,0)*0.475*44/12</f>
        <v>3.5196990222521238</v>
      </c>
      <c r="AW147" s="21">
        <f>EXP(-LN(2)/2)*AW146+(1-EXP(-LN(2)/2))/(LN(2)/2)*AQ147*AT147*VLOOKUP('Données projet'!$B$10,Paramètres!$A$1:$I$89,3,0)*0.475*44/12</f>
        <v>7.2675103388015451E-12</v>
      </c>
      <c r="AX147" s="21">
        <f t="shared" si="114"/>
        <v>28.097427067905407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-1.4210854715202004E-13</v>
      </c>
      <c r="BE147" s="13">
        <f>BD147*VLOOKUP('Données projet'!$B$11,Paramètres!$A$1:$I$89,3,0)*VLOOKUP('Données projet'!$B$11,Paramètres!$A$1:$I$89,5,0)</f>
        <v>-8.128608897095547E-14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182.46132340647313</v>
      </c>
      <c r="BJ147" s="59">
        <f t="shared" si="146"/>
        <v>130.51706975490481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47.202037428097611</v>
      </c>
      <c r="BQ147" s="21">
        <f>EXP(-LN(2)/25)*BQ146+(1-EXP(-LN(2)/25))/(LN(2)/25)*Calculateur!BL147*Calculateur!BN147*VLOOKUP('Données projet'!$B$11,Paramètres!$A$1:$I$89,3,0)*0.475*44/12</f>
        <v>8.2326950285142626</v>
      </c>
      <c r="BR147" s="21">
        <f>EXP(-LN(2)/2)*BR146+(1-EXP(-LN(2)/2))/(LN(2)/2)*BL147*BO147*VLOOKUP('Données projet'!$B$11,Paramètres!$A$1:$I$89,3,0)*0.475*44/12</f>
        <v>1.1720866053700901E-5</v>
      </c>
      <c r="BS147" s="22">
        <f t="shared" si="117"/>
        <v>55.434744177477931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735.00000000000011</v>
      </c>
      <c r="BZ147" s="13">
        <f>BY147*VLOOKUP('Données projet'!$B$12,Paramètres!$A$1:$I$89,3,0)*VLOOKUP('Données projet'!$B$12,Paramètres!$A$1:$I$89,5,0)</f>
        <v>296.20500000000004</v>
      </c>
      <c r="CA147" s="13">
        <f t="shared" si="147"/>
        <v>70.380297204000939</v>
      </c>
      <c r="CB147" s="20">
        <f t="shared" si="118"/>
        <v>638.46939263030174</v>
      </c>
      <c r="CC147" s="59">
        <f t="shared" si="119"/>
        <v>931.80272596363511</v>
      </c>
      <c r="CD147" s="59">
        <f ca="1">AVERAGE(OFFSET($CC$3,0,0,'Données projet'!$E$12+1,1))-AVERAGE(OFFSET($H$3,0,0,'Données projet'!$E$12+1,1))</f>
        <v>291.0962681460345</v>
      </c>
      <c r="CE147" s="59">
        <f t="shared" si="148"/>
        <v>240.28311826371385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14.567636910073007</v>
      </c>
      <c r="CL147" s="21">
        <f>EXP(-LN(2)/25)*CL146+(1-EXP(-LN(2)/25))/(LN(2)/25)*Calculateur!CG147*Calculateur!CI147*VLOOKUP('Données projet'!$B$12,Paramètres!$A$1:$I$89,3,0)*0.475*44/12</f>
        <v>3.7061971935430256</v>
      </c>
      <c r="CM147" s="21">
        <f>EXP(-LN(2)/2)*CM146+(1-EXP(-LN(2)/2))/(LN(2)/2)*CG147*CJ147*VLOOKUP('Données projet'!$B$12,Paramètres!$A$1:$I$89,3,0)*0.475*44/12</f>
        <v>1.4135713387856232E-10</v>
      </c>
      <c r="CN147" s="22">
        <f t="shared" si="120"/>
        <v>18.273834103757387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-5.3205440053716299E-14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225.92546546283018</v>
      </c>
      <c r="CZ147" s="59">
        <f t="shared" si="150"/>
        <v>309.38786160614563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17.064088634508973</v>
      </c>
      <c r="DG147" s="21">
        <f>EXP(-LN(2)/25)*DG146+(1-EXP(-LN(2)/25))/(LN(2)/25)*Calculateur!DB147*Calculateur!DD147*VLOOKUP('Données projet'!$B$13,Paramètres!$A$1:$I$89,3,0)*0.475*44/12</f>
        <v>8.5242340621487056</v>
      </c>
      <c r="DH147" s="21">
        <f>EXP(-LN(2)/2)*DH146+(1-EXP(-LN(2)/2))/(LN(2)/2)*DB147*DE147*VLOOKUP('Données projet'!$B$13,Paramètres!$A$1:$I$89,3,0)*0.475*44/12</f>
        <v>1.6713462372939558E-17</v>
      </c>
      <c r="DI147" s="22">
        <f t="shared" si="123"/>
        <v>25.588322696657677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168</v>
      </c>
      <c r="DP147" s="17">
        <f>DO147*VLOOKUP('Données projet'!$B$14,Paramètres!$A$1:$I$89,3,0)*VLOOKUP('Données projet'!$B$14,Paramètres!$A$1:$I$89,5,0)</f>
        <v>146.76480000000004</v>
      </c>
      <c r="DQ147" s="13">
        <f t="shared" si="151"/>
        <v>37.842444439956665</v>
      </c>
      <c r="DR147" s="20">
        <f t="shared" si="124"/>
        <v>321.52428406625791</v>
      </c>
      <c r="DS147" s="59">
        <f t="shared" si="125"/>
        <v>614.85761739959116</v>
      </c>
      <c r="DT147" s="59">
        <f ca="1">AVERAGE(OFFSET($DS$3,0,0,'Données projet'!$E$14+1,1))-AVERAGE(OFFSET($H$3,0,0,'Données projet'!$E$14+1,1))</f>
        <v>150.06600397498823</v>
      </c>
      <c r="DU147" s="59">
        <f t="shared" si="152"/>
        <v>170.53034305929714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2.0610800885050344</v>
      </c>
      <c r="EB147" s="21">
        <f>EXP(-LN(2)/25)*EB146+(1-EXP(-LN(2)/25))/(LN(2)/25)*Calculateur!DW147*Calculateur!DY147*VLOOKUP('Données projet'!$B$14,Paramètres!$A$1:$I$89,3,0)*0.475*44/12</f>
        <v>2.5500824487442633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4.6111625372492977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294.94285920643927</v>
      </c>
      <c r="T148" s="59">
        <f t="shared" si="142"/>
        <v>399.89535338426606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25.623037808534619</v>
      </c>
      <c r="AA148" s="21">
        <f>EXP(-LN(2)/25)*AA147+(1-EXP(-LN(2)/25))/(LN(2)/25)*Calculateur!V148*Calculateur!X148*VLOOKUP('Données projet'!$B$9,Paramètres!$A$1:$I$89,3,0)*0.475*44/12</f>
        <v>13.058916677441085</v>
      </c>
      <c r="AB148" s="21">
        <f>EXP(-LN(2)/2)*AB147+(1-EXP(-LN(2)/2))/(LN(2)/2)*V148*Y148*VLOOKUP('Données projet'!$B$9,Paramètres!$A$1:$I$89,3,0)*0.475*44/12</f>
        <v>4.2567506156033705E-17</v>
      </c>
      <c r="AC148" s="22">
        <f t="shared" si="111"/>
        <v>38.681954485975702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-1.0197709343628959E-13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200.14675249215634</v>
      </c>
      <c r="AO148" s="59">
        <f t="shared" si="144"/>
        <v>200.55017434999968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24.095773789604774</v>
      </c>
      <c r="AV148" s="21">
        <f>EXP(-LN(2)/25)*AV147+(1-EXP(-LN(2)/25))/(LN(2)/25)*Calculateur!AQ148*Calculateur!AS148*VLOOKUP('Données projet'!$B$10,Paramètres!$A$1:$I$89,3,0)*0.475*44/12</f>
        <v>3.4234526673957122</v>
      </c>
      <c r="AW148" s="21">
        <f>EXP(-LN(2)/2)*AW147+(1-EXP(-LN(2)/2))/(LN(2)/2)*AQ148*AT148*VLOOKUP('Données projet'!$B$10,Paramètres!$A$1:$I$89,3,0)*0.475*44/12</f>
        <v>5.1389058429099163E-12</v>
      </c>
      <c r="AX148" s="21">
        <f t="shared" si="114"/>
        <v>27.519226457005622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-1.4210854715202004E-13</v>
      </c>
      <c r="BE148" s="13">
        <f>BD148*VLOOKUP('Données projet'!$B$11,Paramètres!$A$1:$I$89,3,0)*VLOOKUP('Données projet'!$B$11,Paramètres!$A$1:$I$89,5,0)</f>
        <v>-8.128608897095547E-14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182.46132340647313</v>
      </c>
      <c r="BJ148" s="59">
        <f t="shared" si="146"/>
        <v>130.51706975490481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46.276434264532632</v>
      </c>
      <c r="BQ148" s="21">
        <f>EXP(-LN(2)/25)*BQ147+(1-EXP(-LN(2)/25))/(LN(2)/25)*Calculateur!BL148*Calculateur!BN148*VLOOKUP('Données projet'!$B$11,Paramètres!$A$1:$I$89,3,0)*0.475*44/12</f>
        <v>8.0075715500209252</v>
      </c>
      <c r="BR148" s="21">
        <f>EXP(-LN(2)/2)*BR147+(1-EXP(-LN(2)/2))/(LN(2)/2)*BL148*BO148*VLOOKUP('Données projet'!$B$11,Paramètres!$A$1:$I$89,3,0)*0.475*44/12</f>
        <v>8.287903867951116E-6</v>
      </c>
      <c r="BS148" s="22">
        <f t="shared" si="117"/>
        <v>54.284014102457427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735.00000000000011</v>
      </c>
      <c r="BZ148" s="13">
        <f>BY148*VLOOKUP('Données projet'!$B$12,Paramètres!$A$1:$I$89,3,0)*VLOOKUP('Données projet'!$B$12,Paramètres!$A$1:$I$89,5,0)</f>
        <v>296.20500000000004</v>
      </c>
      <c r="CA148" s="13">
        <f t="shared" si="147"/>
        <v>70.380297204000939</v>
      </c>
      <c r="CB148" s="20">
        <f t="shared" si="118"/>
        <v>638.46939263030174</v>
      </c>
      <c r="CC148" s="59">
        <f t="shared" si="119"/>
        <v>931.80272596363511</v>
      </c>
      <c r="CD148" s="59">
        <f ca="1">AVERAGE(OFFSET($CC$3,0,0,'Données projet'!$E$12+1,1))-AVERAGE(OFFSET($H$3,0,0,'Données projet'!$E$12+1,1))</f>
        <v>291.0962681460345</v>
      </c>
      <c r="CE148" s="59">
        <f t="shared" si="148"/>
        <v>240.28311826371385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14.281974435647632</v>
      </c>
      <c r="CL148" s="21">
        <f>EXP(-LN(2)/25)*CL147+(1-EXP(-LN(2)/25))/(LN(2)/25)*Calculateur!CG148*Calculateur!CI148*VLOOKUP('Données projet'!$B$12,Paramètres!$A$1:$I$89,3,0)*0.475*44/12</f>
        <v>3.6048510363851518</v>
      </c>
      <c r="CM148" s="21">
        <f>EXP(-LN(2)/2)*CM147+(1-EXP(-LN(2)/2))/(LN(2)/2)*CG148*CJ148*VLOOKUP('Données projet'!$B$12,Paramètres!$A$1:$I$89,3,0)*0.475*44/12</f>
        <v>9.9954587934626068E-11</v>
      </c>
      <c r="CN148" s="22">
        <f t="shared" si="120"/>
        <v>17.886825472132738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-5.3205440053716299E-14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225.92546546283018</v>
      </c>
      <c r="CZ148" s="59">
        <f t="shared" si="150"/>
        <v>309.38786160614563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16.729472264452607</v>
      </c>
      <c r="DG148" s="21">
        <f>EXP(-LN(2)/25)*DG147+(1-EXP(-LN(2)/25))/(LN(2)/25)*Calculateur!DB148*Calculateur!DD148*VLOOKUP('Données projet'!$B$13,Paramètres!$A$1:$I$89,3,0)*0.475*44/12</f>
        <v>8.2911384334492624</v>
      </c>
      <c r="DH148" s="21">
        <f>EXP(-LN(2)/2)*DH147+(1-EXP(-LN(2)/2))/(LN(2)/2)*DB148*DE148*VLOOKUP('Données projet'!$B$13,Paramètres!$A$1:$I$89,3,0)*0.475*44/12</f>
        <v>1.1818202581011767E-17</v>
      </c>
      <c r="DI148" s="22">
        <f t="shared" si="123"/>
        <v>25.020610697901869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168</v>
      </c>
      <c r="DP148" s="17">
        <f>DO148*VLOOKUP('Données projet'!$B$14,Paramètres!$A$1:$I$89,3,0)*VLOOKUP('Données projet'!$B$14,Paramètres!$A$1:$I$89,5,0)</f>
        <v>146.76480000000004</v>
      </c>
      <c r="DQ148" s="13">
        <f t="shared" si="151"/>
        <v>37.842444439956665</v>
      </c>
      <c r="DR148" s="20">
        <f t="shared" si="124"/>
        <v>321.52428406625791</v>
      </c>
      <c r="DS148" s="59">
        <f t="shared" si="125"/>
        <v>614.85761739959116</v>
      </c>
      <c r="DT148" s="59">
        <f ca="1">AVERAGE(OFFSET($DS$3,0,0,'Données projet'!$E$14+1,1))-AVERAGE(OFFSET($H$3,0,0,'Données projet'!$E$14+1,1))</f>
        <v>150.06600397498823</v>
      </c>
      <c r="DU148" s="59">
        <f t="shared" si="152"/>
        <v>170.53034305929714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2.0206635651041731</v>
      </c>
      <c r="EB148" s="21">
        <f>EXP(-LN(2)/25)*EB147+(1-EXP(-LN(2)/25))/(LN(2)/25)*Calculateur!DW148*Calculateur!DY148*VLOOKUP('Données projet'!$B$14,Paramètres!$A$1:$I$89,3,0)*0.475*44/12</f>
        <v>2.4803503100803437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4.5010138751845172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294.94285920643927</v>
      </c>
      <c r="T149" s="59">
        <f t="shared" si="142"/>
        <v>399.89535338426606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25.120585665619132</v>
      </c>
      <c r="AA149" s="21">
        <f>EXP(-LN(2)/25)*AA148+(1-EXP(-LN(2)/25))/(LN(2)/25)*Calculateur!V149*Calculateur!X149*VLOOKUP('Données projet'!$B$9,Paramètres!$A$1:$I$89,3,0)*0.475*44/12</f>
        <v>12.701819914157877</v>
      </c>
      <c r="AB149" s="21">
        <f>EXP(-LN(2)/2)*AB148+(1-EXP(-LN(2)/2))/(LN(2)/2)*V149*Y149*VLOOKUP('Données projet'!$B$9,Paramètres!$A$1:$I$89,3,0)*0.475*44/12</f>
        <v>3.009977226113154E-17</v>
      </c>
      <c r="AC149" s="22">
        <f t="shared" si="111"/>
        <v>37.822405579777012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-1.0197709343628959E-13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200.14675249215634</v>
      </c>
      <c r="AO149" s="59">
        <f t="shared" si="144"/>
        <v>200.55017434999968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23.623270362561431</v>
      </c>
      <c r="AV149" s="21">
        <f>EXP(-LN(2)/25)*AV148+(1-EXP(-LN(2)/25))/(LN(2)/25)*Calculateur!AQ149*Calculateur!AS149*VLOOKUP('Données projet'!$B$10,Paramètres!$A$1:$I$89,3,0)*0.475*44/12</f>
        <v>3.3298381741742249</v>
      </c>
      <c r="AW149" s="21">
        <f>EXP(-LN(2)/2)*AW148+(1-EXP(-LN(2)/2))/(LN(2)/2)*AQ149*AT149*VLOOKUP('Données projet'!$B$10,Paramètres!$A$1:$I$89,3,0)*0.475*44/12</f>
        <v>3.6337551694007729E-12</v>
      </c>
      <c r="AX149" s="21">
        <f t="shared" si="114"/>
        <v>26.95310853673929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-1.4210854715202004E-13</v>
      </c>
      <c r="BE149" s="13">
        <f>BD149*VLOOKUP('Données projet'!$B$11,Paramètres!$A$1:$I$89,3,0)*VLOOKUP('Données projet'!$B$11,Paramètres!$A$1:$I$89,5,0)</f>
        <v>-8.128608897095547E-14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182.46132340647313</v>
      </c>
      <c r="BJ149" s="59">
        <f t="shared" si="146"/>
        <v>130.51706975490481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45.36898161444298</v>
      </c>
      <c r="BQ149" s="21">
        <f>EXP(-LN(2)/25)*BQ148+(1-EXP(-LN(2)/25))/(LN(2)/25)*Calculateur!BL149*Calculateur!BN149*VLOOKUP('Données projet'!$B$11,Paramètres!$A$1:$I$89,3,0)*0.475*44/12</f>
        <v>7.7886040848857165</v>
      </c>
      <c r="BR149" s="21">
        <f>EXP(-LN(2)/2)*BR148+(1-EXP(-LN(2)/2))/(LN(2)/2)*BL149*BO149*VLOOKUP('Données projet'!$B$11,Paramètres!$A$1:$I$89,3,0)*0.475*44/12</f>
        <v>5.8604330268504507E-6</v>
      </c>
      <c r="BS149" s="22">
        <f t="shared" si="117"/>
        <v>53.157591559761727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735.00000000000011</v>
      </c>
      <c r="BZ149" s="13">
        <f>BY149*VLOOKUP('Données projet'!$B$12,Paramètres!$A$1:$I$89,3,0)*VLOOKUP('Données projet'!$B$12,Paramètres!$A$1:$I$89,5,0)</f>
        <v>296.20500000000004</v>
      </c>
      <c r="CA149" s="13">
        <f t="shared" si="147"/>
        <v>70.380297204000939</v>
      </c>
      <c r="CB149" s="20">
        <f t="shared" si="118"/>
        <v>638.46939263030174</v>
      </c>
      <c r="CC149" s="59">
        <f t="shared" si="119"/>
        <v>931.80272596363511</v>
      </c>
      <c r="CD149" s="59">
        <f ca="1">AVERAGE(OFFSET($CC$3,0,0,'Données projet'!$E$12+1,1))-AVERAGE(OFFSET($H$3,0,0,'Données projet'!$E$12+1,1))</f>
        <v>291.0962681460345</v>
      </c>
      <c r="CE149" s="59">
        <f t="shared" si="148"/>
        <v>240.28311826371385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14.001913628108833</v>
      </c>
      <c r="CL149" s="21">
        <f>EXP(-LN(2)/25)*CL148+(1-EXP(-LN(2)/25))/(LN(2)/25)*Calculateur!CG149*Calculateur!CI149*VLOOKUP('Données projet'!$B$12,Paramètres!$A$1:$I$89,3,0)*0.475*44/12</f>
        <v>3.5062761952243227</v>
      </c>
      <c r="CM149" s="21">
        <f>EXP(-LN(2)/2)*CM148+(1-EXP(-LN(2)/2))/(LN(2)/2)*CG149*CJ149*VLOOKUP('Données projet'!$B$12,Paramètres!$A$1:$I$89,3,0)*0.475*44/12</f>
        <v>7.0678566939281158E-11</v>
      </c>
      <c r="CN149" s="22">
        <f t="shared" si="120"/>
        <v>17.508189823403832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-5.3205440053716299E-14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225.92546546283018</v>
      </c>
      <c r="CZ149" s="59">
        <f t="shared" si="150"/>
        <v>309.38786160614563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16.401417517317213</v>
      </c>
      <c r="DG149" s="21">
        <f>EXP(-LN(2)/25)*DG148+(1-EXP(-LN(2)/25))/(LN(2)/25)*Calculateur!DB149*Calculateur!DD149*VLOOKUP('Données projet'!$B$13,Paramètres!$A$1:$I$89,3,0)*0.475*44/12</f>
        <v>8.0644168169745711</v>
      </c>
      <c r="DH149" s="21">
        <f>EXP(-LN(2)/2)*DH148+(1-EXP(-LN(2)/2))/(LN(2)/2)*DB149*DE149*VLOOKUP('Données projet'!$B$13,Paramètres!$A$1:$I$89,3,0)*0.475*44/12</f>
        <v>8.3567311864697789E-18</v>
      </c>
      <c r="DI149" s="22">
        <f t="shared" si="123"/>
        <v>24.465834334291785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168</v>
      </c>
      <c r="DP149" s="17">
        <f>DO149*VLOOKUP('Données projet'!$B$14,Paramètres!$A$1:$I$89,3,0)*VLOOKUP('Données projet'!$B$14,Paramètres!$A$1:$I$89,5,0)</f>
        <v>146.76480000000004</v>
      </c>
      <c r="DQ149" s="13">
        <f t="shared" si="151"/>
        <v>37.842444439956665</v>
      </c>
      <c r="DR149" s="20">
        <f t="shared" si="124"/>
        <v>321.52428406625791</v>
      </c>
      <c r="DS149" s="59">
        <f t="shared" si="125"/>
        <v>614.85761739959116</v>
      </c>
      <c r="DT149" s="59">
        <f ca="1">AVERAGE(OFFSET($DS$3,0,0,'Données projet'!$E$14+1,1))-AVERAGE(OFFSET($H$3,0,0,'Données projet'!$E$14+1,1))</f>
        <v>150.06600397498823</v>
      </c>
      <c r="DU149" s="59">
        <f t="shared" si="152"/>
        <v>170.53034305929714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1.9810395850755573</v>
      </c>
      <c r="EB149" s="21">
        <f>EXP(-LN(2)/25)*EB148+(1-EXP(-LN(2)/25))/(LN(2)/25)*Calculateur!DW149*Calculateur!DY149*VLOOKUP('Données projet'!$B$14,Paramètres!$A$1:$I$89,3,0)*0.475*44/12</f>
        <v>2.412525000415243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4.3935645854908003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294.94285920643927</v>
      </c>
      <c r="T150" s="59">
        <f t="shared" si="142"/>
        <v>399.89535338426606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24.627986302760672</v>
      </c>
      <c r="AA150" s="21">
        <f>EXP(-LN(2)/25)*AA149+(1-EXP(-LN(2)/25))/(LN(2)/25)*Calculateur!V150*Calculateur!X150*VLOOKUP('Données projet'!$B$9,Paramètres!$A$1:$I$89,3,0)*0.475*44/12</f>
        <v>12.354487980645551</v>
      </c>
      <c r="AB150" s="21">
        <f>EXP(-LN(2)/2)*AB149+(1-EXP(-LN(2)/2))/(LN(2)/2)*V150*Y150*VLOOKUP('Données projet'!$B$9,Paramètres!$A$1:$I$89,3,0)*0.475*44/12</f>
        <v>2.1283753078016853E-17</v>
      </c>
      <c r="AC150" s="22">
        <f t="shared" si="111"/>
        <v>36.982474283406219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-1.0197709343628959E-13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200.14675249215634</v>
      </c>
      <c r="AO150" s="59">
        <f t="shared" si="144"/>
        <v>200.55017434999968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23.160032439523775</v>
      </c>
      <c r="AV150" s="21">
        <f>EXP(-LN(2)/25)*AV149+(1-EXP(-LN(2)/25))/(LN(2)/25)*Calculateur!AQ150*Calculateur!AS150*VLOOKUP('Données projet'!$B$10,Paramètres!$A$1:$I$89,3,0)*0.475*44/12</f>
        <v>3.2387835741928517</v>
      </c>
      <c r="AW150" s="21">
        <f>EXP(-LN(2)/2)*AW149+(1-EXP(-LN(2)/2))/(LN(2)/2)*AQ150*AT150*VLOOKUP('Données projet'!$B$10,Paramètres!$A$1:$I$89,3,0)*0.475*44/12</f>
        <v>2.5694529214549585E-12</v>
      </c>
      <c r="AX150" s="21">
        <f t="shared" si="114"/>
        <v>26.398816013719195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-1.4210854715202004E-13</v>
      </c>
      <c r="BE150" s="13">
        <f>BD150*VLOOKUP('Données projet'!$B$11,Paramètres!$A$1:$I$89,3,0)*VLOOKUP('Données projet'!$B$11,Paramètres!$A$1:$I$89,5,0)</f>
        <v>-8.128608897095547E-14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182.46132340647313</v>
      </c>
      <c r="BJ150" s="59">
        <f t="shared" si="146"/>
        <v>130.51706975490481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44.479323557330119</v>
      </c>
      <c r="BQ150" s="21">
        <f>EXP(-LN(2)/25)*BQ149+(1-EXP(-LN(2)/25))/(LN(2)/25)*Calculateur!BL150*Calculateur!BN150*VLOOKUP('Données projet'!$B$11,Paramètres!$A$1:$I$89,3,0)*0.475*44/12</f>
        <v>7.5756242965996288</v>
      </c>
      <c r="BR150" s="21">
        <f>EXP(-LN(2)/2)*BR149+(1-EXP(-LN(2)/2))/(LN(2)/2)*BL150*BO150*VLOOKUP('Données projet'!$B$11,Paramètres!$A$1:$I$89,3,0)*0.475*44/12</f>
        <v>4.143951933975558E-6</v>
      </c>
      <c r="BS150" s="22">
        <f t="shared" si="117"/>
        <v>52.05495199788168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735.00000000000011</v>
      </c>
      <c r="BZ150" s="13">
        <f>BY150*VLOOKUP('Données projet'!$B$12,Paramètres!$A$1:$I$89,3,0)*VLOOKUP('Données projet'!$B$12,Paramètres!$A$1:$I$89,5,0)</f>
        <v>296.20500000000004</v>
      </c>
      <c r="CA150" s="13">
        <f t="shared" si="147"/>
        <v>70.380297204000939</v>
      </c>
      <c r="CB150" s="20">
        <f t="shared" si="118"/>
        <v>638.46939263030174</v>
      </c>
      <c r="CC150" s="59">
        <f t="shared" si="119"/>
        <v>931.80272596363511</v>
      </c>
      <c r="CD150" s="59">
        <f ca="1">AVERAGE(OFFSET($CC$3,0,0,'Données projet'!$E$12+1,1))-AVERAGE(OFFSET($H$3,0,0,'Données projet'!$E$12+1,1))</f>
        <v>291.0962681460345</v>
      </c>
      <c r="CE150" s="59">
        <f t="shared" si="148"/>
        <v>240.28311826371385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13.727344642185644</v>
      </c>
      <c r="CL150" s="21">
        <f>EXP(-LN(2)/25)*CL149+(1-EXP(-LN(2)/25))/(LN(2)/25)*Calculateur!CG150*Calculateur!CI150*VLOOKUP('Données projet'!$B$12,Paramètres!$A$1:$I$89,3,0)*0.475*44/12</f>
        <v>3.410396888278862</v>
      </c>
      <c r="CM150" s="21">
        <f>EXP(-LN(2)/2)*CM149+(1-EXP(-LN(2)/2))/(LN(2)/2)*CG150*CJ150*VLOOKUP('Données projet'!$B$12,Paramètres!$A$1:$I$89,3,0)*0.475*44/12</f>
        <v>4.9977293967313034E-11</v>
      </c>
      <c r="CN150" s="22">
        <f t="shared" si="120"/>
        <v>17.137741530514482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-5.3205440053716299E-14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225.92546546283018</v>
      </c>
      <c r="CZ150" s="59">
        <f t="shared" si="150"/>
        <v>309.38786160614563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16.079795723679506</v>
      </c>
      <c r="DG150" s="21">
        <f>EXP(-LN(2)/25)*DG149+(1-EXP(-LN(2)/25))/(LN(2)/25)*Calculateur!DB150*Calculateur!DD150*VLOOKUP('Données projet'!$B$13,Paramètres!$A$1:$I$89,3,0)*0.475*44/12</f>
        <v>7.8438949150251522</v>
      </c>
      <c r="DH150" s="21">
        <f>EXP(-LN(2)/2)*DH149+(1-EXP(-LN(2)/2))/(LN(2)/2)*DB150*DE150*VLOOKUP('Données projet'!$B$13,Paramètres!$A$1:$I$89,3,0)*0.475*44/12</f>
        <v>5.9091012905058837E-18</v>
      </c>
      <c r="DI150" s="22">
        <f t="shared" si="123"/>
        <v>23.92369063870466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168</v>
      </c>
      <c r="DP150" s="17">
        <f>DO150*VLOOKUP('Données projet'!$B$14,Paramètres!$A$1:$I$89,3,0)*VLOOKUP('Données projet'!$B$14,Paramètres!$A$1:$I$89,5,0)</f>
        <v>146.76480000000004</v>
      </c>
      <c r="DQ150" s="13">
        <f t="shared" si="151"/>
        <v>37.842444439956665</v>
      </c>
      <c r="DR150" s="20">
        <f t="shared" si="124"/>
        <v>321.52428406625791</v>
      </c>
      <c r="DS150" s="59">
        <f t="shared" si="125"/>
        <v>614.85761739959116</v>
      </c>
      <c r="DT150" s="59">
        <f ca="1">AVERAGE(OFFSET($DS$3,0,0,'Données projet'!$E$14+1,1))-AVERAGE(OFFSET($H$3,0,0,'Données projet'!$E$14+1,1))</f>
        <v>150.06600397498823</v>
      </c>
      <c r="DU150" s="59">
        <f t="shared" si="152"/>
        <v>170.53034305929714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1.9421926071270614</v>
      </c>
      <c r="EB150" s="21">
        <f>EXP(-LN(2)/25)*EB149+(1-EXP(-LN(2)/25))/(LN(2)/25)*Calculateur!DW150*Calculateur!DY150*VLOOKUP('Données projet'!$B$14,Paramètres!$A$1:$I$89,3,0)*0.475*44/12</f>
        <v>2.3465543774097122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4.2887469845367736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294.94285920643927</v>
      </c>
      <c r="T151" s="59">
        <f t="shared" si="142"/>
        <v>399.89535338426606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24.145046512951922</v>
      </c>
      <c r="AA151" s="21">
        <f>EXP(-LN(2)/25)*AA150+(1-EXP(-LN(2)/25))/(LN(2)/25)*Calculateur!V151*Calculateur!X151*VLOOKUP('Données projet'!$B$9,Paramètres!$A$1:$I$89,3,0)*0.475*44/12</f>
        <v>12.016653857120513</v>
      </c>
      <c r="AB151" s="21">
        <f>EXP(-LN(2)/2)*AB150+(1-EXP(-LN(2)/2))/(LN(2)/2)*V151*Y151*VLOOKUP('Données projet'!$B$9,Paramètres!$A$1:$I$89,3,0)*0.475*44/12</f>
        <v>1.504988613056577E-17</v>
      </c>
      <c r="AC151" s="22">
        <f t="shared" si="111"/>
        <v>36.161700370072438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-1.0197709343628959E-13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200.14675249215634</v>
      </c>
      <c r="AO151" s="59">
        <f t="shared" si="144"/>
        <v>200.55017434999968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22.705878329609654</v>
      </c>
      <c r="AV151" s="21">
        <f>EXP(-LN(2)/25)*AV150+(1-EXP(-LN(2)/25))/(LN(2)/25)*Calculateur!AQ151*Calculateur!AS151*VLOOKUP('Données projet'!$B$10,Paramètres!$A$1:$I$89,3,0)*0.475*44/12</f>
        <v>3.1502188670363225</v>
      </c>
      <c r="AW151" s="21">
        <f>EXP(-LN(2)/2)*AW150+(1-EXP(-LN(2)/2))/(LN(2)/2)*AQ151*AT151*VLOOKUP('Données projet'!$B$10,Paramètres!$A$1:$I$89,3,0)*0.475*44/12</f>
        <v>1.8168775847003869E-12</v>
      </c>
      <c r="AX151" s="21">
        <f t="shared" si="114"/>
        <v>25.856097196647791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-1.4210854715202004E-13</v>
      </c>
      <c r="BE151" s="13">
        <f>BD151*VLOOKUP('Données projet'!$B$11,Paramètres!$A$1:$I$89,3,0)*VLOOKUP('Données projet'!$B$11,Paramètres!$A$1:$I$89,5,0)</f>
        <v>-8.128608897095547E-14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182.46132340647313</v>
      </c>
      <c r="BJ151" s="59">
        <f t="shared" si="146"/>
        <v>130.51706975490481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43.607111152079412</v>
      </c>
      <c r="BQ151" s="21">
        <f>EXP(-LN(2)/25)*BQ150+(1-EXP(-LN(2)/25))/(LN(2)/25)*Calculateur!BL151*Calculateur!BN151*VLOOKUP('Données projet'!$B$11,Paramètres!$A$1:$I$89,3,0)*0.475*44/12</f>
        <v>7.3684684518243442</v>
      </c>
      <c r="BR151" s="21">
        <f>EXP(-LN(2)/2)*BR150+(1-EXP(-LN(2)/2))/(LN(2)/2)*BL151*BO151*VLOOKUP('Données projet'!$B$11,Paramètres!$A$1:$I$89,3,0)*0.475*44/12</f>
        <v>2.9302165134252254E-6</v>
      </c>
      <c r="BS151" s="22">
        <f t="shared" si="117"/>
        <v>50.975582534120264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735.00000000000011</v>
      </c>
      <c r="BZ151" s="13">
        <f>BY151*VLOOKUP('Données projet'!$B$12,Paramètres!$A$1:$I$89,3,0)*VLOOKUP('Données projet'!$B$12,Paramètres!$A$1:$I$89,5,0)</f>
        <v>296.20500000000004</v>
      </c>
      <c r="CA151" s="13">
        <f t="shared" si="147"/>
        <v>70.380297204000939</v>
      </c>
      <c r="CB151" s="20">
        <f t="shared" si="118"/>
        <v>638.46939263030174</v>
      </c>
      <c r="CC151" s="59">
        <f t="shared" si="119"/>
        <v>931.80272596363511</v>
      </c>
      <c r="CD151" s="59">
        <f ca="1">AVERAGE(OFFSET($CC$3,0,0,'Données projet'!$E$12+1,1))-AVERAGE(OFFSET($H$3,0,0,'Données projet'!$E$12+1,1))</f>
        <v>291.0962681460345</v>
      </c>
      <c r="CE151" s="59">
        <f t="shared" si="148"/>
        <v>240.28311826371385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13.458159786605865</v>
      </c>
      <c r="CL151" s="21">
        <f>EXP(-LN(2)/25)*CL150+(1-EXP(-LN(2)/25))/(LN(2)/25)*Calculateur!CG151*Calculateur!CI151*VLOOKUP('Données projet'!$B$12,Paramètres!$A$1:$I$89,3,0)*0.475*44/12</f>
        <v>3.3171394060238986</v>
      </c>
      <c r="CM151" s="21">
        <f>EXP(-LN(2)/2)*CM150+(1-EXP(-LN(2)/2))/(LN(2)/2)*CG151*CJ151*VLOOKUP('Données projet'!$B$12,Paramètres!$A$1:$I$89,3,0)*0.475*44/12</f>
        <v>3.5339283469640579E-11</v>
      </c>
      <c r="CN151" s="22">
        <f t="shared" si="120"/>
        <v>16.775299192665102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-5.3205440053716299E-14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225.92546546283018</v>
      </c>
      <c r="CZ151" s="59">
        <f t="shared" si="150"/>
        <v>309.38786160614563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15.764480737245112</v>
      </c>
      <c r="DG151" s="21">
        <f>EXP(-LN(2)/25)*DG150+(1-EXP(-LN(2)/25))/(LN(2)/25)*Calculateur!DB151*Calculateur!DD151*VLOOKUP('Données projet'!$B$13,Paramètres!$A$1:$I$89,3,0)*0.475*44/12</f>
        <v>7.6294031960812836</v>
      </c>
      <c r="DH151" s="21">
        <f>EXP(-LN(2)/2)*DH150+(1-EXP(-LN(2)/2))/(LN(2)/2)*DB151*DE151*VLOOKUP('Données projet'!$B$13,Paramètres!$A$1:$I$89,3,0)*0.475*44/12</f>
        <v>4.1783655932348895E-18</v>
      </c>
      <c r="DI151" s="22">
        <f t="shared" si="123"/>
        <v>23.393883933326396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168</v>
      </c>
      <c r="DP151" s="17">
        <f>DO151*VLOOKUP('Données projet'!$B$14,Paramètres!$A$1:$I$89,3,0)*VLOOKUP('Données projet'!$B$14,Paramètres!$A$1:$I$89,5,0)</f>
        <v>146.76480000000004</v>
      </c>
      <c r="DQ151" s="13">
        <f t="shared" si="151"/>
        <v>37.842444439956665</v>
      </c>
      <c r="DR151" s="20">
        <f t="shared" si="124"/>
        <v>321.52428406625791</v>
      </c>
      <c r="DS151" s="59">
        <f t="shared" si="125"/>
        <v>614.85761739959116</v>
      </c>
      <c r="DT151" s="59">
        <f ca="1">AVERAGE(OFFSET($DS$3,0,0,'Données projet'!$E$14+1,1))-AVERAGE(OFFSET($H$3,0,0,'Données projet'!$E$14+1,1))</f>
        <v>150.06600397498823</v>
      </c>
      <c r="DU151" s="59">
        <f t="shared" si="152"/>
        <v>170.53034305929714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1.9041073947218186</v>
      </c>
      <c r="EB151" s="21">
        <f>EXP(-LN(2)/25)*EB150+(1-EXP(-LN(2)/25))/(LN(2)/25)*Calculateur!DW151*Calculateur!DY151*VLOOKUP('Données projet'!$B$14,Paramètres!$A$1:$I$89,3,0)*0.475*44/12</f>
        <v>2.2823877245595119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4.1864951192813304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294.94285920643927</v>
      </c>
      <c r="T152" s="59">
        <f t="shared" si="142"/>
        <v>399.89535338426606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23.671576877857134</v>
      </c>
      <c r="AA152" s="21">
        <f>EXP(-LN(2)/25)*AA151+(1-EXP(-LN(2)/25))/(LN(2)/25)*Calculateur!V152*Calculateur!X152*VLOOKUP('Données projet'!$B$9,Paramètres!$A$1:$I$89,3,0)*0.475*44/12</f>
        <v>11.68805782546919</v>
      </c>
      <c r="AB152" s="21">
        <f>EXP(-LN(2)/2)*AB151+(1-EXP(-LN(2)/2))/(LN(2)/2)*V152*Y152*VLOOKUP('Données projet'!$B$9,Paramètres!$A$1:$I$89,3,0)*0.475*44/12</f>
        <v>1.0641876539008426E-17</v>
      </c>
      <c r="AC152" s="22">
        <f t="shared" si="111"/>
        <v>35.359634703326321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-1.0197709343628959E-13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200.14675249215634</v>
      </c>
      <c r="AO152" s="59">
        <f t="shared" si="144"/>
        <v>200.55017434999968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22.260629904784292</v>
      </c>
      <c r="AV152" s="21">
        <f>EXP(-LN(2)/25)*AV151+(1-EXP(-LN(2)/25))/(LN(2)/25)*Calculateur!AQ152*Calculateur!AS152*VLOOKUP('Données projet'!$B$10,Paramètres!$A$1:$I$89,3,0)*0.475*44/12</f>
        <v>3.0640759664544039</v>
      </c>
      <c r="AW152" s="21">
        <f>EXP(-LN(2)/2)*AW151+(1-EXP(-LN(2)/2))/(LN(2)/2)*AQ152*AT152*VLOOKUP('Données projet'!$B$10,Paramètres!$A$1:$I$89,3,0)*0.475*44/12</f>
        <v>1.2847264607274795E-12</v>
      </c>
      <c r="AX152" s="21">
        <f t="shared" si="114"/>
        <v>25.324705871239981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-1.4210854715202004E-13</v>
      </c>
      <c r="BE152" s="13">
        <f>BD152*VLOOKUP('Données projet'!$B$11,Paramètres!$A$1:$I$89,3,0)*VLOOKUP('Données projet'!$B$11,Paramètres!$A$1:$I$89,5,0)</f>
        <v>-8.128608897095547E-14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182.46132340647313</v>
      </c>
      <c r="BJ152" s="59">
        <f t="shared" si="146"/>
        <v>130.51706975490481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42.752002300098631</v>
      </c>
      <c r="BQ152" s="21">
        <f>EXP(-LN(2)/25)*BQ151+(1-EXP(-LN(2)/25))/(LN(2)/25)*Calculateur!BL152*Calculateur!BN152*VLOOKUP('Données projet'!$B$11,Paramètres!$A$1:$I$89,3,0)*0.475*44/12</f>
        <v>7.1669772945182926</v>
      </c>
      <c r="BR152" s="21">
        <f>EXP(-LN(2)/2)*BR151+(1-EXP(-LN(2)/2))/(LN(2)/2)*BL152*BO152*VLOOKUP('Données projet'!$B$11,Paramètres!$A$1:$I$89,3,0)*0.475*44/12</f>
        <v>2.071975966987779E-6</v>
      </c>
      <c r="BS152" s="22">
        <f t="shared" si="117"/>
        <v>49.918981666592892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735.00000000000011</v>
      </c>
      <c r="BZ152" s="13">
        <f>BY152*VLOOKUP('Données projet'!$B$12,Paramètres!$A$1:$I$89,3,0)*VLOOKUP('Données projet'!$B$12,Paramètres!$A$1:$I$89,5,0)</f>
        <v>296.20500000000004</v>
      </c>
      <c r="CA152" s="13">
        <f t="shared" si="147"/>
        <v>70.380297204000939</v>
      </c>
      <c r="CB152" s="20">
        <f t="shared" si="118"/>
        <v>638.46939263030174</v>
      </c>
      <c r="CC152" s="59">
        <f t="shared" si="119"/>
        <v>931.80272596363511</v>
      </c>
      <c r="CD152" s="59">
        <f ca="1">AVERAGE(OFFSET($CC$3,0,0,'Données projet'!$E$12+1,1))-AVERAGE(OFFSET($H$3,0,0,'Données projet'!$E$12+1,1))</f>
        <v>291.0962681460345</v>
      </c>
      <c r="CE152" s="59">
        <f t="shared" si="148"/>
        <v>240.28311826371385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13.194253481857455</v>
      </c>
      <c r="CL152" s="21">
        <f>EXP(-LN(2)/25)*CL151+(1-EXP(-LN(2)/25))/(LN(2)/25)*Calculateur!CG152*Calculateur!CI152*VLOOKUP('Données projet'!$B$12,Paramètres!$A$1:$I$89,3,0)*0.475*44/12</f>
        <v>3.2264320545253953</v>
      </c>
      <c r="CM152" s="21">
        <f>EXP(-LN(2)/2)*CM151+(1-EXP(-LN(2)/2))/(LN(2)/2)*CG152*CJ152*VLOOKUP('Données projet'!$B$12,Paramètres!$A$1:$I$89,3,0)*0.475*44/12</f>
        <v>2.4988646983656517E-11</v>
      </c>
      <c r="CN152" s="22">
        <f t="shared" si="120"/>
        <v>16.420685536407841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-5.3205440053716299E-14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225.92546546283018</v>
      </c>
      <c r="CZ152" s="59">
        <f t="shared" si="150"/>
        <v>309.38786160614563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15.455348885371544</v>
      </c>
      <c r="DG152" s="21">
        <f>EXP(-LN(2)/25)*DG151+(1-EXP(-LN(2)/25))/(LN(2)/25)*Calculateur!DB152*Calculateur!DD152*VLOOKUP('Données projet'!$B$13,Paramètres!$A$1:$I$89,3,0)*0.475*44/12</f>
        <v>7.4207767644715643</v>
      </c>
      <c r="DH152" s="21">
        <f>EXP(-LN(2)/2)*DH151+(1-EXP(-LN(2)/2))/(LN(2)/2)*DB152*DE152*VLOOKUP('Données projet'!$B$13,Paramètres!$A$1:$I$89,3,0)*0.475*44/12</f>
        <v>2.9545506452529419E-18</v>
      </c>
      <c r="DI152" s="22">
        <f t="shared" si="123"/>
        <v>22.876125649843107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168</v>
      </c>
      <c r="DP152" s="17">
        <f>DO152*VLOOKUP('Données projet'!$B$14,Paramètres!$A$1:$I$89,3,0)*VLOOKUP('Données projet'!$B$14,Paramètres!$A$1:$I$89,5,0)</f>
        <v>146.76480000000004</v>
      </c>
      <c r="DQ152" s="13">
        <f t="shared" si="151"/>
        <v>37.842444439956665</v>
      </c>
      <c r="DR152" s="20">
        <f t="shared" si="124"/>
        <v>321.52428406625791</v>
      </c>
      <c r="DS152" s="59">
        <f t="shared" si="125"/>
        <v>614.85761739959116</v>
      </c>
      <c r="DT152" s="59">
        <f ca="1">AVERAGE(OFFSET($DS$3,0,0,'Données projet'!$E$14+1,1))-AVERAGE(OFFSET($H$3,0,0,'Données projet'!$E$14+1,1))</f>
        <v>150.06600397498823</v>
      </c>
      <c r="DU152" s="59">
        <f t="shared" si="152"/>
        <v>170.53034305929714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1.8667690101021566</v>
      </c>
      <c r="EB152" s="21">
        <f>EXP(-LN(2)/25)*EB151+(1-EXP(-LN(2)/25))/(LN(2)/25)*Calculateur!DW152*Calculateur!DY152*VLOOKUP('Données projet'!$B$14,Paramètres!$A$1:$I$89,3,0)*0.475*44/12</f>
        <v>2.2199757122058781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4.0867447223080351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294.94285920643927</v>
      </c>
      <c r="T153" s="59">
        <f t="shared" si="142"/>
        <v>399.89535338426606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23.207391693518595</v>
      </c>
      <c r="AA153" s="21">
        <f>EXP(-LN(2)/25)*AA152+(1-EXP(-LN(2)/25))/(LN(2)/25)*Calculateur!V153*Calculateur!X153*VLOOKUP('Données projet'!$B$9,Paramètres!$A$1:$I$89,3,0)*0.475*44/12</f>
        <v>11.368447269583488</v>
      </c>
      <c r="AB153" s="21">
        <f>EXP(-LN(2)/2)*AB152+(1-EXP(-LN(2)/2))/(LN(2)/2)*V153*Y153*VLOOKUP('Données projet'!$B$9,Paramètres!$A$1:$I$89,3,0)*0.475*44/12</f>
        <v>7.524943065282885E-18</v>
      </c>
      <c r="AC153" s="22">
        <f t="shared" si="111"/>
        <v>34.575838963102086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-1.0197709343628959E-13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200.14675249215634</v>
      </c>
      <c r="AO153" s="59">
        <f t="shared" si="144"/>
        <v>200.55017434999968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21.824112529995034</v>
      </c>
      <c r="AV153" s="21">
        <f>EXP(-LN(2)/25)*AV152+(1-EXP(-LN(2)/25))/(LN(2)/25)*Calculateur!AQ153*Calculateur!AS153*VLOOKUP('Données projet'!$B$10,Paramètres!$A$1:$I$89,3,0)*0.475*44/12</f>
        <v>2.9802886480189561</v>
      </c>
      <c r="AW153" s="21">
        <f>EXP(-LN(2)/2)*AW152+(1-EXP(-LN(2)/2))/(LN(2)/2)*AQ153*AT153*VLOOKUP('Données projet'!$B$10,Paramètres!$A$1:$I$89,3,0)*0.475*44/12</f>
        <v>9.0843879235019354E-13</v>
      </c>
      <c r="AX153" s="21">
        <f t="shared" si="114"/>
        <v>24.804401178014899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-1.4210854715202004E-13</v>
      </c>
      <c r="BE153" s="13">
        <f>BD153*VLOOKUP('Données projet'!$B$11,Paramètres!$A$1:$I$89,3,0)*VLOOKUP('Données projet'!$B$11,Paramètres!$A$1:$I$89,5,0)</f>
        <v>-8.128608897095547E-14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182.46132340647313</v>
      </c>
      <c r="BJ153" s="59">
        <f t="shared" si="146"/>
        <v>130.51706975490481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41.913661611140292</v>
      </c>
      <c r="BQ153" s="21">
        <f>EXP(-LN(2)/25)*BQ152+(1-EXP(-LN(2)/25))/(LN(2)/25)*Calculateur!BL153*Calculateur!BN153*VLOOKUP('Données projet'!$B$11,Paramètres!$A$1:$I$89,3,0)*0.475*44/12</f>
        <v>6.9709959235047343</v>
      </c>
      <c r="BR153" s="21">
        <f>EXP(-LN(2)/2)*BR152+(1-EXP(-LN(2)/2))/(LN(2)/2)*BL153*BO153*VLOOKUP('Données projet'!$B$11,Paramètres!$A$1:$I$89,3,0)*0.475*44/12</f>
        <v>1.4651082567126127E-6</v>
      </c>
      <c r="BS153" s="22">
        <f t="shared" si="117"/>
        <v>48.884658999753285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735.00000000000011</v>
      </c>
      <c r="BZ153" s="13">
        <f>BY153*VLOOKUP('Données projet'!$B$12,Paramètres!$A$1:$I$89,3,0)*VLOOKUP('Données projet'!$B$12,Paramètres!$A$1:$I$89,5,0)</f>
        <v>296.20500000000004</v>
      </c>
      <c r="CA153" s="13">
        <f t="shared" si="147"/>
        <v>70.380297204000939</v>
      </c>
      <c r="CB153" s="20">
        <f t="shared" si="118"/>
        <v>638.46939263030174</v>
      </c>
      <c r="CC153" s="59">
        <f t="shared" si="119"/>
        <v>931.80272596363511</v>
      </c>
      <c r="CD153" s="59">
        <f ca="1">AVERAGE(OFFSET($CC$3,0,0,'Données projet'!$E$12+1,1))-AVERAGE(OFFSET($H$3,0,0,'Données projet'!$E$12+1,1))</f>
        <v>291.0962681460345</v>
      </c>
      <c r="CE153" s="59">
        <f t="shared" si="148"/>
        <v>240.28311826371385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12.93552221877821</v>
      </c>
      <c r="CL153" s="21">
        <f>EXP(-LN(2)/25)*CL152+(1-EXP(-LN(2)/25))/(LN(2)/25)*Calculateur!CG153*Calculateur!CI153*VLOOKUP('Données projet'!$B$12,Paramètres!$A$1:$I$89,3,0)*0.475*44/12</f>
        <v>3.1382051003237108</v>
      </c>
      <c r="CM153" s="21">
        <f>EXP(-LN(2)/2)*CM152+(1-EXP(-LN(2)/2))/(LN(2)/2)*CG153*CJ153*VLOOKUP('Données projet'!$B$12,Paramètres!$A$1:$I$89,3,0)*0.475*44/12</f>
        <v>1.7669641734820289E-11</v>
      </c>
      <c r="CN153" s="22">
        <f t="shared" si="120"/>
        <v>16.073727319119591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-5.3205440053716299E-14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225.92546546283018</v>
      </c>
      <c r="CZ153" s="59">
        <f t="shared" si="150"/>
        <v>309.38786160614563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15.152278920561406</v>
      </c>
      <c r="DG153" s="21">
        <f>EXP(-LN(2)/25)*DG152+(1-EXP(-LN(2)/25))/(LN(2)/25)*Calculateur!DB153*Calculateur!DD153*VLOOKUP('Données projet'!$B$13,Paramètres!$A$1:$I$89,3,0)*0.475*44/12</f>
        <v>7.2178552336054</v>
      </c>
      <c r="DH153" s="21">
        <f>EXP(-LN(2)/2)*DH152+(1-EXP(-LN(2)/2))/(LN(2)/2)*DB153*DE153*VLOOKUP('Données projet'!$B$13,Paramètres!$A$1:$I$89,3,0)*0.475*44/12</f>
        <v>2.0891827966174447E-18</v>
      </c>
      <c r="DI153" s="22">
        <f t="shared" si="123"/>
        <v>22.370134154166806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168</v>
      </c>
      <c r="DP153" s="17">
        <f>DO153*VLOOKUP('Données projet'!$B$14,Paramètres!$A$1:$I$89,3,0)*VLOOKUP('Données projet'!$B$14,Paramètres!$A$1:$I$89,5,0)</f>
        <v>146.76480000000004</v>
      </c>
      <c r="DQ153" s="13">
        <f t="shared" si="151"/>
        <v>37.842444439956665</v>
      </c>
      <c r="DR153" s="20">
        <f t="shared" si="124"/>
        <v>321.52428406625791</v>
      </c>
      <c r="DS153" s="59">
        <f t="shared" si="125"/>
        <v>614.85761739959116</v>
      </c>
      <c r="DT153" s="59">
        <f ca="1">AVERAGE(OFFSET($DS$3,0,0,'Données projet'!$E$14+1,1))-AVERAGE(OFFSET($H$3,0,0,'Données projet'!$E$14+1,1))</f>
        <v>150.06600397498823</v>
      </c>
      <c r="DU153" s="59">
        <f t="shared" si="152"/>
        <v>170.53034305929714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1.8301628084307204</v>
      </c>
      <c r="EB153" s="21">
        <f>EXP(-LN(2)/25)*EB152+(1-EXP(-LN(2)/25))/(LN(2)/25)*Calculateur!DW153*Calculateur!DY153*VLOOKUP('Données projet'!$B$14,Paramètres!$A$1:$I$89,3,0)*0.475*44/12</f>
        <v>2.1592703596121594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3.9894331680428801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294.94285920643927</v>
      </c>
      <c r="T154" s="59">
        <f t="shared" si="142"/>
        <v>399.89535338426606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22.752308897519928</v>
      </c>
      <c r="AA154" s="21">
        <f>EXP(-LN(2)/25)*AA153+(1-EXP(-LN(2)/25))/(LN(2)/25)*Calculateur!V154*Calculateur!X154*VLOOKUP('Données projet'!$B$9,Paramètres!$A$1:$I$89,3,0)*0.475*44/12</f>
        <v>11.057576481156069</v>
      </c>
      <c r="AB154" s="21">
        <f>EXP(-LN(2)/2)*AB153+(1-EXP(-LN(2)/2))/(LN(2)/2)*V154*Y154*VLOOKUP('Données projet'!$B$9,Paramètres!$A$1:$I$89,3,0)*0.475*44/12</f>
        <v>5.3209382695042132E-18</v>
      </c>
      <c r="AC154" s="22">
        <f t="shared" ref="AC154:AC203" si="163">SUM(Z154:AB154)</f>
        <v>33.809885378676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-1.0197709343628959E-13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200.14675249215634</v>
      </c>
      <c r="AO154" s="59">
        <f t="shared" si="144"/>
        <v>200.55017434999968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21.396154994676085</v>
      </c>
      <c r="AV154" s="21">
        <f>EXP(-LN(2)/25)*AV153+(1-EXP(-LN(2)/25))/(LN(2)/25)*Calculateur!AQ154*Calculateur!AS154*VLOOKUP('Données projet'!$B$10,Paramètres!$A$1:$I$89,3,0)*0.475*44/12</f>
        <v>2.8987924982123094</v>
      </c>
      <c r="AW154" s="21">
        <f>EXP(-LN(2)/2)*AW153+(1-EXP(-LN(2)/2))/(LN(2)/2)*AQ154*AT154*VLOOKUP('Données projet'!$B$10,Paramètres!$A$1:$I$89,3,0)*0.475*44/12</f>
        <v>6.4236323036373984E-13</v>
      </c>
      <c r="AX154" s="21">
        <f t="shared" ref="AX154:AX203" si="166">SUM(AU154:AW154)</f>
        <v>24.294947492889037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-1.4210854715202004E-13</v>
      </c>
      <c r="BE154" s="13">
        <f>BD154*VLOOKUP('Données projet'!$B$11,Paramètres!$A$1:$I$89,3,0)*VLOOKUP('Données projet'!$B$11,Paramètres!$A$1:$I$89,5,0)</f>
        <v>-8.128608897095547E-14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182.46132340647313</v>
      </c>
      <c r="BJ154" s="59">
        <f t="shared" si="146"/>
        <v>130.51706975490481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41.091760271755099</v>
      </c>
      <c r="BQ154" s="21">
        <f>EXP(-LN(2)/25)*BQ153+(1-EXP(-LN(2)/25))/(LN(2)/25)*Calculateur!BL154*Calculateur!BN154*VLOOKUP('Données projet'!$B$11,Paramètres!$A$1:$I$89,3,0)*0.475*44/12</f>
        <v>6.7803736733877544</v>
      </c>
      <c r="BR154" s="21">
        <f>EXP(-LN(2)/2)*BR153+(1-EXP(-LN(2)/2))/(LN(2)/2)*BL154*BO154*VLOOKUP('Données projet'!$B$11,Paramètres!$A$1:$I$89,3,0)*0.475*44/12</f>
        <v>1.0359879834938895E-6</v>
      </c>
      <c r="BS154" s="22">
        <f t="shared" ref="BS154:BS203" si="169">SUM(BP154:BR154)</f>
        <v>47.872134981130841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735.00000000000011</v>
      </c>
      <c r="BZ154" s="13">
        <f>BY154*VLOOKUP('Données projet'!$B$12,Paramètres!$A$1:$I$89,3,0)*VLOOKUP('Données projet'!$B$12,Paramètres!$A$1:$I$89,5,0)</f>
        <v>296.20500000000004</v>
      </c>
      <c r="CA154" s="13">
        <f t="shared" ref="CA154:CA203" si="170">EXP(-1.0587+0.8836*LN(BZ154)+0.284)</f>
        <v>70.380297204000939</v>
      </c>
      <c r="CB154" s="20">
        <f t="shared" ref="CB154:CB203" si="171">(BZ154+CA154)*0.475*44/12</f>
        <v>638.46939263030174</v>
      </c>
      <c r="CC154" s="59">
        <f t="shared" si="119"/>
        <v>931.80272596363511</v>
      </c>
      <c r="CD154" s="59">
        <f ca="1">AVERAGE(OFFSET($CC$3,0,0,'Données projet'!$E$12+1,1))-AVERAGE(OFFSET($H$3,0,0,'Données projet'!$E$12+1,1))</f>
        <v>291.0962681460345</v>
      </c>
      <c r="CE154" s="59">
        <f t="shared" si="148"/>
        <v>240.28311826371385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12.681864517957461</v>
      </c>
      <c r="CL154" s="21">
        <f>EXP(-LN(2)/25)*CL153+(1-EXP(-LN(2)/25))/(LN(2)/25)*Calculateur!CG154*Calculateur!CI154*VLOOKUP('Données projet'!$B$12,Paramètres!$A$1:$I$89,3,0)*0.475*44/12</f>
        <v>3.0523907168243252</v>
      </c>
      <c r="CM154" s="21">
        <f>EXP(-LN(2)/2)*CM153+(1-EXP(-LN(2)/2))/(LN(2)/2)*CG154*CJ154*VLOOKUP('Données projet'!$B$12,Paramètres!$A$1:$I$89,3,0)*0.475*44/12</f>
        <v>1.2494323491828259E-11</v>
      </c>
      <c r="CN154" s="22">
        <f t="shared" ref="CN154:CN203" si="172">SUM(CK154:CM154)</f>
        <v>15.734255234794281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-5.3205440053716299E-14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225.92546546283018</v>
      </c>
      <c r="CZ154" s="59">
        <f t="shared" si="150"/>
        <v>309.38786160614563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14.855151972906768</v>
      </c>
      <c r="DG154" s="21">
        <f>EXP(-LN(2)/25)*DG153+(1-EXP(-LN(2)/25))/(LN(2)/25)*Calculateur!DB154*Calculateur!DD154*VLOOKUP('Données projet'!$B$13,Paramètres!$A$1:$I$89,3,0)*0.475*44/12</f>
        <v>7.02048260267195</v>
      </c>
      <c r="DH154" s="21">
        <f>EXP(-LN(2)/2)*DH153+(1-EXP(-LN(2)/2))/(LN(2)/2)*DB154*DE154*VLOOKUP('Données projet'!$B$13,Paramètres!$A$1:$I$89,3,0)*0.475*44/12</f>
        <v>1.4772753226264709E-18</v>
      </c>
      <c r="DI154" s="22">
        <f t="shared" ref="DI154:DI203" si="175">SUM(DF154:DH154)</f>
        <v>21.875634575578719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168</v>
      </c>
      <c r="DP154" s="17">
        <f>DO154*VLOOKUP('Données projet'!$B$14,Paramètres!$A$1:$I$89,3,0)*VLOOKUP('Données projet'!$B$14,Paramètres!$A$1:$I$89,5,0)</f>
        <v>146.76480000000004</v>
      </c>
      <c r="DQ154" s="13">
        <f t="shared" ref="DQ154:DQ203" si="176">EXP(-1.0587+0.8836*LN(DP154)+0.284)</f>
        <v>37.842444439956665</v>
      </c>
      <c r="DR154" s="20">
        <f t="shared" ref="DR154:DR203" si="177">(DP154+DQ154)*0.475*44/12</f>
        <v>321.52428406625791</v>
      </c>
      <c r="DS154" s="59">
        <f t="shared" si="125"/>
        <v>614.85761739959116</v>
      </c>
      <c r="DT154" s="59">
        <f ca="1">AVERAGE(OFFSET($DS$3,0,0,'Données projet'!$E$14+1,1))-AVERAGE(OFFSET($H$3,0,0,'Données projet'!$E$14+1,1))</f>
        <v>150.06600397498823</v>
      </c>
      <c r="DU154" s="59">
        <f t="shared" si="152"/>
        <v>170.53034305929714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1.7942744320464827</v>
      </c>
      <c r="EB154" s="21">
        <f>EXP(-LN(2)/25)*EB153+(1-EXP(-LN(2)/25))/(LN(2)/25)*Calculateur!DW154*Calculateur!DY154*VLOOKUP('Données projet'!$B$14,Paramètres!$A$1:$I$89,3,0)*0.475*44/12</f>
        <v>2.1002249980774716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3.8944994301239544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294.94285920643927</v>
      </c>
      <c r="T155" s="59">
        <f t="shared" si="142"/>
        <v>399.89535338426606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22.306149997577698</v>
      </c>
      <c r="AA155" s="21">
        <f>EXP(-LN(2)/25)*AA154+(1-EXP(-LN(2)/25))/(LN(2)/25)*Calculateur!V155*Calculateur!X155*VLOOKUP('Données projet'!$B$9,Paramètres!$A$1:$I$89,3,0)*0.475*44/12</f>
        <v>10.755206470786181</v>
      </c>
      <c r="AB155" s="21">
        <f>EXP(-LN(2)/2)*AB154+(1-EXP(-LN(2)/2))/(LN(2)/2)*V155*Y155*VLOOKUP('Données projet'!$B$9,Paramètres!$A$1:$I$89,3,0)*0.475*44/12</f>
        <v>3.7624715326414425E-18</v>
      </c>
      <c r="AC155" s="22">
        <f t="shared" si="163"/>
        <v>33.061356468363883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-1.0197709343628959E-13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200.14675249215634</v>
      </c>
      <c r="AO155" s="59">
        <f t="shared" si="144"/>
        <v>200.55017434999968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20.976589445596417</v>
      </c>
      <c r="AV155" s="21">
        <f>EXP(-LN(2)/25)*AV154+(1-EXP(-LN(2)/25))/(LN(2)/25)*Calculateur!AQ155*Calculateur!AS155*VLOOKUP('Données projet'!$B$10,Paramètres!$A$1:$I$89,3,0)*0.475*44/12</f>
        <v>2.8195248649078217</v>
      </c>
      <c r="AW155" s="21">
        <f>EXP(-LN(2)/2)*AW154+(1-EXP(-LN(2)/2))/(LN(2)/2)*AQ155*AT155*VLOOKUP('Données projet'!$B$10,Paramètres!$A$1:$I$89,3,0)*0.475*44/12</f>
        <v>4.5421939617509682E-13</v>
      </c>
      <c r="AX155" s="21">
        <f t="shared" si="166"/>
        <v>23.796114310504695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-1.4210854715202004E-13</v>
      </c>
      <c r="BE155" s="13">
        <f>BD155*VLOOKUP('Données projet'!$B$11,Paramètres!$A$1:$I$89,3,0)*VLOOKUP('Données projet'!$B$11,Paramètres!$A$1:$I$89,5,0)</f>
        <v>-8.128608897095547E-14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182.46132340647313</v>
      </c>
      <c r="BJ155" s="59">
        <f t="shared" si="146"/>
        <v>130.51706975490481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40.285975916324929</v>
      </c>
      <c r="BQ155" s="21">
        <f>EXP(-LN(2)/25)*BQ154+(1-EXP(-LN(2)/25))/(LN(2)/25)*Calculateur!BL155*Calculateur!BN155*VLOOKUP('Données projet'!$B$11,Paramètres!$A$1:$I$89,3,0)*0.475*44/12</f>
        <v>6.5949639987246114</v>
      </c>
      <c r="BR155" s="21">
        <f>EXP(-LN(2)/2)*BR154+(1-EXP(-LN(2)/2))/(LN(2)/2)*BL155*BO155*VLOOKUP('Données projet'!$B$11,Paramètres!$A$1:$I$89,3,0)*0.475*44/12</f>
        <v>7.3255412835630634E-7</v>
      </c>
      <c r="BS155" s="22">
        <f t="shared" si="169"/>
        <v>46.880940647603666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735.00000000000011</v>
      </c>
      <c r="BZ155" s="13">
        <f>BY155*VLOOKUP('Données projet'!$B$12,Paramètres!$A$1:$I$89,3,0)*VLOOKUP('Données projet'!$B$12,Paramètres!$A$1:$I$89,5,0)</f>
        <v>296.20500000000004</v>
      </c>
      <c r="CA155" s="13">
        <f t="shared" si="170"/>
        <v>70.380297204000939</v>
      </c>
      <c r="CB155" s="20">
        <f t="shared" si="171"/>
        <v>638.46939263030174</v>
      </c>
      <c r="CC155" s="59">
        <f t="shared" si="119"/>
        <v>931.80272596363511</v>
      </c>
      <c r="CD155" s="59">
        <f ca="1">AVERAGE(OFFSET($CC$3,0,0,'Données projet'!$E$12+1,1))-AVERAGE(OFFSET($H$3,0,0,'Données projet'!$E$12+1,1))</f>
        <v>291.0962681460345</v>
      </c>
      <c r="CE155" s="59">
        <f t="shared" si="148"/>
        <v>240.28311826371385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12.433180889933887</v>
      </c>
      <c r="CL155" s="21">
        <f>EXP(-LN(2)/25)*CL154+(1-EXP(-LN(2)/25))/(LN(2)/25)*Calculateur!CG155*Calculateur!CI155*VLOOKUP('Données projet'!$B$12,Paramètres!$A$1:$I$89,3,0)*0.475*44/12</f>
        <v>2.9689229321545128</v>
      </c>
      <c r="CM155" s="21">
        <f>EXP(-LN(2)/2)*CM154+(1-EXP(-LN(2)/2))/(LN(2)/2)*CG155*CJ155*VLOOKUP('Données projet'!$B$12,Paramètres!$A$1:$I$89,3,0)*0.475*44/12</f>
        <v>8.8348208674101447E-12</v>
      </c>
      <c r="CN155" s="22">
        <f t="shared" si="172"/>
        <v>15.402103822097235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-5.3205440053716299E-14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225.92546546283018</v>
      </c>
      <c r="CZ155" s="59">
        <f t="shared" si="150"/>
        <v>309.38786160614563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14.563851503466095</v>
      </c>
      <c r="DG155" s="21">
        <f>EXP(-LN(2)/25)*DG154+(1-EXP(-LN(2)/25))/(LN(2)/25)*Calculateur!DB155*Calculateur!DD155*VLOOKUP('Données projet'!$B$13,Paramètres!$A$1:$I$89,3,0)*0.475*44/12</f>
        <v>6.8285071367107513</v>
      </c>
      <c r="DH155" s="21">
        <f>EXP(-LN(2)/2)*DH154+(1-EXP(-LN(2)/2))/(LN(2)/2)*DB155*DE155*VLOOKUP('Données projet'!$B$13,Paramètres!$A$1:$I$89,3,0)*0.475*44/12</f>
        <v>1.0445913983087224E-18</v>
      </c>
      <c r="DI155" s="22">
        <f t="shared" si="175"/>
        <v>21.392358640176845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168</v>
      </c>
      <c r="DP155" s="17">
        <f>DO155*VLOOKUP('Données projet'!$B$14,Paramètres!$A$1:$I$89,3,0)*VLOOKUP('Données projet'!$B$14,Paramètres!$A$1:$I$89,5,0)</f>
        <v>146.76480000000004</v>
      </c>
      <c r="DQ155" s="13">
        <f t="shared" si="176"/>
        <v>37.842444439956665</v>
      </c>
      <c r="DR155" s="20">
        <f t="shared" si="177"/>
        <v>321.52428406625791</v>
      </c>
      <c r="DS155" s="59">
        <f t="shared" si="125"/>
        <v>614.85761739959116</v>
      </c>
      <c r="DT155" s="59">
        <f ca="1">AVERAGE(OFFSET($DS$3,0,0,'Données projet'!$E$14+1,1))-AVERAGE(OFFSET($H$3,0,0,'Données projet'!$E$14+1,1))</f>
        <v>150.06600397498823</v>
      </c>
      <c r="DU155" s="59">
        <f t="shared" si="152"/>
        <v>170.53034305929714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1.7590898048333918</v>
      </c>
      <c r="EB155" s="21">
        <f>EXP(-LN(2)/25)*EB154+(1-EXP(-LN(2)/25))/(LN(2)/25)*Calculateur!DW155*Calculateur!DY155*VLOOKUP('Données projet'!$B$14,Paramètres!$A$1:$I$89,3,0)*0.475*44/12</f>
        <v>2.0427942350590107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3.8018840398924025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294.94285920643927</v>
      </c>
      <c r="T156" s="59">
        <f t="shared" si="142"/>
        <v>399.89535338426606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21.868740001533276</v>
      </c>
      <c r="AA156" s="21">
        <f>EXP(-LN(2)/25)*AA155+(1-EXP(-LN(2)/25))/(LN(2)/25)*Calculateur!V156*Calculateur!X156*VLOOKUP('Données projet'!$B$9,Paramètres!$A$1:$I$89,3,0)*0.475*44/12</f>
        <v>10.461104784250805</v>
      </c>
      <c r="AB156" s="21">
        <f>EXP(-LN(2)/2)*AB155+(1-EXP(-LN(2)/2))/(LN(2)/2)*V156*Y156*VLOOKUP('Données projet'!$B$9,Paramètres!$A$1:$I$89,3,0)*0.475*44/12</f>
        <v>2.6604691347521066E-18</v>
      </c>
      <c r="AC156" s="22">
        <f t="shared" si="163"/>
        <v>32.329844785784083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-1.0197709343628959E-13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200.14675249215634</v>
      </c>
      <c r="AO156" s="59">
        <f t="shared" si="144"/>
        <v>200.55017434999968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20.565251321024487</v>
      </c>
      <c r="AV156" s="21">
        <f>EXP(-LN(2)/25)*AV155+(1-EXP(-LN(2)/25))/(LN(2)/25)*Calculateur!AQ156*Calculateur!AS156*VLOOKUP('Données projet'!$B$10,Paramètres!$A$1:$I$89,3,0)*0.475*44/12</f>
        <v>2.7424248092045489</v>
      </c>
      <c r="AW156" s="21">
        <f>EXP(-LN(2)/2)*AW155+(1-EXP(-LN(2)/2))/(LN(2)/2)*AQ156*AT156*VLOOKUP('Données projet'!$B$10,Paramètres!$A$1:$I$89,3,0)*0.475*44/12</f>
        <v>3.2118161518186997E-13</v>
      </c>
      <c r="AX156" s="21">
        <f t="shared" si="166"/>
        <v>23.307676130229357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-1.4210854715202004E-13</v>
      </c>
      <c r="BE156" s="13">
        <f>BD156*VLOOKUP('Données projet'!$B$11,Paramètres!$A$1:$I$89,3,0)*VLOOKUP('Données projet'!$B$11,Paramètres!$A$1:$I$89,5,0)</f>
        <v>-8.128608897095547E-14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182.46132340647313</v>
      </c>
      <c r="BJ156" s="59">
        <f t="shared" si="146"/>
        <v>130.51706975490481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39.495992500624823</v>
      </c>
      <c r="BQ156" s="21">
        <f>EXP(-LN(2)/25)*BQ155+(1-EXP(-LN(2)/25))/(LN(2)/25)*Calculateur!BL156*Calculateur!BN156*VLOOKUP('Données projet'!$B$11,Paramètres!$A$1:$I$89,3,0)*0.475*44/12</f>
        <v>6.4146243613654033</v>
      </c>
      <c r="BR156" s="21">
        <f>EXP(-LN(2)/2)*BR155+(1-EXP(-LN(2)/2))/(LN(2)/2)*BL156*BO156*VLOOKUP('Données projet'!$B$11,Paramètres!$A$1:$I$89,3,0)*0.475*44/12</f>
        <v>5.1799399174694475E-7</v>
      </c>
      <c r="BS156" s="22">
        <f t="shared" si="169"/>
        <v>45.910617379984217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735.00000000000011</v>
      </c>
      <c r="BZ156" s="13">
        <f>BY156*VLOOKUP('Données projet'!$B$12,Paramètres!$A$1:$I$89,3,0)*VLOOKUP('Données projet'!$B$12,Paramètres!$A$1:$I$89,5,0)</f>
        <v>296.20500000000004</v>
      </c>
      <c r="CA156" s="13">
        <f t="shared" si="170"/>
        <v>70.380297204000939</v>
      </c>
      <c r="CB156" s="20">
        <f t="shared" si="171"/>
        <v>638.46939263030174</v>
      </c>
      <c r="CC156" s="59">
        <f t="shared" si="119"/>
        <v>931.80272596363511</v>
      </c>
      <c r="CD156" s="59">
        <f ca="1">AVERAGE(OFFSET($CC$3,0,0,'Données projet'!$E$12+1,1))-AVERAGE(OFFSET($H$3,0,0,'Données projet'!$E$12+1,1))</f>
        <v>291.0962681460345</v>
      </c>
      <c r="CE156" s="59">
        <f t="shared" si="148"/>
        <v>240.28311826371385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12.189373796173818</v>
      </c>
      <c r="CL156" s="21">
        <f>EXP(-LN(2)/25)*CL155+(1-EXP(-LN(2)/25))/(LN(2)/25)*Calculateur!CG156*Calculateur!CI156*VLOOKUP('Données projet'!$B$12,Paramètres!$A$1:$I$89,3,0)*0.475*44/12</f>
        <v>2.8877375784458761</v>
      </c>
      <c r="CM156" s="21">
        <f>EXP(-LN(2)/2)*CM155+(1-EXP(-LN(2)/2))/(LN(2)/2)*CG156*CJ156*VLOOKUP('Données projet'!$B$12,Paramètres!$A$1:$I$89,3,0)*0.475*44/12</f>
        <v>6.2471617459141293E-12</v>
      </c>
      <c r="CN156" s="22">
        <f t="shared" si="172"/>
        <v>15.077111374625941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-5.3205440053716299E-14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225.92546546283018</v>
      </c>
      <c r="CZ156" s="59">
        <f t="shared" si="150"/>
        <v>309.38786160614563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14.278263258555411</v>
      </c>
      <c r="DG156" s="21">
        <f>EXP(-LN(2)/25)*DG155+(1-EXP(-LN(2)/25))/(LN(2)/25)*Calculateur!DB156*Calculateur!DD156*VLOOKUP('Données projet'!$B$13,Paramètres!$A$1:$I$89,3,0)*0.475*44/12</f>
        <v>6.6417812499618121</v>
      </c>
      <c r="DH156" s="21">
        <f>EXP(-LN(2)/2)*DH155+(1-EXP(-LN(2)/2))/(LN(2)/2)*DB156*DE156*VLOOKUP('Données projet'!$B$13,Paramètres!$A$1:$I$89,3,0)*0.475*44/12</f>
        <v>7.3863766131323547E-19</v>
      </c>
      <c r="DI156" s="22">
        <f t="shared" si="175"/>
        <v>20.920044508517222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168</v>
      </c>
      <c r="DP156" s="17">
        <f>DO156*VLOOKUP('Données projet'!$B$14,Paramètres!$A$1:$I$89,3,0)*VLOOKUP('Données projet'!$B$14,Paramètres!$A$1:$I$89,5,0)</f>
        <v>146.76480000000004</v>
      </c>
      <c r="DQ156" s="13">
        <f t="shared" si="176"/>
        <v>37.842444439956665</v>
      </c>
      <c r="DR156" s="20">
        <f t="shared" si="177"/>
        <v>321.52428406625791</v>
      </c>
      <c r="DS156" s="59">
        <f t="shared" si="125"/>
        <v>614.85761739959116</v>
      </c>
      <c r="DT156" s="59">
        <f ca="1">AVERAGE(OFFSET($DS$3,0,0,'Données projet'!$E$14+1,1))-AVERAGE(OFFSET($H$3,0,0,'Données projet'!$E$14+1,1))</f>
        <v>150.06600397498823</v>
      </c>
      <c r="DU156" s="59">
        <f t="shared" si="152"/>
        <v>170.53034305929714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1.7245951266994461</v>
      </c>
      <c r="EB156" s="21">
        <f>EXP(-LN(2)/25)*EB155+(1-EXP(-LN(2)/25))/(LN(2)/25)*Calculateur!DW156*Calculateur!DY156*VLOOKUP('Données projet'!$B$14,Paramètres!$A$1:$I$89,3,0)*0.475*44/12</f>
        <v>1.9869339192754421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3.7115290459748884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294.94285920643927</v>
      </c>
      <c r="T157" s="59">
        <f t="shared" si="142"/>
        <v>399.89535338426606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21.439907348717529</v>
      </c>
      <c r="AA157" s="21">
        <f>EXP(-LN(2)/25)*AA156+(1-EXP(-LN(2)/25))/(LN(2)/25)*Calculateur!V157*Calculateur!X157*VLOOKUP('Données projet'!$B$9,Paramètres!$A$1:$I$89,3,0)*0.475*44/12</f>
        <v>10.175045323799875</v>
      </c>
      <c r="AB157" s="21">
        <f>EXP(-LN(2)/2)*AB156+(1-EXP(-LN(2)/2))/(LN(2)/2)*V157*Y157*VLOOKUP('Données projet'!$B$9,Paramètres!$A$1:$I$89,3,0)*0.475*44/12</f>
        <v>1.8812357663207212E-18</v>
      </c>
      <c r="AC157" s="22">
        <f t="shared" si="163"/>
        <v>31.614952672517404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-1.0197709343628959E-13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200.14675249215634</v>
      </c>
      <c r="AO157" s="59">
        <f t="shared" si="144"/>
        <v>200.55017434999968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20.161979286183929</v>
      </c>
      <c r="AV157" s="21">
        <f>EXP(-LN(2)/25)*AV156+(1-EXP(-LN(2)/25))/(LN(2)/25)*Calculateur!AQ157*Calculateur!AS157*VLOOKUP('Données projet'!$B$10,Paramètres!$A$1:$I$89,3,0)*0.475*44/12</f>
        <v>2.6674330585789976</v>
      </c>
      <c r="AW157" s="21">
        <f>EXP(-LN(2)/2)*AW156+(1-EXP(-LN(2)/2))/(LN(2)/2)*AQ157*AT157*VLOOKUP('Données projet'!$B$10,Paramètres!$A$1:$I$89,3,0)*0.475*44/12</f>
        <v>2.2710969808754846E-13</v>
      </c>
      <c r="AX157" s="21">
        <f t="shared" si="166"/>
        <v>22.829412344763153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-1.4210854715202004E-13</v>
      </c>
      <c r="BE157" s="13">
        <f>BD157*VLOOKUP('Données projet'!$B$11,Paramètres!$A$1:$I$89,3,0)*VLOOKUP('Données projet'!$B$11,Paramètres!$A$1:$I$89,5,0)</f>
        <v>-8.128608897095547E-14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182.46132340647313</v>
      </c>
      <c r="BJ157" s="59">
        <f t="shared" si="146"/>
        <v>130.51706975490481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38.721500177864286</v>
      </c>
      <c r="BQ157" s="21">
        <f>EXP(-LN(2)/25)*BQ156+(1-EXP(-LN(2)/25))/(LN(2)/25)*Calculateur!BL157*Calculateur!BN157*VLOOKUP('Données projet'!$B$11,Paramètres!$A$1:$I$89,3,0)*0.475*44/12</f>
        <v>6.239216120873432</v>
      </c>
      <c r="BR157" s="21">
        <f>EXP(-LN(2)/2)*BR156+(1-EXP(-LN(2)/2))/(LN(2)/2)*BL157*BO157*VLOOKUP('Données projet'!$B$11,Paramètres!$A$1:$I$89,3,0)*0.475*44/12</f>
        <v>3.6627706417815317E-7</v>
      </c>
      <c r="BS157" s="22">
        <f t="shared" si="169"/>
        <v>44.960716665014779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735.00000000000011</v>
      </c>
      <c r="BZ157" s="13">
        <f>BY157*VLOOKUP('Données projet'!$B$12,Paramètres!$A$1:$I$89,3,0)*VLOOKUP('Données projet'!$B$12,Paramètres!$A$1:$I$89,5,0)</f>
        <v>296.20500000000004</v>
      </c>
      <c r="CA157" s="13">
        <f t="shared" si="170"/>
        <v>70.380297204000939</v>
      </c>
      <c r="CB157" s="20">
        <f t="shared" si="171"/>
        <v>638.46939263030174</v>
      </c>
      <c r="CC157" s="59">
        <f t="shared" si="119"/>
        <v>931.80272596363511</v>
      </c>
      <c r="CD157" s="59">
        <f ca="1">AVERAGE(OFFSET($CC$3,0,0,'Données projet'!$E$12+1,1))-AVERAGE(OFFSET($H$3,0,0,'Données projet'!$E$12+1,1))</f>
        <v>291.0962681460345</v>
      </c>
      <c r="CE157" s="59">
        <f t="shared" si="148"/>
        <v>240.28311826371385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11.950347610814742</v>
      </c>
      <c r="CL157" s="21">
        <f>EXP(-LN(2)/25)*CL156+(1-EXP(-LN(2)/25))/(LN(2)/25)*Calculateur!CG157*Calculateur!CI157*VLOOKUP('Données projet'!$B$12,Paramètres!$A$1:$I$89,3,0)*0.475*44/12</f>
        <v>2.8087722425037542</v>
      </c>
      <c r="CM157" s="21">
        <f>EXP(-LN(2)/2)*CM156+(1-EXP(-LN(2)/2))/(LN(2)/2)*CG157*CJ157*VLOOKUP('Données projet'!$B$12,Paramètres!$A$1:$I$89,3,0)*0.475*44/12</f>
        <v>4.4174104337050724E-12</v>
      </c>
      <c r="CN157" s="22">
        <f t="shared" si="172"/>
        <v>14.759119853322913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-5.3205440053716299E-14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225.92546546283018</v>
      </c>
      <c r="CZ157" s="59">
        <f t="shared" si="150"/>
        <v>309.38786160614563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13.998275224935796</v>
      </c>
      <c r="DG157" s="21">
        <f>EXP(-LN(2)/25)*DG156+(1-EXP(-LN(2)/25))/(LN(2)/25)*Calculateur!DB157*Calculateur!DD157*VLOOKUP('Données projet'!$B$13,Paramètres!$A$1:$I$89,3,0)*0.475*44/12</f>
        <v>6.4601613924055101</v>
      </c>
      <c r="DH157" s="21">
        <f>EXP(-LN(2)/2)*DH156+(1-EXP(-LN(2)/2))/(LN(2)/2)*DB157*DE157*VLOOKUP('Données projet'!$B$13,Paramètres!$A$1:$I$89,3,0)*0.475*44/12</f>
        <v>5.2229569915436118E-19</v>
      </c>
      <c r="DI157" s="22">
        <f t="shared" si="175"/>
        <v>20.458436617341306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168</v>
      </c>
      <c r="DP157" s="17">
        <f>DO157*VLOOKUP('Données projet'!$B$14,Paramètres!$A$1:$I$89,3,0)*VLOOKUP('Données projet'!$B$14,Paramètres!$A$1:$I$89,5,0)</f>
        <v>146.76480000000004</v>
      </c>
      <c r="DQ157" s="13">
        <f t="shared" si="176"/>
        <v>37.842444439956665</v>
      </c>
      <c r="DR157" s="20">
        <f t="shared" si="177"/>
        <v>321.52428406625791</v>
      </c>
      <c r="DS157" s="59">
        <f t="shared" si="125"/>
        <v>614.85761739959116</v>
      </c>
      <c r="DT157" s="59">
        <f ca="1">AVERAGE(OFFSET($DS$3,0,0,'Données projet'!$E$14+1,1))-AVERAGE(OFFSET($H$3,0,0,'Données projet'!$E$14+1,1))</f>
        <v>150.06600397498823</v>
      </c>
      <c r="DU157" s="59">
        <f t="shared" si="152"/>
        <v>170.53034305929714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1.6907768681640309</v>
      </c>
      <c r="EB157" s="21">
        <f>EXP(-LN(2)/25)*EB156+(1-EXP(-LN(2)/25))/(LN(2)/25)*Calculateur!DW157*Calculateur!DY157*VLOOKUP('Données projet'!$B$14,Paramètres!$A$1:$I$89,3,0)*0.475*44/12</f>
        <v>1.9326011067645414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3.6233779749285722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294.94285920643927</v>
      </c>
      <c r="T158" s="59">
        <f t="shared" si="142"/>
        <v>399.89535338426606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21.019483842661408</v>
      </c>
      <c r="AA158" s="21">
        <f>EXP(-LN(2)/25)*AA157+(1-EXP(-LN(2)/25))/(LN(2)/25)*Calculateur!V158*Calculateur!X158*VLOOKUP('Données projet'!$B$9,Paramètres!$A$1:$I$89,3,0)*0.475*44/12</f>
        <v>9.8968081743381884</v>
      </c>
      <c r="AB158" s="21">
        <f>EXP(-LN(2)/2)*AB157+(1-EXP(-LN(2)/2))/(LN(2)/2)*V158*Y158*VLOOKUP('Données projet'!$B$9,Paramètres!$A$1:$I$89,3,0)*0.475*44/12</f>
        <v>1.3302345673760533E-18</v>
      </c>
      <c r="AC158" s="22">
        <f t="shared" si="163"/>
        <v>30.916292016999599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-1.0197709343628959E-13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200.14675249215634</v>
      </c>
      <c r="AO158" s="59">
        <f t="shared" si="144"/>
        <v>200.55017434999968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19.766615169974941</v>
      </c>
      <c r="AV158" s="21">
        <f>EXP(-LN(2)/25)*AV157+(1-EXP(-LN(2)/25))/(LN(2)/25)*Calculateur!AQ158*Calculateur!AS158*VLOOKUP('Données projet'!$B$10,Paramètres!$A$1:$I$89,3,0)*0.475*44/12</f>
        <v>2.5944919613179467</v>
      </c>
      <c r="AW158" s="21">
        <f>EXP(-LN(2)/2)*AW157+(1-EXP(-LN(2)/2))/(LN(2)/2)*AQ158*AT158*VLOOKUP('Données projet'!$B$10,Paramètres!$A$1:$I$89,3,0)*0.475*44/12</f>
        <v>1.6059080759093501E-13</v>
      </c>
      <c r="AX158" s="21">
        <f t="shared" si="166"/>
        <v>22.361107131293046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-1.4210854715202004E-13</v>
      </c>
      <c r="BE158" s="13">
        <f>BD158*VLOOKUP('Données projet'!$B$11,Paramètres!$A$1:$I$89,3,0)*VLOOKUP('Données projet'!$B$11,Paramètres!$A$1:$I$89,5,0)</f>
        <v>-8.128608897095547E-14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182.46132340647313</v>
      </c>
      <c r="BJ158" s="59">
        <f t="shared" si="146"/>
        <v>130.51706975490481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37.962195177159415</v>
      </c>
      <c r="BQ158" s="21">
        <f>EXP(-LN(2)/25)*BQ157+(1-EXP(-LN(2)/25))/(LN(2)/25)*Calculateur!BL158*Calculateur!BN158*VLOOKUP('Données projet'!$B$11,Paramètres!$A$1:$I$89,3,0)*0.475*44/12</f>
        <v>6.0686044279420326</v>
      </c>
      <c r="BR158" s="21">
        <f>EXP(-LN(2)/2)*BR157+(1-EXP(-LN(2)/2))/(LN(2)/2)*BL158*BO158*VLOOKUP('Données projet'!$B$11,Paramètres!$A$1:$I$89,3,0)*0.475*44/12</f>
        <v>2.5899699587347237E-7</v>
      </c>
      <c r="BS158" s="22">
        <f t="shared" si="169"/>
        <v>44.030799864098448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735.00000000000011</v>
      </c>
      <c r="BZ158" s="13">
        <f>BY158*VLOOKUP('Données projet'!$B$12,Paramètres!$A$1:$I$89,3,0)*VLOOKUP('Données projet'!$B$12,Paramètres!$A$1:$I$89,5,0)</f>
        <v>296.20500000000004</v>
      </c>
      <c r="CA158" s="13">
        <f t="shared" si="170"/>
        <v>70.380297204000939</v>
      </c>
      <c r="CB158" s="20">
        <f t="shared" si="171"/>
        <v>638.46939263030174</v>
      </c>
      <c r="CC158" s="59">
        <f t="shared" si="119"/>
        <v>931.80272596363511</v>
      </c>
      <c r="CD158" s="59">
        <f ca="1">AVERAGE(OFFSET($CC$3,0,0,'Données projet'!$E$12+1,1))-AVERAGE(OFFSET($H$3,0,0,'Données projet'!$E$12+1,1))</f>
        <v>291.0962681460345</v>
      </c>
      <c r="CE158" s="59">
        <f t="shared" si="148"/>
        <v>240.28311826371385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11.716008583158979</v>
      </c>
      <c r="CL158" s="21">
        <f>EXP(-LN(2)/25)*CL157+(1-EXP(-LN(2)/25))/(LN(2)/25)*Calculateur!CG158*Calculateur!CI158*VLOOKUP('Données projet'!$B$12,Paramètres!$A$1:$I$89,3,0)*0.475*44/12</f>
        <v>2.7319662178255766</v>
      </c>
      <c r="CM158" s="21">
        <f>EXP(-LN(2)/2)*CM157+(1-EXP(-LN(2)/2))/(LN(2)/2)*CG158*CJ158*VLOOKUP('Données projet'!$B$12,Paramètres!$A$1:$I$89,3,0)*0.475*44/12</f>
        <v>3.1235808729570646E-12</v>
      </c>
      <c r="CN158" s="22">
        <f t="shared" si="172"/>
        <v>14.447974800987678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-5.3205440053716299E-14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225.92546546283018</v>
      </c>
      <c r="CZ158" s="59">
        <f t="shared" si="150"/>
        <v>309.38786160614563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13.723777585879624</v>
      </c>
      <c r="DG158" s="21">
        <f>EXP(-LN(2)/25)*DG157+(1-EXP(-LN(2)/25))/(LN(2)/25)*Calculateur!DB158*Calculateur!DD158*VLOOKUP('Données projet'!$B$13,Paramètres!$A$1:$I$89,3,0)*0.475*44/12</f>
        <v>6.2835079394050588</v>
      </c>
      <c r="DH158" s="21">
        <f>EXP(-LN(2)/2)*DH157+(1-EXP(-LN(2)/2))/(LN(2)/2)*DB158*DE158*VLOOKUP('Données projet'!$B$13,Paramètres!$A$1:$I$89,3,0)*0.475*44/12</f>
        <v>3.6931883065661773E-19</v>
      </c>
      <c r="DI158" s="22">
        <f t="shared" si="175"/>
        <v>20.007285525284683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168</v>
      </c>
      <c r="DP158" s="17">
        <f>DO158*VLOOKUP('Données projet'!$B$14,Paramètres!$A$1:$I$89,3,0)*VLOOKUP('Données projet'!$B$14,Paramètres!$A$1:$I$89,5,0)</f>
        <v>146.76480000000004</v>
      </c>
      <c r="DQ158" s="13">
        <f t="shared" si="176"/>
        <v>37.842444439956665</v>
      </c>
      <c r="DR158" s="20">
        <f t="shared" si="177"/>
        <v>321.52428406625791</v>
      </c>
      <c r="DS158" s="59">
        <f t="shared" si="125"/>
        <v>614.85761739959116</v>
      </c>
      <c r="DT158" s="59">
        <f ca="1">AVERAGE(OFFSET($DS$3,0,0,'Données projet'!$E$14+1,1))-AVERAGE(OFFSET($H$3,0,0,'Données projet'!$E$14+1,1))</f>
        <v>150.06600397498823</v>
      </c>
      <c r="DU158" s="59">
        <f t="shared" si="152"/>
        <v>170.53034305929714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1.6576217650513942</v>
      </c>
      <c r="EB158" s="21">
        <f>EXP(-LN(2)/25)*EB157+(1-EXP(-LN(2)/25))/(LN(2)/25)*Calculateur!DW158*Calculateur!DY158*VLOOKUP('Données projet'!$B$14,Paramètres!$A$1:$I$89,3,0)*0.475*44/12</f>
        <v>1.8797540278689899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3.5373757929203844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294.94285920643927</v>
      </c>
      <c r="T159" s="59">
        <f t="shared" si="142"/>
        <v>399.89535338426606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20.60730458512603</v>
      </c>
      <c r="AA159" s="21">
        <f>EXP(-LN(2)/25)*AA158+(1-EXP(-LN(2)/25))/(LN(2)/25)*Calculateur!V159*Calculateur!X159*VLOOKUP('Données projet'!$B$9,Paramètres!$A$1:$I$89,3,0)*0.475*44/12</f>
        <v>9.6261794343603881</v>
      </c>
      <c r="AB159" s="21">
        <f>EXP(-LN(2)/2)*AB158+(1-EXP(-LN(2)/2))/(LN(2)/2)*V159*Y159*VLOOKUP('Données projet'!$B$9,Paramètres!$A$1:$I$89,3,0)*0.475*44/12</f>
        <v>9.4061788316036062E-19</v>
      </c>
      <c r="AC159" s="22">
        <f t="shared" si="163"/>
        <v>30.233484019486419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-1.0197709343628959E-13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200.14675249215634</v>
      </c>
      <c r="AO159" s="59">
        <f t="shared" si="144"/>
        <v>200.55017434999968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19.37900390293651</v>
      </c>
      <c r="AV159" s="21">
        <f>EXP(-LN(2)/25)*AV158+(1-EXP(-LN(2)/25))/(LN(2)/25)*Calculateur!AQ159*Calculateur!AS159*VLOOKUP('Données projet'!$B$10,Paramètres!$A$1:$I$89,3,0)*0.475*44/12</f>
        <v>2.5235454421973049</v>
      </c>
      <c r="AW159" s="21">
        <f>EXP(-LN(2)/2)*AW158+(1-EXP(-LN(2)/2))/(LN(2)/2)*AQ159*AT159*VLOOKUP('Données projet'!$B$10,Paramètres!$A$1:$I$89,3,0)*0.475*44/12</f>
        <v>1.1355484904377424E-13</v>
      </c>
      <c r="AX159" s="21">
        <f t="shared" si="166"/>
        <v>21.902549345133927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-1.4210854715202004E-13</v>
      </c>
      <c r="BE159" s="13">
        <f>BD159*VLOOKUP('Données projet'!$B$11,Paramètres!$A$1:$I$89,3,0)*VLOOKUP('Données projet'!$B$11,Paramètres!$A$1:$I$89,5,0)</f>
        <v>-8.128608897095547E-14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182.46132340647313</v>
      </c>
      <c r="BJ159" s="59">
        <f t="shared" si="146"/>
        <v>130.51706975490481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37.217779684388049</v>
      </c>
      <c r="BQ159" s="21">
        <f>EXP(-LN(2)/25)*BQ158+(1-EXP(-LN(2)/25))/(LN(2)/25)*Calculateur!BL159*Calculateur!BN159*VLOOKUP('Données projet'!$B$11,Paramètres!$A$1:$I$89,3,0)*0.475*44/12</f>
        <v>5.9026581207259206</v>
      </c>
      <c r="BR159" s="21">
        <f>EXP(-LN(2)/2)*BR158+(1-EXP(-LN(2)/2))/(LN(2)/2)*BL159*BO159*VLOOKUP('Données projet'!$B$11,Paramètres!$A$1:$I$89,3,0)*0.475*44/12</f>
        <v>1.8313853208907658E-7</v>
      </c>
      <c r="BS159" s="22">
        <f t="shared" si="169"/>
        <v>43.120437988252498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735.00000000000011</v>
      </c>
      <c r="BZ159" s="13">
        <f>BY159*VLOOKUP('Données projet'!$B$12,Paramètres!$A$1:$I$89,3,0)*VLOOKUP('Données projet'!$B$12,Paramètres!$A$1:$I$89,5,0)</f>
        <v>296.20500000000004</v>
      </c>
      <c r="CA159" s="13">
        <f t="shared" si="170"/>
        <v>70.380297204000939</v>
      </c>
      <c r="CB159" s="20">
        <f t="shared" si="171"/>
        <v>638.46939263030174</v>
      </c>
      <c r="CC159" s="59">
        <f t="shared" si="119"/>
        <v>931.80272596363511</v>
      </c>
      <c r="CD159" s="59">
        <f ca="1">AVERAGE(OFFSET($CC$3,0,0,'Données projet'!$E$12+1,1))-AVERAGE(OFFSET($H$3,0,0,'Données projet'!$E$12+1,1))</f>
        <v>291.0962681460345</v>
      </c>
      <c r="CE159" s="59">
        <f t="shared" si="148"/>
        <v>240.28311826371385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11.486264800902852</v>
      </c>
      <c r="CL159" s="21">
        <f>EXP(-LN(2)/25)*CL158+(1-EXP(-LN(2)/25))/(LN(2)/25)*Calculateur!CG159*Calculateur!CI159*VLOOKUP('Données projet'!$B$12,Paramètres!$A$1:$I$89,3,0)*0.475*44/12</f>
        <v>2.6572604579312769</v>
      </c>
      <c r="CM159" s="21">
        <f>EXP(-LN(2)/2)*CM158+(1-EXP(-LN(2)/2))/(LN(2)/2)*CG159*CJ159*VLOOKUP('Données projet'!$B$12,Paramètres!$A$1:$I$89,3,0)*0.475*44/12</f>
        <v>2.2087052168525362E-12</v>
      </c>
      <c r="CN159" s="22">
        <f t="shared" si="172"/>
        <v>14.143525258836336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-5.3205440053716299E-14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225.92546546283018</v>
      </c>
      <c r="CZ159" s="59">
        <f t="shared" si="150"/>
        <v>309.38786160614563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13.454662678098316</v>
      </c>
      <c r="DG159" s="21">
        <f>EXP(-LN(2)/25)*DG158+(1-EXP(-LN(2)/25))/(LN(2)/25)*Calculateur!DB159*Calculateur!DD159*VLOOKUP('Données projet'!$B$13,Paramètres!$A$1:$I$89,3,0)*0.475*44/12</f>
        <v>6.1116850843667061</v>
      </c>
      <c r="DH159" s="21">
        <f>EXP(-LN(2)/2)*DH158+(1-EXP(-LN(2)/2))/(LN(2)/2)*DB159*DE159*VLOOKUP('Données projet'!$B$13,Paramètres!$A$1:$I$89,3,0)*0.475*44/12</f>
        <v>2.6114784957718059E-19</v>
      </c>
      <c r="DI159" s="22">
        <f t="shared" si="175"/>
        <v>19.566347762465021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168</v>
      </c>
      <c r="DP159" s="17">
        <f>DO159*VLOOKUP('Données projet'!$B$14,Paramètres!$A$1:$I$89,3,0)*VLOOKUP('Données projet'!$B$14,Paramètres!$A$1:$I$89,5,0)</f>
        <v>146.76480000000004</v>
      </c>
      <c r="DQ159" s="13">
        <f t="shared" si="176"/>
        <v>37.842444439956665</v>
      </c>
      <c r="DR159" s="20">
        <f t="shared" si="177"/>
        <v>321.52428406625791</v>
      </c>
      <c r="DS159" s="59">
        <f t="shared" si="125"/>
        <v>614.85761739959116</v>
      </c>
      <c r="DT159" s="59">
        <f ca="1">AVERAGE(OFFSET($DS$3,0,0,'Données projet'!$E$14+1,1))-AVERAGE(OFFSET($H$3,0,0,'Données projet'!$E$14+1,1))</f>
        <v>150.06600397498823</v>
      </c>
      <c r="DU159" s="59">
        <f t="shared" si="152"/>
        <v>170.53034305929714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1.6251168132881801</v>
      </c>
      <c r="EB159" s="21">
        <f>EXP(-LN(2)/25)*EB158+(1-EXP(-LN(2)/25))/(LN(2)/25)*Calculateur!DW159*Calculateur!DY159*VLOOKUP('Données projet'!$B$14,Paramètres!$A$1:$I$89,3,0)*0.475*44/12</f>
        <v>1.8283520551249444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3.4534688684131245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294.94285920643927</v>
      </c>
      <c r="T160" s="59">
        <f t="shared" si="142"/>
        <v>399.89535338426606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20.2032079114264</v>
      </c>
      <c r="AA160" s="21">
        <f>EXP(-LN(2)/25)*AA159+(1-EXP(-LN(2)/25))/(LN(2)/25)*Calculateur!V160*Calculateur!X160*VLOOKUP('Données projet'!$B$9,Paramètres!$A$1:$I$89,3,0)*0.475*44/12</f>
        <v>9.3629510515090271</v>
      </c>
      <c r="AB160" s="21">
        <f>EXP(-LN(2)/2)*AB159+(1-EXP(-LN(2)/2))/(LN(2)/2)*V160*Y160*VLOOKUP('Données projet'!$B$9,Paramètres!$A$1:$I$89,3,0)*0.475*44/12</f>
        <v>6.6511728368802664E-19</v>
      </c>
      <c r="AC160" s="22">
        <f t="shared" si="163"/>
        <v>29.566158962935425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-1.0197709343628959E-13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200.14675249215634</v>
      </c>
      <c r="AO160" s="59">
        <f t="shared" si="144"/>
        <v>200.55017434999968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18.998993456425175</v>
      </c>
      <c r="AV160" s="21">
        <f>EXP(-LN(2)/25)*AV159+(1-EXP(-LN(2)/25))/(LN(2)/25)*Calculateur!AQ160*Calculateur!AS160*VLOOKUP('Données projet'!$B$10,Paramètres!$A$1:$I$89,3,0)*0.475*44/12</f>
        <v>2.4545389593729325</v>
      </c>
      <c r="AW160" s="21">
        <f>EXP(-LN(2)/2)*AW159+(1-EXP(-LN(2)/2))/(LN(2)/2)*AQ160*AT160*VLOOKUP('Données projet'!$B$10,Paramètres!$A$1:$I$89,3,0)*0.475*44/12</f>
        <v>8.0295403795467518E-14</v>
      </c>
      <c r="AX160" s="21">
        <f t="shared" si="166"/>
        <v>21.45353241579819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-1.4210854715202004E-13</v>
      </c>
      <c r="BE160" s="13">
        <f>BD160*VLOOKUP('Données projet'!$B$11,Paramètres!$A$1:$I$89,3,0)*VLOOKUP('Données projet'!$B$11,Paramètres!$A$1:$I$89,5,0)</f>
        <v>-8.128608897095547E-14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182.46132340647313</v>
      </c>
      <c r="BJ160" s="59">
        <f t="shared" si="146"/>
        <v>130.51706975490481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36.487961725381311</v>
      </c>
      <c r="BQ160" s="21">
        <f>EXP(-LN(2)/25)*BQ159+(1-EXP(-LN(2)/25))/(LN(2)/25)*Calculateur!BL160*Calculateur!BN160*VLOOKUP('Données projet'!$B$11,Paramètres!$A$1:$I$89,3,0)*0.475*44/12</f>
        <v>5.74124962400737</v>
      </c>
      <c r="BR160" s="21">
        <f>EXP(-LN(2)/2)*BR159+(1-EXP(-LN(2)/2))/(LN(2)/2)*BL160*BO160*VLOOKUP('Données projet'!$B$11,Paramètres!$A$1:$I$89,3,0)*0.475*44/12</f>
        <v>1.2949849793673619E-7</v>
      </c>
      <c r="BS160" s="22">
        <f t="shared" si="169"/>
        <v>42.229211478887173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735.00000000000011</v>
      </c>
      <c r="BZ160" s="13">
        <f>BY160*VLOOKUP('Données projet'!$B$12,Paramètres!$A$1:$I$89,3,0)*VLOOKUP('Données projet'!$B$12,Paramètres!$A$1:$I$89,5,0)</f>
        <v>296.20500000000004</v>
      </c>
      <c r="CA160" s="13">
        <f t="shared" si="170"/>
        <v>70.380297204000939</v>
      </c>
      <c r="CB160" s="20">
        <f t="shared" si="171"/>
        <v>638.46939263030174</v>
      </c>
      <c r="CC160" s="59">
        <f t="shared" si="119"/>
        <v>931.80272596363511</v>
      </c>
      <c r="CD160" s="59">
        <f ca="1">AVERAGE(OFFSET($CC$3,0,0,'Données projet'!$E$12+1,1))-AVERAGE(OFFSET($H$3,0,0,'Données projet'!$E$12+1,1))</f>
        <v>291.0962681460345</v>
      </c>
      <c r="CE160" s="59">
        <f t="shared" si="148"/>
        <v>240.28311826371385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11.261026154086897</v>
      </c>
      <c r="CL160" s="21">
        <f>EXP(-LN(2)/25)*CL159+(1-EXP(-LN(2)/25))/(LN(2)/25)*Calculateur!CG160*Calculateur!CI160*VLOOKUP('Données projet'!$B$12,Paramètres!$A$1:$I$89,3,0)*0.475*44/12</f>
        <v>2.5845975309698916</v>
      </c>
      <c r="CM160" s="21">
        <f>EXP(-LN(2)/2)*CM159+(1-EXP(-LN(2)/2))/(LN(2)/2)*CG160*CJ160*VLOOKUP('Données projet'!$B$12,Paramètres!$A$1:$I$89,3,0)*0.475*44/12</f>
        <v>1.5617904364785323E-12</v>
      </c>
      <c r="CN160" s="22">
        <f t="shared" si="172"/>
        <v>13.845623685058351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-5.3205440053716299E-14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225.92546546283018</v>
      </c>
      <c r="CZ160" s="59">
        <f t="shared" si="150"/>
        <v>309.38786160614563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13.190824949514713</v>
      </c>
      <c r="DG160" s="21">
        <f>EXP(-LN(2)/25)*DG159+(1-EXP(-LN(2)/25))/(LN(2)/25)*Calculateur!DB160*Calculateur!DD160*VLOOKUP('Données projet'!$B$13,Paramètres!$A$1:$I$89,3,0)*0.475*44/12</f>
        <v>5.9445607343351483</v>
      </c>
      <c r="DH160" s="21">
        <f>EXP(-LN(2)/2)*DH159+(1-EXP(-LN(2)/2))/(LN(2)/2)*DB160*DE160*VLOOKUP('Données projet'!$B$13,Paramètres!$A$1:$I$89,3,0)*0.475*44/12</f>
        <v>1.8465941532830887E-19</v>
      </c>
      <c r="DI160" s="22">
        <f t="shared" si="175"/>
        <v>19.135385683849861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168</v>
      </c>
      <c r="DP160" s="17">
        <f>DO160*VLOOKUP('Données projet'!$B$14,Paramètres!$A$1:$I$89,3,0)*VLOOKUP('Données projet'!$B$14,Paramètres!$A$1:$I$89,5,0)</f>
        <v>146.76480000000004</v>
      </c>
      <c r="DQ160" s="13">
        <f t="shared" si="176"/>
        <v>37.842444439956665</v>
      </c>
      <c r="DR160" s="20">
        <f t="shared" si="177"/>
        <v>321.52428406625791</v>
      </c>
      <c r="DS160" s="59">
        <f t="shared" si="125"/>
        <v>614.85761739959116</v>
      </c>
      <c r="DT160" s="59">
        <f ca="1">AVERAGE(OFFSET($DS$3,0,0,'Données projet'!$E$14+1,1))-AVERAGE(OFFSET($H$3,0,0,'Données projet'!$E$14+1,1))</f>
        <v>150.06600397498823</v>
      </c>
      <c r="DU160" s="59">
        <f t="shared" si="152"/>
        <v>170.53034305929714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1.5932492638029798</v>
      </c>
      <c r="EB160" s="21">
        <f>EXP(-LN(2)/25)*EB159+(1-EXP(-LN(2)/25))/(LN(2)/25)*Calculateur!DW160*Calculateur!DY160*VLOOKUP('Données projet'!$B$14,Paramètres!$A$1:$I$89,3,0)*0.475*44/12</f>
        <v>1.778355672028697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3.3716049358316766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294.94285920643927</v>
      </c>
      <c r="T161" s="59">
        <f t="shared" si="142"/>
        <v>399.89535338426606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19.807035327023385</v>
      </c>
      <c r="AA161" s="21">
        <f>EXP(-LN(2)/25)*AA160+(1-EXP(-LN(2)/25))/(LN(2)/25)*Calculateur!V161*Calculateur!X161*VLOOKUP('Données projet'!$B$9,Paramètres!$A$1:$I$89,3,0)*0.475*44/12</f>
        <v>9.1069206626293155</v>
      </c>
      <c r="AB161" s="21">
        <f>EXP(-LN(2)/2)*AB160+(1-EXP(-LN(2)/2))/(LN(2)/2)*V161*Y161*VLOOKUP('Données projet'!$B$9,Paramètres!$A$1:$I$89,3,0)*0.475*44/12</f>
        <v>4.7030894158018031E-19</v>
      </c>
      <c r="AC161" s="22">
        <f t="shared" si="163"/>
        <v>28.913955989652699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-1.0197709343628959E-13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200.14675249215634</v>
      </c>
      <c r="AO161" s="59">
        <f t="shared" si="144"/>
        <v>200.55017434999968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18.626434782986443</v>
      </c>
      <c r="AV161" s="21">
        <f>EXP(-LN(2)/25)*AV160+(1-EXP(-LN(2)/25))/(LN(2)/25)*Calculateur!AQ161*Calculateur!AS161*VLOOKUP('Données projet'!$B$10,Paramètres!$A$1:$I$89,3,0)*0.475*44/12</f>
        <v>2.3874194624502856</v>
      </c>
      <c r="AW161" s="21">
        <f>EXP(-LN(2)/2)*AW160+(1-EXP(-LN(2)/2))/(LN(2)/2)*AQ161*AT161*VLOOKUP('Données projet'!$B$10,Paramètres!$A$1:$I$89,3,0)*0.475*44/12</f>
        <v>5.6777424521887134E-14</v>
      </c>
      <c r="AX161" s="21">
        <f t="shared" si="166"/>
        <v>21.013854245436786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-1.4210854715202004E-13</v>
      </c>
      <c r="BE161" s="13">
        <f>BD161*VLOOKUP('Données projet'!$B$11,Paramètres!$A$1:$I$89,3,0)*VLOOKUP('Données projet'!$B$11,Paramètres!$A$1:$I$89,5,0)</f>
        <v>-8.128608897095547E-14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182.46132340647313</v>
      </c>
      <c r="BJ161" s="59">
        <f t="shared" si="146"/>
        <v>130.51706975490481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35.772455051405693</v>
      </c>
      <c r="BQ161" s="21">
        <f>EXP(-LN(2)/25)*BQ160+(1-EXP(-LN(2)/25))/(LN(2)/25)*Calculateur!BL161*Calculateur!BN161*VLOOKUP('Données projet'!$B$11,Paramètres!$A$1:$I$89,3,0)*0.475*44/12</f>
        <v>5.5842548511196926</v>
      </c>
      <c r="BR161" s="21">
        <f>EXP(-LN(2)/2)*BR160+(1-EXP(-LN(2)/2))/(LN(2)/2)*BL161*BO161*VLOOKUP('Données projet'!$B$11,Paramètres!$A$1:$I$89,3,0)*0.475*44/12</f>
        <v>9.1569266044538292E-8</v>
      </c>
      <c r="BS161" s="22">
        <f t="shared" si="169"/>
        <v>41.356709994094658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735.00000000000011</v>
      </c>
      <c r="BZ161" s="13">
        <f>BY161*VLOOKUP('Données projet'!$B$12,Paramètres!$A$1:$I$89,3,0)*VLOOKUP('Données projet'!$B$12,Paramètres!$A$1:$I$89,5,0)</f>
        <v>296.20500000000004</v>
      </c>
      <c r="CA161" s="13">
        <f t="shared" si="170"/>
        <v>70.380297204000939</v>
      </c>
      <c r="CB161" s="20">
        <f t="shared" si="171"/>
        <v>638.46939263030174</v>
      </c>
      <c r="CC161" s="59">
        <f t="shared" si="119"/>
        <v>931.80272596363511</v>
      </c>
      <c r="CD161" s="59">
        <f ca="1">AVERAGE(OFFSET($CC$3,0,0,'Données projet'!$E$12+1,1))-AVERAGE(OFFSET($H$3,0,0,'Données projet'!$E$12+1,1))</f>
        <v>291.0962681460345</v>
      </c>
      <c r="CE161" s="59">
        <f t="shared" si="148"/>
        <v>240.28311826371385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11.040204299752995</v>
      </c>
      <c r="CL161" s="21">
        <f>EXP(-LN(2)/25)*CL160+(1-EXP(-LN(2)/25))/(LN(2)/25)*Calculateur!CG161*Calculateur!CI161*VLOOKUP('Données projet'!$B$12,Paramètres!$A$1:$I$89,3,0)*0.475*44/12</f>
        <v>2.5139215755674429</v>
      </c>
      <c r="CM161" s="21">
        <f>EXP(-LN(2)/2)*CM160+(1-EXP(-LN(2)/2))/(LN(2)/2)*CG161*CJ161*VLOOKUP('Données projet'!$B$12,Paramètres!$A$1:$I$89,3,0)*0.475*44/12</f>
        <v>1.1043526084262681E-12</v>
      </c>
      <c r="CN161" s="22">
        <f t="shared" si="172"/>
        <v>13.554125875321542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-5.3205440053716299E-14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225.92546546283018</v>
      </c>
      <c r="CZ161" s="59">
        <f t="shared" si="150"/>
        <v>309.38786160614563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12.932160917863511</v>
      </c>
      <c r="DG161" s="21">
        <f>EXP(-LN(2)/25)*DG160+(1-EXP(-LN(2)/25))/(LN(2)/25)*Calculateur!DB161*Calculateur!DD161*VLOOKUP('Données projet'!$B$13,Paramètres!$A$1:$I$89,3,0)*0.475*44/12</f>
        <v>5.7820064084438911</v>
      </c>
      <c r="DH161" s="21">
        <f>EXP(-LN(2)/2)*DH160+(1-EXP(-LN(2)/2))/(LN(2)/2)*DB161*DE161*VLOOKUP('Données projet'!$B$13,Paramètres!$A$1:$I$89,3,0)*0.475*44/12</f>
        <v>1.305739247885903E-19</v>
      </c>
      <c r="DI161" s="22">
        <f t="shared" si="175"/>
        <v>18.714167326307404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168</v>
      </c>
      <c r="DP161" s="17">
        <f>DO161*VLOOKUP('Données projet'!$B$14,Paramètres!$A$1:$I$89,3,0)*VLOOKUP('Données projet'!$B$14,Paramètres!$A$1:$I$89,5,0)</f>
        <v>146.76480000000004</v>
      </c>
      <c r="DQ161" s="13">
        <f t="shared" si="176"/>
        <v>37.842444439956665</v>
      </c>
      <c r="DR161" s="20">
        <f t="shared" si="177"/>
        <v>321.52428406625791</v>
      </c>
      <c r="DS161" s="59">
        <f t="shared" si="125"/>
        <v>614.85761739959116</v>
      </c>
      <c r="DT161" s="59">
        <f ca="1">AVERAGE(OFFSET($DS$3,0,0,'Données projet'!$E$14+1,1))-AVERAGE(OFFSET($H$3,0,0,'Données projet'!$E$14+1,1))</f>
        <v>150.06600397498823</v>
      </c>
      <c r="DU161" s="59">
        <f t="shared" si="152"/>
        <v>170.53034305929714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1.5620066175258984</v>
      </c>
      <c r="EB161" s="21">
        <f>EXP(-LN(2)/25)*EB160+(1-EXP(-LN(2)/25))/(LN(2)/25)*Calculateur!DW161*Calculateur!DY161*VLOOKUP('Données projet'!$B$14,Paramètres!$A$1:$I$89,3,0)*0.475*44/12</f>
        <v>1.7297264426574119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3.2917330601833106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294.94285920643927</v>
      </c>
      <c r="T162" s="59">
        <f t="shared" si="142"/>
        <v>399.89535338426606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19.418631445359097</v>
      </c>
      <c r="AA162" s="21">
        <f>EXP(-LN(2)/25)*AA161+(1-EXP(-LN(2)/25))/(LN(2)/25)*Calculateur!V162*Calculateur!X162*VLOOKUP('Données projet'!$B$9,Paramètres!$A$1:$I$89,3,0)*0.475*44/12</f>
        <v>8.8578914381975729</v>
      </c>
      <c r="AB162" s="21">
        <f>EXP(-LN(2)/2)*AB161+(1-EXP(-LN(2)/2))/(LN(2)/2)*V162*Y162*VLOOKUP('Données projet'!$B$9,Paramètres!$A$1:$I$89,3,0)*0.475*44/12</f>
        <v>3.3255864184401332E-19</v>
      </c>
      <c r="AC162" s="22">
        <f t="shared" si="163"/>
        <v>28.27652288355667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-1.0197709343628959E-13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200.14675249215634</v>
      </c>
      <c r="AO162" s="59">
        <f t="shared" si="144"/>
        <v>200.55017434999968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18.261181757895493</v>
      </c>
      <c r="AV162" s="21">
        <f>EXP(-LN(2)/25)*AV161+(1-EXP(-LN(2)/25))/(LN(2)/25)*Calculateur!AQ162*Calculateur!AS162*VLOOKUP('Données projet'!$B$10,Paramètres!$A$1:$I$89,3,0)*0.475*44/12</f>
        <v>2.3221353517006493</v>
      </c>
      <c r="AW162" s="21">
        <f>EXP(-LN(2)/2)*AW161+(1-EXP(-LN(2)/2))/(LN(2)/2)*AQ162*AT162*VLOOKUP('Données projet'!$B$10,Paramètres!$A$1:$I$89,3,0)*0.475*44/12</f>
        <v>4.0147701897733765E-14</v>
      </c>
      <c r="AX162" s="21">
        <f t="shared" si="166"/>
        <v>20.58331710959618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-1.4210854715202004E-13</v>
      </c>
      <c r="BE162" s="13">
        <f>BD162*VLOOKUP('Données projet'!$B$11,Paramètres!$A$1:$I$89,3,0)*VLOOKUP('Données projet'!$B$11,Paramètres!$A$1:$I$89,5,0)</f>
        <v>-8.128608897095547E-14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182.46132340647313</v>
      </c>
      <c r="BJ162" s="59">
        <f t="shared" si="146"/>
        <v>130.51706975490481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35.070979026890754</v>
      </c>
      <c r="BQ162" s="21">
        <f>EXP(-LN(2)/25)*BQ161+(1-EXP(-LN(2)/25))/(LN(2)/25)*Calculateur!BL162*Calculateur!BN162*VLOOKUP('Données projet'!$B$11,Paramètres!$A$1:$I$89,3,0)*0.475*44/12</f>
        <v>5.4315531085526247</v>
      </c>
      <c r="BR162" s="21">
        <f>EXP(-LN(2)/2)*BR161+(1-EXP(-LN(2)/2))/(LN(2)/2)*BL162*BO162*VLOOKUP('Données projet'!$B$11,Paramètres!$A$1:$I$89,3,0)*0.475*44/12</f>
        <v>6.4749248968368094E-8</v>
      </c>
      <c r="BS162" s="22">
        <f t="shared" si="169"/>
        <v>40.502532200192633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735.00000000000011</v>
      </c>
      <c r="BZ162" s="13">
        <f>BY162*VLOOKUP('Données projet'!$B$12,Paramètres!$A$1:$I$89,3,0)*VLOOKUP('Données projet'!$B$12,Paramètres!$A$1:$I$89,5,0)</f>
        <v>296.20500000000004</v>
      </c>
      <c r="CA162" s="13">
        <f t="shared" si="170"/>
        <v>70.380297204000939</v>
      </c>
      <c r="CB162" s="20">
        <f t="shared" si="171"/>
        <v>638.46939263030174</v>
      </c>
      <c r="CC162" s="59">
        <f t="shared" si="119"/>
        <v>931.80272596363511</v>
      </c>
      <c r="CD162" s="59">
        <f ca="1">AVERAGE(OFFSET($CC$3,0,0,'Données projet'!$E$12+1,1))-AVERAGE(OFFSET($H$3,0,0,'Données projet'!$E$12+1,1))</f>
        <v>291.0962681460345</v>
      </c>
      <c r="CE162" s="59">
        <f t="shared" si="148"/>
        <v>240.28311826371385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10.823712627294547</v>
      </c>
      <c r="CL162" s="21">
        <f>EXP(-LN(2)/25)*CL161+(1-EXP(-LN(2)/25))/(LN(2)/25)*Calculateur!CG162*Calculateur!CI162*VLOOKUP('Données projet'!$B$12,Paramètres!$A$1:$I$89,3,0)*0.475*44/12</f>
        <v>2.4451782578821613</v>
      </c>
      <c r="CM162" s="21">
        <f>EXP(-LN(2)/2)*CM161+(1-EXP(-LN(2)/2))/(LN(2)/2)*CG162*CJ162*VLOOKUP('Données projet'!$B$12,Paramètres!$A$1:$I$89,3,0)*0.475*44/12</f>
        <v>7.8089521823926616E-13</v>
      </c>
      <c r="CN162" s="22">
        <f t="shared" si="172"/>
        <v>13.268890885177491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-5.3205440053716299E-14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225.92546546283018</v>
      </c>
      <c r="CZ162" s="59">
        <f t="shared" si="150"/>
        <v>309.38786160614563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12.678569130103508</v>
      </c>
      <c r="DG162" s="21">
        <f>EXP(-LN(2)/25)*DG161+(1-EXP(-LN(2)/25))/(LN(2)/25)*Calculateur!DB162*Calculateur!DD162*VLOOKUP('Données projet'!$B$13,Paramètres!$A$1:$I$89,3,0)*0.475*44/12</f>
        <v>5.6238971391424908</v>
      </c>
      <c r="DH162" s="21">
        <f>EXP(-LN(2)/2)*DH161+(1-EXP(-LN(2)/2))/(LN(2)/2)*DB162*DE162*VLOOKUP('Données projet'!$B$13,Paramètres!$A$1:$I$89,3,0)*0.475*44/12</f>
        <v>9.2329707664154433E-20</v>
      </c>
      <c r="DI162" s="22">
        <f t="shared" si="175"/>
        <v>18.302466269245997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168</v>
      </c>
      <c r="DP162" s="17">
        <f>DO162*VLOOKUP('Données projet'!$B$14,Paramètres!$A$1:$I$89,3,0)*VLOOKUP('Données projet'!$B$14,Paramètres!$A$1:$I$89,5,0)</f>
        <v>146.76480000000004</v>
      </c>
      <c r="DQ162" s="13">
        <f t="shared" si="176"/>
        <v>37.842444439956665</v>
      </c>
      <c r="DR162" s="20">
        <f t="shared" si="177"/>
        <v>321.52428406625791</v>
      </c>
      <c r="DS162" s="59">
        <f t="shared" si="125"/>
        <v>614.85761739959116</v>
      </c>
      <c r="DT162" s="59">
        <f ca="1">AVERAGE(OFFSET($DS$3,0,0,'Données projet'!$E$14+1,1))-AVERAGE(OFFSET($H$3,0,0,'Données projet'!$E$14+1,1))</f>
        <v>150.06600397498823</v>
      </c>
      <c r="DU162" s="59">
        <f t="shared" si="152"/>
        <v>170.53034305929714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1.5313766204861781</v>
      </c>
      <c r="EB162" s="21">
        <f>EXP(-LN(2)/25)*EB161+(1-EXP(-LN(2)/25))/(LN(2)/25)*Calculateur!DW162*Calculateur!DY162*VLOOKUP('Données projet'!$B$14,Paramètres!$A$1:$I$89,3,0)*0.475*44/12</f>
        <v>1.6824269821205848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3.2138036026067631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294.94285920643927</v>
      </c>
      <c r="T163" s="59">
        <f t="shared" si="142"/>
        <v>399.89535338426606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19.037843926911268</v>
      </c>
      <c r="AA163" s="21">
        <f>EXP(-LN(2)/25)*AA162+(1-EXP(-LN(2)/25))/(LN(2)/25)*Calculateur!V163*Calculateur!X163*VLOOKUP('Données projet'!$B$9,Paramètres!$A$1:$I$89,3,0)*0.475*44/12</f>
        <v>8.6156719310037939</v>
      </c>
      <c r="AB163" s="21">
        <f>EXP(-LN(2)/2)*AB162+(1-EXP(-LN(2)/2))/(LN(2)/2)*V163*Y163*VLOOKUP('Données projet'!$B$9,Paramètres!$A$1:$I$89,3,0)*0.475*44/12</f>
        <v>2.3515447079009016E-19</v>
      </c>
      <c r="AC163" s="22">
        <f t="shared" si="163"/>
        <v>27.65351585791506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-1.0197709343628959E-13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200.14675249215634</v>
      </c>
      <c r="AO163" s="59">
        <f t="shared" si="144"/>
        <v>200.55017434999968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17.903091121844227</v>
      </c>
      <c r="AV163" s="21">
        <f>EXP(-LN(2)/25)*AV162+(1-EXP(-LN(2)/25))/(LN(2)/25)*Calculateur!AQ163*Calculateur!AS163*VLOOKUP('Données projet'!$B$10,Paramètres!$A$1:$I$89,3,0)*0.475*44/12</f>
        <v>2.2586364383926041</v>
      </c>
      <c r="AW163" s="21">
        <f>EXP(-LN(2)/2)*AW162+(1-EXP(-LN(2)/2))/(LN(2)/2)*AQ163*AT163*VLOOKUP('Données projet'!$B$10,Paramètres!$A$1:$I$89,3,0)*0.475*44/12</f>
        <v>2.838871226094357E-14</v>
      </c>
      <c r="AX163" s="21">
        <f t="shared" si="166"/>
        <v>20.161727560236859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-1.4210854715202004E-13</v>
      </c>
      <c r="BE163" s="13">
        <f>BD163*VLOOKUP('Données projet'!$B$11,Paramètres!$A$1:$I$89,3,0)*VLOOKUP('Données projet'!$B$11,Paramètres!$A$1:$I$89,5,0)</f>
        <v>-8.128608897095547E-14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182.46132340647313</v>
      </c>
      <c r="BJ163" s="59">
        <f t="shared" si="146"/>
        <v>130.51706975490481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34.383258519358428</v>
      </c>
      <c r="BQ163" s="21">
        <f>EXP(-LN(2)/25)*BQ162+(1-EXP(-LN(2)/25))/(LN(2)/25)*Calculateur!BL163*Calculateur!BN163*VLOOKUP('Données projet'!$B$11,Paramètres!$A$1:$I$89,3,0)*0.475*44/12</f>
        <v>5.2830270031662891</v>
      </c>
      <c r="BR163" s="21">
        <f>EXP(-LN(2)/2)*BR162+(1-EXP(-LN(2)/2))/(LN(2)/2)*BL163*BO163*VLOOKUP('Données projet'!$B$11,Paramètres!$A$1:$I$89,3,0)*0.475*44/12</f>
        <v>4.5784633022269146E-8</v>
      </c>
      <c r="BS163" s="22">
        <f t="shared" si="169"/>
        <v>39.666285568309348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735.00000000000011</v>
      </c>
      <c r="BZ163" s="13">
        <f>BY163*VLOOKUP('Données projet'!$B$12,Paramètres!$A$1:$I$89,3,0)*VLOOKUP('Données projet'!$B$12,Paramètres!$A$1:$I$89,5,0)</f>
        <v>296.20500000000004</v>
      </c>
      <c r="CA163" s="13">
        <f t="shared" si="170"/>
        <v>70.380297204000939</v>
      </c>
      <c r="CB163" s="20">
        <f t="shared" si="171"/>
        <v>638.46939263030174</v>
      </c>
      <c r="CC163" s="59">
        <f t="shared" si="119"/>
        <v>931.80272596363511</v>
      </c>
      <c r="CD163" s="59">
        <f ca="1">AVERAGE(OFFSET($CC$3,0,0,'Données projet'!$E$12+1,1))-AVERAGE(OFFSET($H$3,0,0,'Données projet'!$E$12+1,1))</f>
        <v>291.0962681460345</v>
      </c>
      <c r="CE163" s="59">
        <f t="shared" si="148"/>
        <v>240.28311826371385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10.611466224486129</v>
      </c>
      <c r="CL163" s="21">
        <f>EXP(-LN(2)/25)*CL162+(1-EXP(-LN(2)/25))/(LN(2)/25)*Calculateur!CG163*Calculateur!CI163*VLOOKUP('Données projet'!$B$12,Paramètres!$A$1:$I$89,3,0)*0.475*44/12</f>
        <v>2.3783147298340377</v>
      </c>
      <c r="CM163" s="21">
        <f>EXP(-LN(2)/2)*CM162+(1-EXP(-LN(2)/2))/(LN(2)/2)*CG163*CJ163*VLOOKUP('Données projet'!$B$12,Paramètres!$A$1:$I$89,3,0)*0.475*44/12</f>
        <v>5.5217630421313405E-13</v>
      </c>
      <c r="CN163" s="22">
        <f t="shared" si="172"/>
        <v>12.98978095432072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-5.3205440053716299E-14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225.92546546283018</v>
      </c>
      <c r="CZ163" s="59">
        <f t="shared" si="150"/>
        <v>309.38786160614563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12.429950122625762</v>
      </c>
      <c r="DG163" s="21">
        <f>EXP(-LN(2)/25)*DG162+(1-EXP(-LN(2)/25))/(LN(2)/25)*Calculateur!DB163*Calculateur!DD163*VLOOKUP('Données projet'!$B$13,Paramètres!$A$1:$I$89,3,0)*0.475*44/12</f>
        <v>5.4701113761247422</v>
      </c>
      <c r="DH163" s="21">
        <f>EXP(-LN(2)/2)*DH162+(1-EXP(-LN(2)/2))/(LN(2)/2)*DB163*DE163*VLOOKUP('Données projet'!$B$13,Paramètres!$A$1:$I$89,3,0)*0.475*44/12</f>
        <v>6.5286962394295148E-20</v>
      </c>
      <c r="DI163" s="22">
        <f t="shared" si="175"/>
        <v>17.900061498750503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168</v>
      </c>
      <c r="DP163" s="17">
        <f>DO163*VLOOKUP('Données projet'!$B$14,Paramètres!$A$1:$I$89,3,0)*VLOOKUP('Données projet'!$B$14,Paramètres!$A$1:$I$89,5,0)</f>
        <v>146.76480000000004</v>
      </c>
      <c r="DQ163" s="13">
        <f t="shared" si="176"/>
        <v>37.842444439956665</v>
      </c>
      <c r="DR163" s="20">
        <f t="shared" si="177"/>
        <v>321.52428406625791</v>
      </c>
      <c r="DS163" s="59">
        <f t="shared" si="125"/>
        <v>614.85761739959116</v>
      </c>
      <c r="DT163" s="59">
        <f ca="1">AVERAGE(OFFSET($DS$3,0,0,'Données projet'!$E$14+1,1))-AVERAGE(OFFSET($H$3,0,0,'Données projet'!$E$14+1,1))</f>
        <v>150.06600397498823</v>
      </c>
      <c r="DU163" s="59">
        <f t="shared" si="152"/>
        <v>170.53034305929714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1.5013472590059531</v>
      </c>
      <c r="EB163" s="21">
        <f>EXP(-LN(2)/25)*EB162+(1-EXP(-LN(2)/25))/(LN(2)/25)*Calculateur!DW163*Calculateur!DY163*VLOOKUP('Données projet'!$B$14,Paramètres!$A$1:$I$89,3,0)*0.475*44/12</f>
        <v>1.6364209278195077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3.1377681868254608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294.94285920643927</v>
      </c>
      <c r="T164" s="59">
        <f t="shared" si="142"/>
        <v>399.89535338426606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18.664523419442752</v>
      </c>
      <c r="AA164" s="21">
        <f>EXP(-LN(2)/25)*AA163+(1-EXP(-LN(2)/25))/(LN(2)/25)*Calculateur!V164*Calculateur!X164*VLOOKUP('Données projet'!$B$9,Paramètres!$A$1:$I$89,3,0)*0.475*44/12</f>
        <v>8.3800759289719995</v>
      </c>
      <c r="AB164" s="21">
        <f>EXP(-LN(2)/2)*AB163+(1-EXP(-LN(2)/2))/(LN(2)/2)*V164*Y164*VLOOKUP('Données projet'!$B$9,Paramètres!$A$1:$I$89,3,0)*0.475*44/12</f>
        <v>1.6627932092200666E-19</v>
      </c>
      <c r="AC164" s="22">
        <f t="shared" si="163"/>
        <v>27.044599348414749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-1.0197709343628959E-13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200.14675249215634</v>
      </c>
      <c r="AO164" s="59">
        <f t="shared" si="144"/>
        <v>200.55017434999968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17.552022424752206</v>
      </c>
      <c r="AV164" s="21">
        <f>EXP(-LN(2)/25)*AV163+(1-EXP(-LN(2)/25))/(LN(2)/25)*Calculateur!AQ164*Calculateur!AS164*VLOOKUP('Données projet'!$B$10,Paramètres!$A$1:$I$89,3,0)*0.475*44/12</f>
        <v>2.1968739062082303</v>
      </c>
      <c r="AW164" s="21">
        <f>EXP(-LN(2)/2)*AW163+(1-EXP(-LN(2)/2))/(LN(2)/2)*AQ164*AT164*VLOOKUP('Données projet'!$B$10,Paramètres!$A$1:$I$89,3,0)*0.475*44/12</f>
        <v>2.0073850948866886E-14</v>
      </c>
      <c r="AX164" s="21">
        <f t="shared" si="166"/>
        <v>19.748896330960456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-1.4210854715202004E-13</v>
      </c>
      <c r="BE164" s="13">
        <f>BD164*VLOOKUP('Données projet'!$B$11,Paramètres!$A$1:$I$89,3,0)*VLOOKUP('Données projet'!$B$11,Paramètres!$A$1:$I$89,5,0)</f>
        <v>-8.128608897095547E-14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182.46132340647313</v>
      </c>
      <c r="BJ164" s="59">
        <f t="shared" si="146"/>
        <v>130.51706975490481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33.709023791510724</v>
      </c>
      <c r="BQ164" s="21">
        <f>EXP(-LN(2)/25)*BQ163+(1-EXP(-LN(2)/25))/(LN(2)/25)*Calculateur!BL164*Calculateur!BN164*VLOOKUP('Données projet'!$B$11,Paramètres!$A$1:$I$89,3,0)*0.475*44/12</f>
        <v>5.1385623519423911</v>
      </c>
      <c r="BR164" s="21">
        <f>EXP(-LN(2)/2)*BR163+(1-EXP(-LN(2)/2))/(LN(2)/2)*BL164*BO164*VLOOKUP('Données projet'!$B$11,Paramètres!$A$1:$I$89,3,0)*0.475*44/12</f>
        <v>3.2374624484184047E-8</v>
      </c>
      <c r="BS164" s="22">
        <f t="shared" si="169"/>
        <v>38.847586175827736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735.00000000000011</v>
      </c>
      <c r="BZ164" s="13">
        <f>BY164*VLOOKUP('Données projet'!$B$12,Paramètres!$A$1:$I$89,3,0)*VLOOKUP('Données projet'!$B$12,Paramètres!$A$1:$I$89,5,0)</f>
        <v>296.20500000000004</v>
      </c>
      <c r="CA164" s="13">
        <f t="shared" si="170"/>
        <v>70.380297204000939</v>
      </c>
      <c r="CB164" s="20">
        <f t="shared" si="171"/>
        <v>638.46939263030174</v>
      </c>
      <c r="CC164" s="59">
        <f t="shared" si="119"/>
        <v>931.80272596363511</v>
      </c>
      <c r="CD164" s="59">
        <f ca="1">AVERAGE(OFFSET($CC$3,0,0,'Données projet'!$E$12+1,1))-AVERAGE(OFFSET($H$3,0,0,'Données projet'!$E$12+1,1))</f>
        <v>291.0962681460345</v>
      </c>
      <c r="CE164" s="59">
        <f t="shared" si="148"/>
        <v>240.28311826371385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10.403381844179261</v>
      </c>
      <c r="CL164" s="21">
        <f>EXP(-LN(2)/25)*CL163+(1-EXP(-LN(2)/25))/(LN(2)/25)*Calculateur!CG164*Calculateur!CI164*VLOOKUP('Données projet'!$B$12,Paramètres!$A$1:$I$89,3,0)*0.475*44/12</f>
        <v>2.3132795884765902</v>
      </c>
      <c r="CM164" s="21">
        <f>EXP(-LN(2)/2)*CM163+(1-EXP(-LN(2)/2))/(LN(2)/2)*CG164*CJ164*VLOOKUP('Données projet'!$B$12,Paramètres!$A$1:$I$89,3,0)*0.475*44/12</f>
        <v>3.9044760911963308E-13</v>
      </c>
      <c r="CN164" s="22">
        <f t="shared" si="172"/>
        <v>12.716661432656242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-5.3205440053716299E-14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225.92546546283018</v>
      </c>
      <c r="CZ164" s="59">
        <f t="shared" si="150"/>
        <v>309.38786160614563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12.186206382242032</v>
      </c>
      <c r="DG164" s="21">
        <f>EXP(-LN(2)/25)*DG163+(1-EXP(-LN(2)/25))/(LN(2)/25)*Calculateur!DB164*Calculateur!DD164*VLOOKUP('Données projet'!$B$13,Paramètres!$A$1:$I$89,3,0)*0.475*44/12</f>
        <v>5.3205308928839559</v>
      </c>
      <c r="DH164" s="21">
        <f>EXP(-LN(2)/2)*DH163+(1-EXP(-LN(2)/2))/(LN(2)/2)*DB164*DE164*VLOOKUP('Données projet'!$B$13,Paramètres!$A$1:$I$89,3,0)*0.475*44/12</f>
        <v>4.6164853832077217E-20</v>
      </c>
      <c r="DI164" s="22">
        <f t="shared" si="175"/>
        <v>17.506737275125989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168</v>
      </c>
      <c r="DP164" s="17">
        <f>DO164*VLOOKUP('Données projet'!$B$14,Paramètres!$A$1:$I$89,3,0)*VLOOKUP('Données projet'!$B$14,Paramètres!$A$1:$I$89,5,0)</f>
        <v>146.76480000000004</v>
      </c>
      <c r="DQ164" s="13">
        <f t="shared" si="176"/>
        <v>37.842444439956665</v>
      </c>
      <c r="DR164" s="20">
        <f t="shared" si="177"/>
        <v>321.52428406625791</v>
      </c>
      <c r="DS164" s="59">
        <f t="shared" si="125"/>
        <v>614.85761739959116</v>
      </c>
      <c r="DT164" s="59">
        <f ca="1">AVERAGE(OFFSET($DS$3,0,0,'Données projet'!$E$14+1,1))-AVERAGE(OFFSET($H$3,0,0,'Données projet'!$E$14+1,1))</f>
        <v>150.06600397498823</v>
      </c>
      <c r="DU164" s="59">
        <f t="shared" si="152"/>
        <v>170.53034305929714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1.4719067549882534</v>
      </c>
      <c r="EB164" s="21">
        <f>EXP(-LN(2)/25)*EB163+(1-EXP(-LN(2)/25))/(LN(2)/25)*Calculateur!DW164*Calculateur!DY164*VLOOKUP('Données projet'!$B$14,Paramètres!$A$1:$I$89,3,0)*0.475*44/12</f>
        <v>1.5916729114926467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3.0635796664809001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294.94285920643927</v>
      </c>
      <c r="T165" s="59">
        <f t="shared" si="142"/>
        <v>399.89535338426606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18.298523499422664</v>
      </c>
      <c r="AA165" s="21">
        <f>EXP(-LN(2)/25)*AA164+(1-EXP(-LN(2)/25))/(LN(2)/25)*Calculateur!V165*Calculateur!X165*VLOOKUP('Données projet'!$B$9,Paramètres!$A$1:$I$89,3,0)*0.475*44/12</f>
        <v>8.1509223120052194</v>
      </c>
      <c r="AB165" s="21">
        <f>EXP(-LN(2)/2)*AB164+(1-EXP(-LN(2)/2))/(LN(2)/2)*V165*Y165*VLOOKUP('Données projet'!$B$9,Paramètres!$A$1:$I$89,3,0)*0.475*44/12</f>
        <v>1.1757723539504508E-19</v>
      </c>
      <c r="AC165" s="22">
        <f t="shared" si="163"/>
        <v>26.449445811427886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-1.0197709343628959E-13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200.14675249215634</v>
      </c>
      <c r="AO165" s="59">
        <f t="shared" si="144"/>
        <v>200.55017434999968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17.207837970679396</v>
      </c>
      <c r="AV165" s="21">
        <f>EXP(-LN(2)/25)*AV164+(1-EXP(-LN(2)/25))/(LN(2)/25)*Calculateur!AQ165*Calculateur!AS165*VLOOKUP('Données projet'!$B$10,Paramètres!$A$1:$I$89,3,0)*0.475*44/12</f>
        <v>2.1368002737143885</v>
      </c>
      <c r="AW165" s="21">
        <f>EXP(-LN(2)/2)*AW164+(1-EXP(-LN(2)/2))/(LN(2)/2)*AQ165*AT165*VLOOKUP('Données projet'!$B$10,Paramètres!$A$1:$I$89,3,0)*0.475*44/12</f>
        <v>1.4194356130471787E-14</v>
      </c>
      <c r="AX165" s="21">
        <f t="shared" si="166"/>
        <v>19.344638244393799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-1.4210854715202004E-13</v>
      </c>
      <c r="BE165" s="13">
        <f>BD165*VLOOKUP('Données projet'!$B$11,Paramètres!$A$1:$I$89,3,0)*VLOOKUP('Données projet'!$B$11,Paramètres!$A$1:$I$89,5,0)</f>
        <v>-8.128608897095547E-14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182.46132340647313</v>
      </c>
      <c r="BJ165" s="59">
        <f t="shared" si="146"/>
        <v>130.51706975490481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33.048010395433536</v>
      </c>
      <c r="BQ165" s="21">
        <f>EXP(-LN(2)/25)*BQ164+(1-EXP(-LN(2)/25))/(LN(2)/25)*Calculateur!BL165*Calculateur!BN165*VLOOKUP('Données projet'!$B$11,Paramètres!$A$1:$I$89,3,0)*0.475*44/12</f>
        <v>4.998048094203277</v>
      </c>
      <c r="BR165" s="21">
        <f>EXP(-LN(2)/2)*BR164+(1-EXP(-LN(2)/2))/(LN(2)/2)*BL165*BO165*VLOOKUP('Données projet'!$B$11,Paramètres!$A$1:$I$89,3,0)*0.475*44/12</f>
        <v>2.2892316511134573E-8</v>
      </c>
      <c r="BS165" s="22">
        <f t="shared" si="169"/>
        <v>38.046058512529129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735.00000000000011</v>
      </c>
      <c r="BZ165" s="13">
        <f>BY165*VLOOKUP('Données projet'!$B$12,Paramètres!$A$1:$I$89,3,0)*VLOOKUP('Données projet'!$B$12,Paramètres!$A$1:$I$89,5,0)</f>
        <v>296.20500000000004</v>
      </c>
      <c r="CA165" s="13">
        <f t="shared" si="170"/>
        <v>70.380297204000939</v>
      </c>
      <c r="CB165" s="20">
        <f t="shared" si="171"/>
        <v>638.46939263030174</v>
      </c>
      <c r="CC165" s="59">
        <f t="shared" si="119"/>
        <v>931.80272596363511</v>
      </c>
      <c r="CD165" s="59">
        <f ca="1">AVERAGE(OFFSET($CC$3,0,0,'Données projet'!$E$12+1,1))-AVERAGE(OFFSET($H$3,0,0,'Données projet'!$E$12+1,1))</f>
        <v>291.0962681460345</v>
      </c>
      <c r="CE165" s="59">
        <f t="shared" si="148"/>
        <v>240.28311826371385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10.19937787165127</v>
      </c>
      <c r="CL165" s="21">
        <f>EXP(-LN(2)/25)*CL164+(1-EXP(-LN(2)/25))/(LN(2)/25)*Calculateur!CG165*Calculateur!CI165*VLOOKUP('Données projet'!$B$12,Paramètres!$A$1:$I$89,3,0)*0.475*44/12</f>
        <v>2.2500228364796113</v>
      </c>
      <c r="CM165" s="21">
        <f>EXP(-LN(2)/2)*CM164+(1-EXP(-LN(2)/2))/(LN(2)/2)*CG165*CJ165*VLOOKUP('Données projet'!$B$12,Paramètres!$A$1:$I$89,3,0)*0.475*44/12</f>
        <v>2.7608815210656702E-13</v>
      </c>
      <c r="CN165" s="22">
        <f t="shared" si="172"/>
        <v>12.449400708131156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-5.3205440053716299E-14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225.92546546283018</v>
      </c>
      <c r="CZ165" s="59">
        <f t="shared" si="150"/>
        <v>309.38786160614563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11.947242307938225</v>
      </c>
      <c r="DG165" s="21">
        <f>EXP(-LN(2)/25)*DG164+(1-EXP(-LN(2)/25))/(LN(2)/25)*Calculateur!DB165*Calculateur!DD165*VLOOKUP('Données projet'!$B$13,Paramètres!$A$1:$I$89,3,0)*0.475*44/12</f>
        <v>5.1750406958234842</v>
      </c>
      <c r="DH165" s="21">
        <f>EXP(-LN(2)/2)*DH164+(1-EXP(-LN(2)/2))/(LN(2)/2)*DB165*DE165*VLOOKUP('Données projet'!$B$13,Paramètres!$A$1:$I$89,3,0)*0.475*44/12</f>
        <v>3.2643481197147574E-20</v>
      </c>
      <c r="DI165" s="22">
        <f t="shared" si="175"/>
        <v>17.122283003761709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168</v>
      </c>
      <c r="DP165" s="17">
        <f>DO165*VLOOKUP('Données projet'!$B$14,Paramètres!$A$1:$I$89,3,0)*VLOOKUP('Données projet'!$B$14,Paramètres!$A$1:$I$89,5,0)</f>
        <v>146.76480000000004</v>
      </c>
      <c r="DQ165" s="13">
        <f t="shared" si="176"/>
        <v>37.842444439956665</v>
      </c>
      <c r="DR165" s="20">
        <f t="shared" si="177"/>
        <v>321.52428406625791</v>
      </c>
      <c r="DS165" s="59">
        <f t="shared" si="125"/>
        <v>614.85761739959116</v>
      </c>
      <c r="DT165" s="59">
        <f ca="1">AVERAGE(OFFSET($DS$3,0,0,'Données projet'!$E$14+1,1))-AVERAGE(OFFSET($H$3,0,0,'Données projet'!$E$14+1,1))</f>
        <v>150.06600397498823</v>
      </c>
      <c r="DU165" s="59">
        <f t="shared" si="152"/>
        <v>170.53034305929714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1.4430435612974064</v>
      </c>
      <c r="EB165" s="21">
        <f>EXP(-LN(2)/25)*EB164+(1-EXP(-LN(2)/25))/(LN(2)/25)*Calculateur!DW165*Calculateur!DY165*VLOOKUP('Données projet'!$B$14,Paramètres!$A$1:$I$89,3,0)*0.475*44/12</f>
        <v>1.5481485320254396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2.9911920933228462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294.94285920643927</v>
      </c>
      <c r="T166" s="59">
        <f t="shared" si="142"/>
        <v>399.89535338426606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17.939700614596262</v>
      </c>
      <c r="AA166" s="21">
        <f>EXP(-LN(2)/25)*AA165+(1-EXP(-LN(2)/25))/(LN(2)/25)*Calculateur!V166*Calculateur!X166*VLOOKUP('Données projet'!$B$9,Paramètres!$A$1:$I$89,3,0)*0.475*44/12</f>
        <v>7.9280349127450611</v>
      </c>
      <c r="AB166" s="21">
        <f>EXP(-LN(2)/2)*AB165+(1-EXP(-LN(2)/2))/(LN(2)/2)*V166*Y166*VLOOKUP('Données projet'!$B$9,Paramètres!$A$1:$I$89,3,0)*0.475*44/12</f>
        <v>8.3139660461003331E-20</v>
      </c>
      <c r="AC166" s="22">
        <f t="shared" si="163"/>
        <v>25.867735527341324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-1.0197709343628959E-13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200.14675249215634</v>
      </c>
      <c r="AO166" s="59">
        <f t="shared" si="144"/>
        <v>200.55017434999968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16.870402763819165</v>
      </c>
      <c r="AV166" s="21">
        <f>EXP(-LN(2)/25)*AV165+(1-EXP(-LN(2)/25))/(LN(2)/25)*Calculateur!AQ166*Calculateur!AS166*VLOOKUP('Données projet'!$B$10,Paramètres!$A$1:$I$89,3,0)*0.475*44/12</f>
        <v>2.0783693578602258</v>
      </c>
      <c r="AW166" s="21">
        <f>EXP(-LN(2)/2)*AW165+(1-EXP(-LN(2)/2))/(LN(2)/2)*AQ166*AT166*VLOOKUP('Données projet'!$B$10,Paramètres!$A$1:$I$89,3,0)*0.475*44/12</f>
        <v>1.0036925474433444E-14</v>
      </c>
      <c r="AX166" s="21">
        <f t="shared" si="166"/>
        <v>18.948772121679401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-1.4210854715202004E-13</v>
      </c>
      <c r="BE166" s="13">
        <f>BD166*VLOOKUP('Données projet'!$B$11,Paramètres!$A$1:$I$89,3,0)*VLOOKUP('Données projet'!$B$11,Paramètres!$A$1:$I$89,5,0)</f>
        <v>-8.128608897095547E-14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182.46132340647313</v>
      </c>
      <c r="BJ166" s="59">
        <f t="shared" si="146"/>
        <v>130.51706975490481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32.399959068875056</v>
      </c>
      <c r="BQ166" s="21">
        <f>EXP(-LN(2)/25)*BQ165+(1-EXP(-LN(2)/25))/(LN(2)/25)*Calculateur!BL166*Calculateur!BN166*VLOOKUP('Données projet'!$B$11,Paramètres!$A$1:$I$89,3,0)*0.475*44/12</f>
        <v>4.8613762062313626</v>
      </c>
      <c r="BR166" s="21">
        <f>EXP(-LN(2)/2)*BR165+(1-EXP(-LN(2)/2))/(LN(2)/2)*BL166*BO166*VLOOKUP('Données projet'!$B$11,Paramètres!$A$1:$I$89,3,0)*0.475*44/12</f>
        <v>1.6187312242092023E-8</v>
      </c>
      <c r="BS166" s="22">
        <f t="shared" si="169"/>
        <v>37.261335291293733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735.00000000000011</v>
      </c>
      <c r="BZ166" s="13">
        <f>BY166*VLOOKUP('Données projet'!$B$12,Paramètres!$A$1:$I$89,3,0)*VLOOKUP('Données projet'!$B$12,Paramètres!$A$1:$I$89,5,0)</f>
        <v>296.20500000000004</v>
      </c>
      <c r="CA166" s="13">
        <f t="shared" si="170"/>
        <v>70.380297204000939</v>
      </c>
      <c r="CB166" s="20">
        <f t="shared" si="171"/>
        <v>638.46939263030174</v>
      </c>
      <c r="CC166" s="59">
        <f t="shared" si="119"/>
        <v>931.80272596363511</v>
      </c>
      <c r="CD166" s="59">
        <f ca="1">AVERAGE(OFFSET($CC$3,0,0,'Données projet'!$E$12+1,1))-AVERAGE(OFFSET($H$3,0,0,'Données projet'!$E$12+1,1))</f>
        <v>291.0962681460345</v>
      </c>
      <c r="CE166" s="59">
        <f t="shared" si="148"/>
        <v>240.28311826371385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9.9993742925944176</v>
      </c>
      <c r="CL166" s="21">
        <f>EXP(-LN(2)/25)*CL165+(1-EXP(-LN(2)/25))/(LN(2)/25)*Calculateur!CG166*Calculateur!CI166*VLOOKUP('Données projet'!$B$12,Paramètres!$A$1:$I$89,3,0)*0.475*44/12</f>
        <v>2.1884958436925177</v>
      </c>
      <c r="CM166" s="21">
        <f>EXP(-LN(2)/2)*CM165+(1-EXP(-LN(2)/2))/(LN(2)/2)*CG166*CJ166*VLOOKUP('Données projet'!$B$12,Paramètres!$A$1:$I$89,3,0)*0.475*44/12</f>
        <v>1.9522380455981654E-13</v>
      </c>
      <c r="CN166" s="22">
        <f t="shared" si="172"/>
        <v>12.187870136287131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-5.3205440053716299E-14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225.92546546283018</v>
      </c>
      <c r="CZ166" s="59">
        <f t="shared" si="150"/>
        <v>309.38786160614563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11.712964173377824</v>
      </c>
      <c r="DG166" s="21">
        <f>EXP(-LN(2)/25)*DG165+(1-EXP(-LN(2)/25))/(LN(2)/25)*Calculateur!DB166*Calculateur!DD166*VLOOKUP('Données projet'!$B$13,Paramètres!$A$1:$I$89,3,0)*0.475*44/12</f>
        <v>5.0335289358526287</v>
      </c>
      <c r="DH166" s="21">
        <f>EXP(-LN(2)/2)*DH165+(1-EXP(-LN(2)/2))/(LN(2)/2)*DB166*DE166*VLOOKUP('Données projet'!$B$13,Paramètres!$A$1:$I$89,3,0)*0.475*44/12</f>
        <v>2.3082426916038608E-20</v>
      </c>
      <c r="DI166" s="22">
        <f t="shared" si="175"/>
        <v>16.746493109230453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168</v>
      </c>
      <c r="DP166" s="17">
        <f>DO166*VLOOKUP('Données projet'!$B$14,Paramètres!$A$1:$I$89,3,0)*VLOOKUP('Données projet'!$B$14,Paramètres!$A$1:$I$89,5,0)</f>
        <v>146.76480000000004</v>
      </c>
      <c r="DQ166" s="13">
        <f t="shared" si="176"/>
        <v>37.842444439956665</v>
      </c>
      <c r="DR166" s="20">
        <f t="shared" si="177"/>
        <v>321.52428406625791</v>
      </c>
      <c r="DS166" s="59">
        <f t="shared" si="125"/>
        <v>614.85761739959116</v>
      </c>
      <c r="DT166" s="59">
        <f ca="1">AVERAGE(OFFSET($DS$3,0,0,'Données projet'!$E$14+1,1))-AVERAGE(OFFSET($H$3,0,0,'Données projet'!$E$14+1,1))</f>
        <v>150.06600397498823</v>
      </c>
      <c r="DU166" s="59">
        <f t="shared" si="152"/>
        <v>170.53034305929714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1.4147463572300272</v>
      </c>
      <c r="EB166" s="21">
        <f>EXP(-LN(2)/25)*EB165+(1-EXP(-LN(2)/25))/(LN(2)/25)*Calculateur!DW166*Calculateur!DY166*VLOOKUP('Données projet'!$B$14,Paramètres!$A$1:$I$89,3,0)*0.475*44/12</f>
        <v>1.505814329003611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2.920560686233638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294.94285920643927</v>
      </c>
      <c r="T167" s="59">
        <f t="shared" si="142"/>
        <v>399.89535338426606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17.587914027680959</v>
      </c>
      <c r="AA167" s="21">
        <f>EXP(-LN(2)/25)*AA166+(1-EXP(-LN(2)/25))/(LN(2)/25)*Calculateur!V167*Calculateur!X167*VLOOKUP('Données projet'!$B$9,Paramètres!$A$1:$I$89,3,0)*0.475*44/12</f>
        <v>7.7112423811388116</v>
      </c>
      <c r="AB167" s="21">
        <f>EXP(-LN(2)/2)*AB166+(1-EXP(-LN(2)/2))/(LN(2)/2)*V167*Y167*VLOOKUP('Données projet'!$B$9,Paramètres!$A$1:$I$89,3,0)*0.475*44/12</f>
        <v>5.8788617697522539E-20</v>
      </c>
      <c r="AC167" s="22">
        <f t="shared" si="163"/>
        <v>25.299156408819769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-1.0197709343628959E-13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200.14675249215634</v>
      </c>
      <c r="AO167" s="59">
        <f t="shared" si="144"/>
        <v>200.55017434999968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16.539584455550312</v>
      </c>
      <c r="AV167" s="21">
        <f>EXP(-LN(2)/25)*AV166+(1-EXP(-LN(2)/25))/(LN(2)/25)*Calculateur!AQ167*Calculateur!AS167*VLOOKUP('Données projet'!$B$10,Paramètres!$A$1:$I$89,3,0)*0.475*44/12</f>
        <v>2.0215362384728435</v>
      </c>
      <c r="AW167" s="21">
        <f>EXP(-LN(2)/2)*AW166+(1-EXP(-LN(2)/2))/(LN(2)/2)*AQ167*AT167*VLOOKUP('Données projet'!$B$10,Paramètres!$A$1:$I$89,3,0)*0.475*44/12</f>
        <v>7.0971780652358949E-15</v>
      </c>
      <c r="AX167" s="21">
        <f t="shared" si="166"/>
        <v>18.561120694023163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-1.4210854715202004E-13</v>
      </c>
      <c r="BE167" s="13">
        <f>BD167*VLOOKUP('Données projet'!$B$11,Paramètres!$A$1:$I$89,3,0)*VLOOKUP('Données projet'!$B$11,Paramètres!$A$1:$I$89,5,0)</f>
        <v>-8.128608897095547E-14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182.46132340647313</v>
      </c>
      <c r="BJ167" s="59">
        <f t="shared" si="146"/>
        <v>130.51706975490481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31.764615633558112</v>
      </c>
      <c r="BQ167" s="21">
        <f>EXP(-LN(2)/25)*BQ166+(1-EXP(-LN(2)/25))/(LN(2)/25)*Calculateur!BL167*Calculateur!BN167*VLOOKUP('Données projet'!$B$11,Paramètres!$A$1:$I$89,3,0)*0.475*44/12</f>
        <v>4.728441618223302</v>
      </c>
      <c r="BR167" s="21">
        <f>EXP(-LN(2)/2)*BR166+(1-EXP(-LN(2)/2))/(LN(2)/2)*BL167*BO167*VLOOKUP('Données projet'!$B$11,Paramètres!$A$1:$I$89,3,0)*0.475*44/12</f>
        <v>1.1446158255567287E-8</v>
      </c>
      <c r="BS167" s="22">
        <f t="shared" si="169"/>
        <v>36.493057263227577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735.00000000000011</v>
      </c>
      <c r="BZ167" s="13">
        <f>BY167*VLOOKUP('Données projet'!$B$12,Paramètres!$A$1:$I$89,3,0)*VLOOKUP('Données projet'!$B$12,Paramètres!$A$1:$I$89,5,0)</f>
        <v>296.20500000000004</v>
      </c>
      <c r="CA167" s="13">
        <f t="shared" si="170"/>
        <v>70.380297204000939</v>
      </c>
      <c r="CB167" s="20">
        <f t="shared" si="171"/>
        <v>638.46939263030174</v>
      </c>
      <c r="CC167" s="59">
        <f t="shared" si="119"/>
        <v>931.80272596363511</v>
      </c>
      <c r="CD167" s="59">
        <f ca="1">AVERAGE(OFFSET($CC$3,0,0,'Données projet'!$E$12+1,1))-AVERAGE(OFFSET($H$3,0,0,'Données projet'!$E$12+1,1))</f>
        <v>291.0962681460345</v>
      </c>
      <c r="CE167" s="59">
        <f t="shared" si="148"/>
        <v>240.28311826371385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9.8032926617327316</v>
      </c>
      <c r="CL167" s="21">
        <f>EXP(-LN(2)/25)*CL166+(1-EXP(-LN(2)/25))/(LN(2)/25)*Calculateur!CG167*Calculateur!CI167*VLOOKUP('Données projet'!$B$12,Paramètres!$A$1:$I$89,3,0)*0.475*44/12</f>
        <v>2.1286513097587512</v>
      </c>
      <c r="CM167" s="21">
        <f>EXP(-LN(2)/2)*CM166+(1-EXP(-LN(2)/2))/(LN(2)/2)*CG167*CJ167*VLOOKUP('Données projet'!$B$12,Paramètres!$A$1:$I$89,3,0)*0.475*44/12</f>
        <v>1.3804407605328351E-13</v>
      </c>
      <c r="CN167" s="22">
        <f t="shared" si="172"/>
        <v>11.931943971491622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-5.3205440053716299E-14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225.92546546283018</v>
      </c>
      <c r="CZ167" s="59">
        <f t="shared" si="150"/>
        <v>309.38786160614563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11.4832800901406</v>
      </c>
      <c r="DG167" s="21">
        <f>EXP(-LN(2)/25)*DG166+(1-EXP(-LN(2)/25))/(LN(2)/25)*Calculateur!DB167*Calculateur!DD167*VLOOKUP('Données projet'!$B$13,Paramètres!$A$1:$I$89,3,0)*0.475*44/12</f>
        <v>4.8958868223999561</v>
      </c>
      <c r="DH167" s="21">
        <f>EXP(-LN(2)/2)*DH166+(1-EXP(-LN(2)/2))/(LN(2)/2)*DB167*DE167*VLOOKUP('Données projet'!$B$13,Paramètres!$A$1:$I$89,3,0)*0.475*44/12</f>
        <v>1.6321740598573787E-20</v>
      </c>
      <c r="DI167" s="22">
        <f t="shared" si="175"/>
        <v>16.379166912540555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168</v>
      </c>
      <c r="DP167" s="17">
        <f>DO167*VLOOKUP('Données projet'!$B$14,Paramètres!$A$1:$I$89,3,0)*VLOOKUP('Données projet'!$B$14,Paramètres!$A$1:$I$89,5,0)</f>
        <v>146.76480000000004</v>
      </c>
      <c r="DQ167" s="13">
        <f t="shared" si="176"/>
        <v>37.842444439956665</v>
      </c>
      <c r="DR167" s="20">
        <f t="shared" si="177"/>
        <v>321.52428406625791</v>
      </c>
      <c r="DS167" s="59">
        <f t="shared" si="125"/>
        <v>614.85761739959116</v>
      </c>
      <c r="DT167" s="59">
        <f ca="1">AVERAGE(OFFSET($DS$3,0,0,'Données projet'!$E$14+1,1))-AVERAGE(OFFSET($H$3,0,0,'Données projet'!$E$14+1,1))</f>
        <v>150.06600397498823</v>
      </c>
      <c r="DU167" s="59">
        <f t="shared" si="152"/>
        <v>170.53034305929714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1.387004044074819</v>
      </c>
      <c r="EB167" s="21">
        <f>EXP(-LN(2)/25)*EB166+(1-EXP(-LN(2)/25))/(LN(2)/25)*Calculateur!DW167*Calculateur!DY167*VLOOKUP('Données projet'!$B$14,Paramètres!$A$1:$I$89,3,0)*0.475*44/12</f>
        <v>1.4646377569896734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2.8516418010644924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294.94285920643927</v>
      </c>
      <c r="T168" s="59">
        <f t="shared" si="142"/>
        <v>399.89535338426606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17.243025761166432</v>
      </c>
      <c r="AA168" s="21">
        <f>EXP(-LN(2)/25)*AA167+(1-EXP(-LN(2)/25))/(LN(2)/25)*Calculateur!V168*Calculateur!X168*VLOOKUP('Données projet'!$B$9,Paramètres!$A$1:$I$89,3,0)*0.475*44/12</f>
        <v>7.5003780527099586</v>
      </c>
      <c r="AB168" s="21">
        <f>EXP(-LN(2)/2)*AB167+(1-EXP(-LN(2)/2))/(LN(2)/2)*V168*Y168*VLOOKUP('Données projet'!$B$9,Paramètres!$A$1:$I$89,3,0)*0.475*44/12</f>
        <v>4.1569830230501665E-20</v>
      </c>
      <c r="AC168" s="22">
        <f t="shared" si="163"/>
        <v>24.743403813876391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-1.0197709343628959E-13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200.14675249215634</v>
      </c>
      <c r="AO168" s="59">
        <f t="shared" si="144"/>
        <v>200.55017434999968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16.215253292527365</v>
      </c>
      <c r="AV168" s="21">
        <f>EXP(-LN(2)/25)*AV167+(1-EXP(-LN(2)/25))/(LN(2)/25)*Calculateur!AQ168*Calculateur!AS168*VLOOKUP('Données projet'!$B$10,Paramètres!$A$1:$I$89,3,0)*0.475*44/12</f>
        <v>1.9662572237238332</v>
      </c>
      <c r="AW168" s="21">
        <f>EXP(-LN(2)/2)*AW167+(1-EXP(-LN(2)/2))/(LN(2)/2)*AQ168*AT168*VLOOKUP('Données projet'!$B$10,Paramètres!$A$1:$I$89,3,0)*0.475*44/12</f>
        <v>5.018462737216723E-15</v>
      </c>
      <c r="AX168" s="21">
        <f t="shared" si="166"/>
        <v>18.181510516251201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-1.4210854715202004E-13</v>
      </c>
      <c r="BE168" s="13">
        <f>BD168*VLOOKUP('Données projet'!$B$11,Paramètres!$A$1:$I$89,3,0)*VLOOKUP('Données projet'!$B$11,Paramètres!$A$1:$I$89,5,0)</f>
        <v>-8.128608897095547E-14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182.46132340647313</v>
      </c>
      <c r="BJ168" s="59">
        <f t="shared" si="146"/>
        <v>130.51706975490481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31.1417308954865</v>
      </c>
      <c r="BQ168" s="21">
        <f>EXP(-LN(2)/25)*BQ167+(1-EXP(-LN(2)/25))/(LN(2)/25)*Calculateur!BL168*Calculateur!BN168*VLOOKUP('Données projet'!$B$11,Paramètres!$A$1:$I$89,3,0)*0.475*44/12</f>
        <v>4.5991421335150484</v>
      </c>
      <c r="BR168" s="21">
        <f>EXP(-LN(2)/2)*BR167+(1-EXP(-LN(2)/2))/(LN(2)/2)*BL168*BO168*VLOOKUP('Données projet'!$B$11,Paramètres!$A$1:$I$89,3,0)*0.475*44/12</f>
        <v>8.0936561210460117E-9</v>
      </c>
      <c r="BS168" s="22">
        <f t="shared" si="169"/>
        <v>35.740873037095206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735.00000000000011</v>
      </c>
      <c r="BZ168" s="13">
        <f>BY168*VLOOKUP('Données projet'!$B$12,Paramètres!$A$1:$I$89,3,0)*VLOOKUP('Données projet'!$B$12,Paramètres!$A$1:$I$89,5,0)</f>
        <v>296.20500000000004</v>
      </c>
      <c r="CA168" s="13">
        <f t="shared" si="170"/>
        <v>70.380297204000939</v>
      </c>
      <c r="CB168" s="20">
        <f t="shared" si="171"/>
        <v>638.46939263030174</v>
      </c>
      <c r="CC168" s="59">
        <f t="shared" si="119"/>
        <v>931.80272596363511</v>
      </c>
      <c r="CD168" s="59">
        <f ca="1">AVERAGE(OFFSET($CC$3,0,0,'Données projet'!$E$12+1,1))-AVERAGE(OFFSET($H$3,0,0,'Données projet'!$E$12+1,1))</f>
        <v>291.0962681460345</v>
      </c>
      <c r="CE168" s="59">
        <f t="shared" si="148"/>
        <v>240.28311826371385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9.6110560720542573</v>
      </c>
      <c r="CL168" s="21">
        <f>EXP(-LN(2)/25)*CL167+(1-EXP(-LN(2)/25))/(LN(2)/25)*Calculateur!CG168*Calculateur!CI168*VLOOKUP('Données projet'!$B$12,Paramètres!$A$1:$I$89,3,0)*0.475*44/12</f>
        <v>2.0704432277524907</v>
      </c>
      <c r="CM168" s="21">
        <f>EXP(-LN(2)/2)*CM167+(1-EXP(-LN(2)/2))/(LN(2)/2)*CG168*CJ168*VLOOKUP('Données projet'!$B$12,Paramètres!$A$1:$I$89,3,0)*0.475*44/12</f>
        <v>9.761190227990827E-14</v>
      </c>
      <c r="CN168" s="22">
        <f t="shared" si="172"/>
        <v>11.681499299806847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-5.3205440053716299E-14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225.92546546283018</v>
      </c>
      <c r="CZ168" s="59">
        <f t="shared" si="150"/>
        <v>309.38786160614563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11.258099971682199</v>
      </c>
      <c r="DG168" s="21">
        <f>EXP(-LN(2)/25)*DG167+(1-EXP(-LN(2)/25))/(LN(2)/25)*Calculateur!DB168*Calculateur!DD168*VLOOKUP('Données projet'!$B$13,Paramètres!$A$1:$I$89,3,0)*0.475*44/12</f>
        <v>4.7620085397779306</v>
      </c>
      <c r="DH168" s="21">
        <f>EXP(-LN(2)/2)*DH167+(1-EXP(-LN(2)/2))/(LN(2)/2)*DB168*DE168*VLOOKUP('Données projet'!$B$13,Paramètres!$A$1:$I$89,3,0)*0.475*44/12</f>
        <v>1.1541213458019304E-20</v>
      </c>
      <c r="DI168" s="22">
        <f t="shared" si="175"/>
        <v>16.02010851146013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168</v>
      </c>
      <c r="DP168" s="17">
        <f>DO168*VLOOKUP('Données projet'!$B$14,Paramètres!$A$1:$I$89,3,0)*VLOOKUP('Données projet'!$B$14,Paramètres!$A$1:$I$89,5,0)</f>
        <v>146.76480000000004</v>
      </c>
      <c r="DQ168" s="13">
        <f t="shared" si="176"/>
        <v>37.842444439956665</v>
      </c>
      <c r="DR168" s="20">
        <f t="shared" si="177"/>
        <v>321.52428406625791</v>
      </c>
      <c r="DS168" s="59">
        <f t="shared" si="125"/>
        <v>614.85761739959116</v>
      </c>
      <c r="DT168" s="59">
        <f ca="1">AVERAGE(OFFSET($DS$3,0,0,'Données projet'!$E$14+1,1))-AVERAGE(OFFSET($H$3,0,0,'Données projet'!$E$14+1,1))</f>
        <v>150.06600397498823</v>
      </c>
      <c r="DU168" s="59">
        <f t="shared" si="152"/>
        <v>170.53034305929714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1.3598057407594442</v>
      </c>
      <c r="EB168" s="21">
        <f>EXP(-LN(2)/25)*EB167+(1-EXP(-LN(2)/25))/(LN(2)/25)*Calculateur!DW168*Calculateur!DY168*VLOOKUP('Données projet'!$B$14,Paramètres!$A$1:$I$89,3,0)*0.475*44/12</f>
        <v>1.4245871605028386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2.784392901262283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294.94285920643927</v>
      </c>
      <c r="T169" s="59">
        <f t="shared" si="142"/>
        <v>399.89535338426606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16.904900543197186</v>
      </c>
      <c r="AA169" s="21">
        <f>EXP(-LN(2)/25)*AA168+(1-EXP(-LN(2)/25))/(LN(2)/25)*Calculateur!V169*Calculateur!X169*VLOOKUP('Données projet'!$B$9,Paramètres!$A$1:$I$89,3,0)*0.475*44/12</f>
        <v>7.2952798204308653</v>
      </c>
      <c r="AB169" s="21">
        <f>EXP(-LN(2)/2)*AB168+(1-EXP(-LN(2)/2))/(LN(2)/2)*V169*Y169*VLOOKUP('Données projet'!$B$9,Paramètres!$A$1:$I$89,3,0)*0.475*44/12</f>
        <v>2.9394308848761269E-20</v>
      </c>
      <c r="AC169" s="22">
        <f t="shared" si="163"/>
        <v>24.20018036362805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-1.0197709343628959E-13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200.14675249215634</v>
      </c>
      <c r="AO169" s="59">
        <f t="shared" si="144"/>
        <v>200.55017434999968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15.897282065788822</v>
      </c>
      <c r="AV169" s="21">
        <f>EXP(-LN(2)/25)*AV168+(1-EXP(-LN(2)/25))/(LN(2)/25)*Calculateur!AQ169*Calculateur!AS169*VLOOKUP('Données projet'!$B$10,Paramètres!$A$1:$I$89,3,0)*0.475*44/12</f>
        <v>1.9124898165401314</v>
      </c>
      <c r="AW169" s="21">
        <f>EXP(-LN(2)/2)*AW168+(1-EXP(-LN(2)/2))/(LN(2)/2)*AQ169*AT169*VLOOKUP('Données projet'!$B$10,Paramètres!$A$1:$I$89,3,0)*0.475*44/12</f>
        <v>3.5485890326179478E-15</v>
      </c>
      <c r="AX169" s="21">
        <f t="shared" si="166"/>
        <v>17.809771882328956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-1.4210854715202004E-13</v>
      </c>
      <c r="BE169" s="13">
        <f>BD169*VLOOKUP('Données projet'!$B$11,Paramètres!$A$1:$I$89,3,0)*VLOOKUP('Données projet'!$B$11,Paramètres!$A$1:$I$89,5,0)</f>
        <v>-8.128608897095547E-14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182.46132340647313</v>
      </c>
      <c r="BJ169" s="59">
        <f t="shared" si="146"/>
        <v>130.51706975490481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30.531060547206298</v>
      </c>
      <c r="BQ169" s="21">
        <f>EXP(-LN(2)/25)*BQ168+(1-EXP(-LN(2)/25))/(LN(2)/25)*Calculateur!BL169*Calculateur!BN169*VLOOKUP('Données projet'!$B$11,Paramètres!$A$1:$I$89,3,0)*0.475*44/12</f>
        <v>4.4733783500157065</v>
      </c>
      <c r="BR169" s="21">
        <f>EXP(-LN(2)/2)*BR168+(1-EXP(-LN(2)/2))/(LN(2)/2)*BL169*BO169*VLOOKUP('Données projet'!$B$11,Paramètres!$A$1:$I$89,3,0)*0.475*44/12</f>
        <v>5.7230791277836433E-9</v>
      </c>
      <c r="BS169" s="22">
        <f t="shared" si="169"/>
        <v>35.004438902945083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735.00000000000011</v>
      </c>
      <c r="BZ169" s="13">
        <f>BY169*VLOOKUP('Données projet'!$B$12,Paramètres!$A$1:$I$89,3,0)*VLOOKUP('Données projet'!$B$12,Paramètres!$A$1:$I$89,5,0)</f>
        <v>296.20500000000004</v>
      </c>
      <c r="CA169" s="13">
        <f t="shared" si="170"/>
        <v>70.380297204000939</v>
      </c>
      <c r="CB169" s="20">
        <f t="shared" si="171"/>
        <v>638.46939263030174</v>
      </c>
      <c r="CC169" s="59">
        <f t="shared" si="119"/>
        <v>931.80272596363511</v>
      </c>
      <c r="CD169" s="59">
        <f ca="1">AVERAGE(OFFSET($CC$3,0,0,'Données projet'!$E$12+1,1))-AVERAGE(OFFSET($H$3,0,0,'Données projet'!$E$12+1,1))</f>
        <v>291.0962681460345</v>
      </c>
      <c r="CE169" s="59">
        <f t="shared" si="148"/>
        <v>240.28311826371385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9.4225891246466364</v>
      </c>
      <c r="CL169" s="21">
        <f>EXP(-LN(2)/25)*CL168+(1-EXP(-LN(2)/25))/(LN(2)/25)*Calculateur!CG169*Calculateur!CI169*VLOOKUP('Données projet'!$B$12,Paramètres!$A$1:$I$89,3,0)*0.475*44/12</f>
        <v>2.0138268488097215</v>
      </c>
      <c r="CM169" s="21">
        <f>EXP(-LN(2)/2)*CM168+(1-EXP(-LN(2)/2))/(LN(2)/2)*CG169*CJ169*VLOOKUP('Données projet'!$B$12,Paramètres!$A$1:$I$89,3,0)*0.475*44/12</f>
        <v>6.9022038026641756E-14</v>
      </c>
      <c r="CN169" s="22">
        <f t="shared" si="172"/>
        <v>11.436415973456427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-5.3205440053716299E-14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225.92546546283018</v>
      </c>
      <c r="CZ169" s="59">
        <f t="shared" si="150"/>
        <v>309.38786160614563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11.037335498000457</v>
      </c>
      <c r="DG169" s="21">
        <f>EXP(-LN(2)/25)*DG168+(1-EXP(-LN(2)/25))/(LN(2)/25)*Calculateur!DB169*Calculateur!DD169*VLOOKUP('Données projet'!$B$13,Paramètres!$A$1:$I$89,3,0)*0.475*44/12</f>
        <v>4.6317911658345574</v>
      </c>
      <c r="DH169" s="21">
        <f>EXP(-LN(2)/2)*DH168+(1-EXP(-LN(2)/2))/(LN(2)/2)*DB169*DE169*VLOOKUP('Données projet'!$B$13,Paramètres!$A$1:$I$89,3,0)*0.475*44/12</f>
        <v>8.1608702992868935E-21</v>
      </c>
      <c r="DI169" s="22">
        <f t="shared" si="175"/>
        <v>15.669126663835016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168</v>
      </c>
      <c r="DP169" s="17">
        <f>DO169*VLOOKUP('Données projet'!$B$14,Paramètres!$A$1:$I$89,3,0)*VLOOKUP('Données projet'!$B$14,Paramètres!$A$1:$I$89,5,0)</f>
        <v>146.76480000000004</v>
      </c>
      <c r="DQ169" s="13">
        <f t="shared" si="176"/>
        <v>37.842444439956665</v>
      </c>
      <c r="DR169" s="20">
        <f t="shared" si="177"/>
        <v>321.52428406625791</v>
      </c>
      <c r="DS169" s="59">
        <f t="shared" si="125"/>
        <v>614.85761739959116</v>
      </c>
      <c r="DT169" s="59">
        <f ca="1">AVERAGE(OFFSET($DS$3,0,0,'Données projet'!$E$14+1,1))-AVERAGE(OFFSET($H$3,0,0,'Données projet'!$E$14+1,1))</f>
        <v>150.06600397498823</v>
      </c>
      <c r="DU169" s="59">
        <f t="shared" si="152"/>
        <v>170.53034305929714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1.333140779582757</v>
      </c>
      <c r="EB169" s="21">
        <f>EXP(-LN(2)/25)*EB168+(1-EXP(-LN(2)/25))/(LN(2)/25)*Calculateur!DW169*Calculateur!DY169*VLOOKUP('Données projet'!$B$14,Paramètres!$A$1:$I$89,3,0)*0.475*44/12</f>
        <v>1.3856317496831057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2.7187725292658627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294.94285920643927</v>
      </c>
      <c r="T170" s="59">
        <f t="shared" si="142"/>
        <v>399.89535338426606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16.573405754516298</v>
      </c>
      <c r="AA170" s="21">
        <f>EXP(-LN(2)/25)*AA169+(1-EXP(-LN(2)/25))/(LN(2)/25)*Calculateur!V170*Calculateur!X170*VLOOKUP('Données projet'!$B$9,Paramètres!$A$1:$I$89,3,0)*0.475*44/12</f>
        <v>7.0957900100990914</v>
      </c>
      <c r="AB170" s="21">
        <f>EXP(-LN(2)/2)*AB169+(1-EXP(-LN(2)/2))/(LN(2)/2)*V170*Y170*VLOOKUP('Données projet'!$B$9,Paramètres!$A$1:$I$89,3,0)*0.475*44/12</f>
        <v>2.0784915115250833E-20</v>
      </c>
      <c r="AC170" s="22">
        <f t="shared" si="163"/>
        <v>23.669195764615388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-1.0197709343628959E-13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200.14675249215634</v>
      </c>
      <c r="AO170" s="59">
        <f t="shared" si="144"/>
        <v>200.55017434999968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15.585546060863326</v>
      </c>
      <c r="AV170" s="21">
        <f>EXP(-LN(2)/25)*AV169+(1-EXP(-LN(2)/25))/(LN(2)/25)*Calculateur!AQ170*Calculateur!AS170*VLOOKUP('Données projet'!$B$10,Paramètres!$A$1:$I$89,3,0)*0.475*44/12</f>
        <v>1.8601926819333732</v>
      </c>
      <c r="AW170" s="21">
        <f>EXP(-LN(2)/2)*AW169+(1-EXP(-LN(2)/2))/(LN(2)/2)*AQ170*AT170*VLOOKUP('Données projet'!$B$10,Paramètres!$A$1:$I$89,3,0)*0.475*44/12</f>
        <v>2.5092313686083619E-15</v>
      </c>
      <c r="AX170" s="21">
        <f t="shared" si="166"/>
        <v>17.445738742796703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-1.4210854715202004E-13</v>
      </c>
      <c r="BE170" s="13">
        <f>BD170*VLOOKUP('Données projet'!$B$11,Paramètres!$A$1:$I$89,3,0)*VLOOKUP('Données projet'!$B$11,Paramètres!$A$1:$I$89,5,0)</f>
        <v>-8.128608897095547E-14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182.46132340647313</v>
      </c>
      <c r="BJ170" s="59">
        <f t="shared" si="146"/>
        <v>130.51706975490481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29.932365071983735</v>
      </c>
      <c r="BQ170" s="21">
        <f>EXP(-LN(2)/25)*BQ169+(1-EXP(-LN(2)/25))/(LN(2)/25)*Calculateur!BL170*Calculateur!BN170*VLOOKUP('Données projet'!$B$11,Paramètres!$A$1:$I$89,3,0)*0.475*44/12</f>
        <v>4.3510535837897839</v>
      </c>
      <c r="BR170" s="21">
        <f>EXP(-LN(2)/2)*BR169+(1-EXP(-LN(2)/2))/(LN(2)/2)*BL170*BO170*VLOOKUP('Données projet'!$B$11,Paramètres!$A$1:$I$89,3,0)*0.475*44/12</f>
        <v>4.0468280605230058E-9</v>
      </c>
      <c r="BS170" s="22">
        <f t="shared" si="169"/>
        <v>34.283418659820342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735.00000000000011</v>
      </c>
      <c r="BZ170" s="13">
        <f>BY170*VLOOKUP('Données projet'!$B$12,Paramètres!$A$1:$I$89,3,0)*VLOOKUP('Données projet'!$B$12,Paramètres!$A$1:$I$89,5,0)</f>
        <v>296.20500000000004</v>
      </c>
      <c r="CA170" s="13">
        <f t="shared" si="170"/>
        <v>70.380297204000939</v>
      </c>
      <c r="CB170" s="20">
        <f t="shared" si="171"/>
        <v>638.46939263030174</v>
      </c>
      <c r="CC170" s="59">
        <f t="shared" si="119"/>
        <v>931.80272596363511</v>
      </c>
      <c r="CD170" s="59">
        <f ca="1">AVERAGE(OFFSET($CC$3,0,0,'Données projet'!$E$12+1,1))-AVERAGE(OFFSET($H$3,0,0,'Données projet'!$E$12+1,1))</f>
        <v>291.0962681460345</v>
      </c>
      <c r="CE170" s="59">
        <f t="shared" si="148"/>
        <v>240.28311826371385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9.2378178991241917</v>
      </c>
      <c r="CL170" s="21">
        <f>EXP(-LN(2)/25)*CL169+(1-EXP(-LN(2)/25))/(LN(2)/25)*Calculateur!CG170*Calculateur!CI170*VLOOKUP('Données projet'!$B$12,Paramètres!$A$1:$I$89,3,0)*0.475*44/12</f>
        <v>1.9587586477264685</v>
      </c>
      <c r="CM170" s="21">
        <f>EXP(-LN(2)/2)*CM169+(1-EXP(-LN(2)/2))/(LN(2)/2)*CG170*CJ170*VLOOKUP('Données projet'!$B$12,Paramètres!$A$1:$I$89,3,0)*0.475*44/12</f>
        <v>4.8805951139954135E-14</v>
      </c>
      <c r="CN170" s="22">
        <f t="shared" si="172"/>
        <v>11.196576546850709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-5.3205440053716299E-14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225.92546546283018</v>
      </c>
      <c r="CZ170" s="59">
        <f t="shared" si="150"/>
        <v>309.38786160614563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10.820900080994582</v>
      </c>
      <c r="DG170" s="21">
        <f>EXP(-LN(2)/25)*DG169+(1-EXP(-LN(2)/25))/(LN(2)/25)*Calculateur!DB170*Calculateur!DD170*VLOOKUP('Données projet'!$B$13,Paramètres!$A$1:$I$89,3,0)*0.475*44/12</f>
        <v>4.5051345928295001</v>
      </c>
      <c r="DH170" s="21">
        <f>EXP(-LN(2)/2)*DH169+(1-EXP(-LN(2)/2))/(LN(2)/2)*DB170*DE170*VLOOKUP('Données projet'!$B$13,Paramètres!$A$1:$I$89,3,0)*0.475*44/12</f>
        <v>5.7706067290096521E-21</v>
      </c>
      <c r="DI170" s="22">
        <f t="shared" si="175"/>
        <v>15.326034673824083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168</v>
      </c>
      <c r="DP170" s="17">
        <f>DO170*VLOOKUP('Données projet'!$B$14,Paramètres!$A$1:$I$89,3,0)*VLOOKUP('Données projet'!$B$14,Paramètres!$A$1:$I$89,5,0)</f>
        <v>146.76480000000004</v>
      </c>
      <c r="DQ170" s="13">
        <f t="shared" si="176"/>
        <v>37.842444439956665</v>
      </c>
      <c r="DR170" s="20">
        <f t="shared" si="177"/>
        <v>321.52428406625791</v>
      </c>
      <c r="DS170" s="59">
        <f t="shared" si="125"/>
        <v>614.85761739959116</v>
      </c>
      <c r="DT170" s="59">
        <f ca="1">AVERAGE(OFFSET($DS$3,0,0,'Données projet'!$E$14+1,1))-AVERAGE(OFFSET($H$3,0,0,'Données projet'!$E$14+1,1))</f>
        <v>150.06600397498823</v>
      </c>
      <c r="DU170" s="59">
        <f t="shared" si="152"/>
        <v>170.53034305929714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1.3069987020307243</v>
      </c>
      <c r="EB170" s="21">
        <f>EXP(-LN(2)/25)*EB169+(1-EXP(-LN(2)/25))/(LN(2)/25)*Calculateur!DW170*Calculateur!DY170*VLOOKUP('Données projet'!$B$14,Paramètres!$A$1:$I$89,3,0)*0.475*44/12</f>
        <v>1.3477415766208143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2.6547402786515386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294.94285920643927</v>
      </c>
      <c r="T171" s="59">
        <f t="shared" si="142"/>
        <v>399.89535338426606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16.248411376449585</v>
      </c>
      <c r="AA171" s="21">
        <f>EXP(-LN(2)/25)*AA170+(1-EXP(-LN(2)/25))/(LN(2)/25)*Calculateur!V171*Calculateur!X171*VLOOKUP('Données projet'!$B$9,Paramètres!$A$1:$I$89,3,0)*0.475*44/12</f>
        <v>6.9017552591215532</v>
      </c>
      <c r="AB171" s="21">
        <f>EXP(-LN(2)/2)*AB170+(1-EXP(-LN(2)/2))/(LN(2)/2)*V171*Y171*VLOOKUP('Données projet'!$B$9,Paramètres!$A$1:$I$89,3,0)*0.475*44/12</f>
        <v>1.4697154424380635E-20</v>
      </c>
      <c r="AC171" s="22">
        <f t="shared" si="163"/>
        <v>23.150166635571139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-1.0197709343628959E-13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200.14675249215634</v>
      </c>
      <c r="AO171" s="59">
        <f t="shared" si="144"/>
        <v>200.55017434999968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15.279923008854229</v>
      </c>
      <c r="AV171" s="21">
        <f>EXP(-LN(2)/25)*AV170+(1-EXP(-LN(2)/25))/(LN(2)/25)*Calculateur!AQ171*Calculateur!AS171*VLOOKUP('Données projet'!$B$10,Paramètres!$A$1:$I$89,3,0)*0.475*44/12</f>
        <v>1.8093256152226234</v>
      </c>
      <c r="AW171" s="21">
        <f>EXP(-LN(2)/2)*AW170+(1-EXP(-LN(2)/2))/(LN(2)/2)*AQ171*AT171*VLOOKUP('Données projet'!$B$10,Paramètres!$A$1:$I$89,3,0)*0.475*44/12</f>
        <v>1.7742945163089743E-15</v>
      </c>
      <c r="AX171" s="21">
        <f t="shared" si="166"/>
        <v>17.089248624076852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-1.4210854715202004E-13</v>
      </c>
      <c r="BE171" s="13">
        <f>BD171*VLOOKUP('Données projet'!$B$11,Paramètres!$A$1:$I$89,3,0)*VLOOKUP('Données projet'!$B$11,Paramètres!$A$1:$I$89,5,0)</f>
        <v>-8.128608897095547E-14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182.46132340647313</v>
      </c>
      <c r="BJ171" s="59">
        <f t="shared" si="146"/>
        <v>130.51706975490481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29.345409649862106</v>
      </c>
      <c r="BQ171" s="21">
        <f>EXP(-LN(2)/25)*BQ170+(1-EXP(-LN(2)/25))/(LN(2)/25)*Calculateur!BL171*Calculateur!BN171*VLOOKUP('Données projet'!$B$11,Paramètres!$A$1:$I$89,3,0)*0.475*44/12</f>
        <v>4.2320737947290885</v>
      </c>
      <c r="BR171" s="21">
        <f>EXP(-LN(2)/2)*BR170+(1-EXP(-LN(2)/2))/(LN(2)/2)*BL171*BO171*VLOOKUP('Données projet'!$B$11,Paramètres!$A$1:$I$89,3,0)*0.475*44/12</f>
        <v>2.8615395638918216E-9</v>
      </c>
      <c r="BS171" s="22">
        <f t="shared" si="169"/>
        <v>33.577483447452735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735.00000000000011</v>
      </c>
      <c r="BZ171" s="13">
        <f>BY171*VLOOKUP('Données projet'!$B$12,Paramètres!$A$1:$I$89,3,0)*VLOOKUP('Données projet'!$B$12,Paramètres!$A$1:$I$89,5,0)</f>
        <v>296.20500000000004</v>
      </c>
      <c r="CA171" s="13">
        <f t="shared" si="170"/>
        <v>70.380297204000939</v>
      </c>
      <c r="CB171" s="20">
        <f t="shared" si="171"/>
        <v>638.46939263030174</v>
      </c>
      <c r="CC171" s="59">
        <f t="shared" si="119"/>
        <v>931.80272596363511</v>
      </c>
      <c r="CD171" s="59">
        <f ca="1">AVERAGE(OFFSET($CC$3,0,0,'Données projet'!$E$12+1,1))-AVERAGE(OFFSET($H$3,0,0,'Données projet'!$E$12+1,1))</f>
        <v>291.0962681460345</v>
      </c>
      <c r="CE171" s="59">
        <f t="shared" si="148"/>
        <v>240.28311826371385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9.0566699246349227</v>
      </c>
      <c r="CL171" s="21">
        <f>EXP(-LN(2)/25)*CL170+(1-EXP(-LN(2)/25))/(LN(2)/25)*Calculateur!CG171*Calculateur!CI171*VLOOKUP('Données projet'!$B$12,Paramètres!$A$1:$I$89,3,0)*0.475*44/12</f>
        <v>1.9051962894977477</v>
      </c>
      <c r="CM171" s="21">
        <f>EXP(-LN(2)/2)*CM170+(1-EXP(-LN(2)/2))/(LN(2)/2)*CG171*CJ171*VLOOKUP('Données projet'!$B$12,Paramètres!$A$1:$I$89,3,0)*0.475*44/12</f>
        <v>3.4511019013320878E-14</v>
      </c>
      <c r="CN171" s="22">
        <f t="shared" si="172"/>
        <v>10.961866214132703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-5.3205440053716299E-14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225.92546546283018</v>
      </c>
      <c r="CZ171" s="59">
        <f t="shared" si="150"/>
        <v>309.38786160614563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10.608708830503621</v>
      </c>
      <c r="DG171" s="21">
        <f>EXP(-LN(2)/25)*DG170+(1-EXP(-LN(2)/25))/(LN(2)/25)*Calculateur!DB171*Calculateur!DD171*VLOOKUP('Données projet'!$B$13,Paramètres!$A$1:$I$89,3,0)*0.475*44/12</f>
        <v>4.3819414504738461</v>
      </c>
      <c r="DH171" s="21">
        <f>EXP(-LN(2)/2)*DH170+(1-EXP(-LN(2)/2))/(LN(2)/2)*DB171*DE171*VLOOKUP('Données projet'!$B$13,Paramètres!$A$1:$I$89,3,0)*0.475*44/12</f>
        <v>4.0804351496434467E-21</v>
      </c>
      <c r="DI171" s="22">
        <f t="shared" si="175"/>
        <v>14.990650280977468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168</v>
      </c>
      <c r="DP171" s="17">
        <f>DO171*VLOOKUP('Données projet'!$B$14,Paramètres!$A$1:$I$89,3,0)*VLOOKUP('Données projet'!$B$14,Paramètres!$A$1:$I$89,5,0)</f>
        <v>146.76480000000004</v>
      </c>
      <c r="DQ171" s="13">
        <f t="shared" si="176"/>
        <v>37.842444439956665</v>
      </c>
      <c r="DR171" s="20">
        <f t="shared" si="177"/>
        <v>321.52428406625791</v>
      </c>
      <c r="DS171" s="59">
        <f t="shared" si="125"/>
        <v>614.85761739959116</v>
      </c>
      <c r="DT171" s="59">
        <f ca="1">AVERAGE(OFFSET($DS$3,0,0,'Données projet'!$E$14+1,1))-AVERAGE(OFFSET($H$3,0,0,'Données projet'!$E$14+1,1))</f>
        <v>150.06600397498823</v>
      </c>
      <c r="DU171" s="59">
        <f t="shared" si="152"/>
        <v>170.53034305929714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1.281369254674394</v>
      </c>
      <c r="EB171" s="21">
        <f>EXP(-LN(2)/25)*EB170+(1-EXP(-LN(2)/25))/(LN(2)/25)*Calculateur!DW171*Calculateur!DY171*VLOOKUP('Données projet'!$B$14,Paramètres!$A$1:$I$89,3,0)*0.475*44/12</f>
        <v>1.3108875123334689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2.5922567670078629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294.94285920643927</v>
      </c>
      <c r="T172" s="59">
        <f t="shared" si="142"/>
        <v>399.89535338426606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15.929789939909762</v>
      </c>
      <c r="AA172" s="21">
        <f>EXP(-LN(2)/25)*AA171+(1-EXP(-LN(2)/25))/(LN(2)/25)*Calculateur!V172*Calculateur!X172*VLOOKUP('Données projet'!$B$9,Paramètres!$A$1:$I$89,3,0)*0.475*44/12</f>
        <v>6.7130263986133398</v>
      </c>
      <c r="AB172" s="21">
        <f>EXP(-LN(2)/2)*AB171+(1-EXP(-LN(2)/2))/(LN(2)/2)*V172*Y172*VLOOKUP('Données projet'!$B$9,Paramètres!$A$1:$I$89,3,0)*0.475*44/12</f>
        <v>1.0392457557625416E-20</v>
      </c>
      <c r="AC172" s="22">
        <f t="shared" si="163"/>
        <v>22.642816338523101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-1.0197709343628959E-13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200.14675249215634</v>
      </c>
      <c r="AO172" s="59">
        <f t="shared" si="144"/>
        <v>200.55017434999968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14.980293038483376</v>
      </c>
      <c r="AV172" s="21">
        <f>EXP(-LN(2)/25)*AV171+(1-EXP(-LN(2)/25))/(LN(2)/25)*Calculateur!AQ172*Calculateur!AS172*VLOOKUP('Données projet'!$B$10,Paramètres!$A$1:$I$89,3,0)*0.475*44/12</f>
        <v>1.7598495111260619</v>
      </c>
      <c r="AW172" s="21">
        <f>EXP(-LN(2)/2)*AW171+(1-EXP(-LN(2)/2))/(LN(2)/2)*AQ172*AT172*VLOOKUP('Données projet'!$B$10,Paramètres!$A$1:$I$89,3,0)*0.475*44/12</f>
        <v>1.2546156843041811E-15</v>
      </c>
      <c r="AX172" s="21">
        <f t="shared" si="166"/>
        <v>16.740142549609438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-1.4210854715202004E-13</v>
      </c>
      <c r="BE172" s="13">
        <f>BD172*VLOOKUP('Données projet'!$B$11,Paramètres!$A$1:$I$89,3,0)*VLOOKUP('Données projet'!$B$11,Paramètres!$A$1:$I$89,5,0)</f>
        <v>-8.128608897095547E-14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182.46132340647313</v>
      </c>
      <c r="BJ172" s="59">
        <f t="shared" si="146"/>
        <v>130.51706975490481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28.769964065560824</v>
      </c>
      <c r="BQ172" s="21">
        <f>EXP(-LN(2)/25)*BQ171+(1-EXP(-LN(2)/25))/(LN(2)/25)*Calculateur!BL172*Calculateur!BN172*VLOOKUP('Données projet'!$B$11,Paramètres!$A$1:$I$89,3,0)*0.475*44/12</f>
        <v>4.1163475142571331</v>
      </c>
      <c r="BR172" s="21">
        <f>EXP(-LN(2)/2)*BR171+(1-EXP(-LN(2)/2))/(LN(2)/2)*BL172*BO172*VLOOKUP('Données projet'!$B$11,Paramètres!$A$1:$I$89,3,0)*0.475*44/12</f>
        <v>2.0234140302615029E-9</v>
      </c>
      <c r="BS172" s="22">
        <f t="shared" si="169"/>
        <v>32.886311581841369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735.00000000000011</v>
      </c>
      <c r="BZ172" s="13">
        <f>BY172*VLOOKUP('Données projet'!$B$12,Paramètres!$A$1:$I$89,3,0)*VLOOKUP('Données projet'!$B$12,Paramètres!$A$1:$I$89,5,0)</f>
        <v>296.20500000000004</v>
      </c>
      <c r="CA172" s="13">
        <f t="shared" si="170"/>
        <v>70.380297204000939</v>
      </c>
      <c r="CB172" s="20">
        <f t="shared" si="171"/>
        <v>638.46939263030174</v>
      </c>
      <c r="CC172" s="59">
        <f t="shared" si="119"/>
        <v>931.80272596363511</v>
      </c>
      <c r="CD172" s="59">
        <f ca="1">AVERAGE(OFFSET($CC$3,0,0,'Données projet'!$E$12+1,1))-AVERAGE(OFFSET($H$3,0,0,'Données projet'!$E$12+1,1))</f>
        <v>291.0962681460345</v>
      </c>
      <c r="CE172" s="59">
        <f t="shared" si="148"/>
        <v>240.28311826371385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8.8790741514360345</v>
      </c>
      <c r="CL172" s="21">
        <f>EXP(-LN(2)/25)*CL171+(1-EXP(-LN(2)/25))/(LN(2)/25)*Calculateur!CG172*Calculateur!CI172*VLOOKUP('Données projet'!$B$12,Paramètres!$A$1:$I$89,3,0)*0.475*44/12</f>
        <v>1.8530985967715132</v>
      </c>
      <c r="CM172" s="21">
        <f>EXP(-LN(2)/2)*CM171+(1-EXP(-LN(2)/2))/(LN(2)/2)*CG172*CJ172*VLOOKUP('Données projet'!$B$12,Paramètres!$A$1:$I$89,3,0)*0.475*44/12</f>
        <v>2.4402975569977067E-14</v>
      </c>
      <c r="CN172" s="22">
        <f t="shared" si="172"/>
        <v>10.732172748207573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-5.3205440053716299E-14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225.92546546283018</v>
      </c>
      <c r="CZ172" s="59">
        <f t="shared" si="150"/>
        <v>309.38786160614563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10.400678521010907</v>
      </c>
      <c r="DG172" s="21">
        <f>EXP(-LN(2)/25)*DG171+(1-EXP(-LN(2)/25))/(LN(2)/25)*Calculateur!DB172*Calculateur!DD172*VLOOKUP('Données projet'!$B$13,Paramètres!$A$1:$I$89,3,0)*0.475*44/12</f>
        <v>4.2621170310743528</v>
      </c>
      <c r="DH172" s="21">
        <f>EXP(-LN(2)/2)*DH171+(1-EXP(-LN(2)/2))/(LN(2)/2)*DB172*DE172*VLOOKUP('Données projet'!$B$13,Paramètres!$A$1:$I$89,3,0)*0.475*44/12</f>
        <v>2.885303364504826E-21</v>
      </c>
      <c r="DI172" s="22">
        <f t="shared" si="175"/>
        <v>14.66279555208526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168</v>
      </c>
      <c r="DP172" s="17">
        <f>DO172*VLOOKUP('Données projet'!$B$14,Paramètres!$A$1:$I$89,3,0)*VLOOKUP('Données projet'!$B$14,Paramètres!$A$1:$I$89,5,0)</f>
        <v>146.76480000000004</v>
      </c>
      <c r="DQ172" s="13">
        <f t="shared" si="176"/>
        <v>37.842444439956665</v>
      </c>
      <c r="DR172" s="20">
        <f t="shared" si="177"/>
        <v>321.52428406625791</v>
      </c>
      <c r="DS172" s="59">
        <f t="shared" si="125"/>
        <v>614.85761739959116</v>
      </c>
      <c r="DT172" s="59">
        <f ca="1">AVERAGE(OFFSET($DS$3,0,0,'Données projet'!$E$14+1,1))-AVERAGE(OFFSET($H$3,0,0,'Données projet'!$E$14+1,1))</f>
        <v>150.06600397498823</v>
      </c>
      <c r="DU172" s="59">
        <f t="shared" si="152"/>
        <v>170.53034305929714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1.256242385148302</v>
      </c>
      <c r="EB172" s="21">
        <f>EXP(-LN(2)/25)*EB171+(1-EXP(-LN(2)/25))/(LN(2)/25)*Calculateur!DW172*Calculateur!DY172*VLOOKUP('Données projet'!$B$14,Paramètres!$A$1:$I$89,3,0)*0.475*44/12</f>
        <v>1.2750412243721321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2.5312836095204343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294.94285920643927</v>
      </c>
      <c r="T173" s="59">
        <f t="shared" si="142"/>
        <v>399.89535338426606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15.617416475400599</v>
      </c>
      <c r="AA173" s="21">
        <f>EXP(-LN(2)/25)*AA172+(1-EXP(-LN(2)/25))/(LN(2)/25)*Calculateur!V173*Calculateur!X173*VLOOKUP('Données projet'!$B$9,Paramètres!$A$1:$I$89,3,0)*0.475*44/12</f>
        <v>6.5294583387205423</v>
      </c>
      <c r="AB173" s="21">
        <f>EXP(-LN(2)/2)*AB172+(1-EXP(-LN(2)/2))/(LN(2)/2)*V173*Y173*VLOOKUP('Données projet'!$B$9,Paramètres!$A$1:$I$89,3,0)*0.475*44/12</f>
        <v>7.3485772121903174E-21</v>
      </c>
      <c r="AC173" s="22">
        <f t="shared" si="163"/>
        <v>22.146874814121141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-1.0197709343628959E-13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200.14675249215634</v>
      </c>
      <c r="AO173" s="59">
        <f t="shared" si="144"/>
        <v>200.55017434999968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14.68653862907526</v>
      </c>
      <c r="AV173" s="21">
        <f>EXP(-LN(2)/25)*AV172+(1-EXP(-LN(2)/25))/(LN(2)/25)*Calculateur!AQ173*Calculateur!AS173*VLOOKUP('Données projet'!$B$10,Paramètres!$A$1:$I$89,3,0)*0.475*44/12</f>
        <v>1.7117263336978561</v>
      </c>
      <c r="AW173" s="21">
        <f>EXP(-LN(2)/2)*AW172+(1-EXP(-LN(2)/2))/(LN(2)/2)*AQ173*AT173*VLOOKUP('Données projet'!$B$10,Paramètres!$A$1:$I$89,3,0)*0.475*44/12</f>
        <v>8.8714725815448726E-16</v>
      </c>
      <c r="AX173" s="21">
        <f t="shared" si="166"/>
        <v>16.398264962773116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-1.4210854715202004E-13</v>
      </c>
      <c r="BE173" s="13">
        <f>BD173*VLOOKUP('Données projet'!$B$11,Paramètres!$A$1:$I$89,3,0)*VLOOKUP('Données projet'!$B$11,Paramètres!$A$1:$I$89,5,0)</f>
        <v>-8.128608897095547E-14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182.46132340647313</v>
      </c>
      <c r="BJ173" s="59">
        <f t="shared" si="146"/>
        <v>130.51706975490481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28.205802618180542</v>
      </c>
      <c r="BQ173" s="21">
        <f>EXP(-LN(2)/25)*BQ172+(1-EXP(-LN(2)/25))/(LN(2)/25)*Calculateur!BL173*Calculateur!BN173*VLOOKUP('Données projet'!$B$11,Paramètres!$A$1:$I$89,3,0)*0.475*44/12</f>
        <v>4.0037857750104644</v>
      </c>
      <c r="BR173" s="21">
        <f>EXP(-LN(2)/2)*BR172+(1-EXP(-LN(2)/2))/(LN(2)/2)*BL173*BO173*VLOOKUP('Données projet'!$B$11,Paramètres!$A$1:$I$89,3,0)*0.475*44/12</f>
        <v>1.4307697819459108E-9</v>
      </c>
      <c r="BS173" s="22">
        <f t="shared" si="169"/>
        <v>32.209588394621775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735.00000000000011</v>
      </c>
      <c r="BZ173" s="13">
        <f>BY173*VLOOKUP('Données projet'!$B$12,Paramètres!$A$1:$I$89,3,0)*VLOOKUP('Données projet'!$B$12,Paramètres!$A$1:$I$89,5,0)</f>
        <v>296.20500000000004</v>
      </c>
      <c r="CA173" s="13">
        <f t="shared" si="170"/>
        <v>70.380297204000939</v>
      </c>
      <c r="CB173" s="20">
        <f t="shared" si="171"/>
        <v>638.46939263030174</v>
      </c>
      <c r="CC173" s="59">
        <f t="shared" si="119"/>
        <v>931.80272596363511</v>
      </c>
      <c r="CD173" s="59">
        <f ca="1">AVERAGE(OFFSET($CC$3,0,0,'Données projet'!$E$12+1,1))-AVERAGE(OFFSET($H$3,0,0,'Données projet'!$E$12+1,1))</f>
        <v>291.0962681460345</v>
      </c>
      <c r="CE173" s="59">
        <f t="shared" si="148"/>
        <v>240.28311826371385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8.7049609230268494</v>
      </c>
      <c r="CL173" s="21">
        <f>EXP(-LN(2)/25)*CL172+(1-EXP(-LN(2)/25))/(LN(2)/25)*Calculateur!CG173*Calculateur!CI173*VLOOKUP('Données projet'!$B$12,Paramètres!$A$1:$I$89,3,0)*0.475*44/12</f>
        <v>1.8024255181925763</v>
      </c>
      <c r="CM173" s="21">
        <f>EXP(-LN(2)/2)*CM172+(1-EXP(-LN(2)/2))/(LN(2)/2)*CG173*CJ173*VLOOKUP('Données projet'!$B$12,Paramètres!$A$1:$I$89,3,0)*0.475*44/12</f>
        <v>1.7255509506660439E-14</v>
      </c>
      <c r="CN173" s="22">
        <f t="shared" si="172"/>
        <v>10.507386441219444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-5.3205440053716299E-14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225.92546546283018</v>
      </c>
      <c r="CZ173" s="59">
        <f t="shared" si="150"/>
        <v>309.38786160614563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10.196727559001383</v>
      </c>
      <c r="DG173" s="21">
        <f>EXP(-LN(2)/25)*DG172+(1-EXP(-LN(2)/25))/(LN(2)/25)*Calculateur!DB173*Calculateur!DD173*VLOOKUP('Données projet'!$B$13,Paramètres!$A$1:$I$89,3,0)*0.475*44/12</f>
        <v>4.1455692167246312</v>
      </c>
      <c r="DH173" s="21">
        <f>EXP(-LN(2)/2)*DH172+(1-EXP(-LN(2)/2))/(LN(2)/2)*DB173*DE173*VLOOKUP('Données projet'!$B$13,Paramètres!$A$1:$I$89,3,0)*0.475*44/12</f>
        <v>2.0402175748217234E-21</v>
      </c>
      <c r="DI173" s="22">
        <f t="shared" si="175"/>
        <v>14.342296775726014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168</v>
      </c>
      <c r="DP173" s="17">
        <f>DO173*VLOOKUP('Données projet'!$B$14,Paramètres!$A$1:$I$89,3,0)*VLOOKUP('Données projet'!$B$14,Paramètres!$A$1:$I$89,5,0)</f>
        <v>146.76480000000004</v>
      </c>
      <c r="DQ173" s="13">
        <f t="shared" si="176"/>
        <v>37.842444439956665</v>
      </c>
      <c r="DR173" s="20">
        <f t="shared" si="177"/>
        <v>321.52428406625791</v>
      </c>
      <c r="DS173" s="59">
        <f t="shared" si="125"/>
        <v>614.85761739959116</v>
      </c>
      <c r="DT173" s="59">
        <f ca="1">AVERAGE(OFFSET($DS$3,0,0,'Données projet'!$E$14+1,1))-AVERAGE(OFFSET($H$3,0,0,'Données projet'!$E$14+1,1))</f>
        <v>150.06600397498823</v>
      </c>
      <c r="DU173" s="59">
        <f t="shared" si="152"/>
        <v>170.53034305929714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1.2316082382077396</v>
      </c>
      <c r="EB173" s="21">
        <f>EXP(-LN(2)/25)*EB172+(1-EXP(-LN(2)/25))/(LN(2)/25)*Calculateur!DW173*Calculateur!DY173*VLOOKUP('Données projet'!$B$14,Paramètres!$A$1:$I$89,3,0)*0.475*44/12</f>
        <v>1.2401751550401723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2.4717833932479119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294.94285920643927</v>
      </c>
      <c r="T174" s="59">
        <f t="shared" si="142"/>
        <v>399.89535338426606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15.31116846400146</v>
      </c>
      <c r="AA174" s="21">
        <f>EXP(-LN(2)/25)*AA173+(1-EXP(-LN(2)/25))/(LN(2)/25)*Calculateur!V174*Calculateur!X174*VLOOKUP('Données projet'!$B$9,Paramètres!$A$1:$I$89,3,0)*0.475*44/12</f>
        <v>6.3509099570789385</v>
      </c>
      <c r="AB174" s="21">
        <f>EXP(-LN(2)/2)*AB173+(1-EXP(-LN(2)/2))/(LN(2)/2)*V174*Y174*VLOOKUP('Données projet'!$B$9,Paramètres!$A$1:$I$89,3,0)*0.475*44/12</f>
        <v>5.1962287788127082E-21</v>
      </c>
      <c r="AC174" s="22">
        <f t="shared" si="163"/>
        <v>21.662078421080398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-1.0197709343628959E-13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200.14675249215634</v>
      </c>
      <c r="AO174" s="59">
        <f t="shared" si="144"/>
        <v>200.55017434999968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14.398544564463139</v>
      </c>
      <c r="AV174" s="21">
        <f>EXP(-LN(2)/25)*AV173+(1-EXP(-LN(2)/25))/(LN(2)/25)*Calculateur!AQ174*Calculateur!AS174*VLOOKUP('Données projet'!$B$10,Paramètres!$A$1:$I$89,3,0)*0.475*44/12</f>
        <v>1.6649190870871124</v>
      </c>
      <c r="AW174" s="21">
        <f>EXP(-LN(2)/2)*AW173+(1-EXP(-LN(2)/2))/(LN(2)/2)*AQ174*AT174*VLOOKUP('Données projet'!$B$10,Paramètres!$A$1:$I$89,3,0)*0.475*44/12</f>
        <v>6.2730784215209067E-16</v>
      </c>
      <c r="AX174" s="21">
        <f t="shared" si="166"/>
        <v>16.063463651550251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-1.4210854715202004E-13</v>
      </c>
      <c r="BE174" s="13">
        <f>BD174*VLOOKUP('Données projet'!$B$11,Paramètres!$A$1:$I$89,3,0)*VLOOKUP('Données projet'!$B$11,Paramètres!$A$1:$I$89,5,0)</f>
        <v>-8.128608897095547E-14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182.46132340647313</v>
      </c>
      <c r="BJ174" s="59">
        <f t="shared" si="146"/>
        <v>130.51706975490481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27.65270403267888</v>
      </c>
      <c r="BQ174" s="21">
        <f>EXP(-LN(2)/25)*BQ173+(1-EXP(-LN(2)/25))/(LN(2)/25)*Calculateur!BL174*Calculateur!BN174*VLOOKUP('Données projet'!$B$11,Paramètres!$A$1:$I$89,3,0)*0.475*44/12</f>
        <v>3.89430204244286</v>
      </c>
      <c r="BR174" s="21">
        <f>EXP(-LN(2)/2)*BR173+(1-EXP(-LN(2)/2))/(LN(2)/2)*BL174*BO174*VLOOKUP('Données projet'!$B$11,Paramètres!$A$1:$I$89,3,0)*0.475*44/12</f>
        <v>1.0117070151307515E-9</v>
      </c>
      <c r="BS174" s="22">
        <f t="shared" si="169"/>
        <v>31.547006076133446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735.00000000000011</v>
      </c>
      <c r="BZ174" s="13">
        <f>BY174*VLOOKUP('Données projet'!$B$12,Paramètres!$A$1:$I$89,3,0)*VLOOKUP('Données projet'!$B$12,Paramètres!$A$1:$I$89,5,0)</f>
        <v>296.20500000000004</v>
      </c>
      <c r="CA174" s="13">
        <f t="shared" si="170"/>
        <v>70.380297204000939</v>
      </c>
      <c r="CB174" s="20">
        <f t="shared" si="171"/>
        <v>638.46939263030174</v>
      </c>
      <c r="CC174" s="59">
        <f t="shared" si="119"/>
        <v>931.80272596363511</v>
      </c>
      <c r="CD174" s="59">
        <f ca="1">AVERAGE(OFFSET($CC$3,0,0,'Données projet'!$E$12+1,1))-AVERAGE(OFFSET($H$3,0,0,'Données projet'!$E$12+1,1))</f>
        <v>291.0962681460345</v>
      </c>
      <c r="CE174" s="59">
        <f t="shared" si="148"/>
        <v>240.28311826371385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8.5342619488281866</v>
      </c>
      <c r="CL174" s="21">
        <f>EXP(-LN(2)/25)*CL173+(1-EXP(-LN(2)/25))/(LN(2)/25)*Calculateur!CG174*Calculateur!CI174*VLOOKUP('Données projet'!$B$12,Paramètres!$A$1:$I$89,3,0)*0.475*44/12</f>
        <v>1.7531380976121618</v>
      </c>
      <c r="CM174" s="21">
        <f>EXP(-LN(2)/2)*CM173+(1-EXP(-LN(2)/2))/(LN(2)/2)*CG174*CJ174*VLOOKUP('Données projet'!$B$12,Paramètres!$A$1:$I$89,3,0)*0.475*44/12</f>
        <v>1.2201487784988534E-14</v>
      </c>
      <c r="CN174" s="22">
        <f t="shared" si="172"/>
        <v>10.287400046440361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-5.3205440053716299E-14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225.92546546283018</v>
      </c>
      <c r="CZ174" s="59">
        <f t="shared" si="150"/>
        <v>309.38786160614563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9.9967759509590639</v>
      </c>
      <c r="DG174" s="21">
        <f>EXP(-LN(2)/25)*DG173+(1-EXP(-LN(2)/25))/(LN(2)/25)*Calculateur!DB174*Calculateur!DD174*VLOOKUP('Données projet'!$B$13,Paramètres!$A$1:$I$89,3,0)*0.475*44/12</f>
        <v>4.0322084084872856</v>
      </c>
      <c r="DH174" s="21">
        <f>EXP(-LN(2)/2)*DH173+(1-EXP(-LN(2)/2))/(LN(2)/2)*DB174*DE174*VLOOKUP('Données projet'!$B$13,Paramètres!$A$1:$I$89,3,0)*0.475*44/12</f>
        <v>1.442651682252413E-21</v>
      </c>
      <c r="DI174" s="22">
        <f t="shared" si="175"/>
        <v>14.028984359446349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168</v>
      </c>
      <c r="DP174" s="17">
        <f>DO174*VLOOKUP('Données projet'!$B$14,Paramètres!$A$1:$I$89,3,0)*VLOOKUP('Données projet'!$B$14,Paramètres!$A$1:$I$89,5,0)</f>
        <v>146.76480000000004</v>
      </c>
      <c r="DQ174" s="13">
        <f t="shared" si="176"/>
        <v>37.842444439956665</v>
      </c>
      <c r="DR174" s="20">
        <f t="shared" si="177"/>
        <v>321.52428406625791</v>
      </c>
      <c r="DS174" s="59">
        <f t="shared" si="125"/>
        <v>614.85761739959116</v>
      </c>
      <c r="DT174" s="59">
        <f ca="1">AVERAGE(OFFSET($DS$3,0,0,'Données projet'!$E$14+1,1))-AVERAGE(OFFSET($H$3,0,0,'Données projet'!$E$14+1,1))</f>
        <v>150.06600397498823</v>
      </c>
      <c r="DU174" s="59">
        <f t="shared" si="152"/>
        <v>170.53034305929714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1.2074571518633357</v>
      </c>
      <c r="EB174" s="21">
        <f>EXP(-LN(2)/25)*EB173+(1-EXP(-LN(2)/25))/(LN(2)/25)*Calculateur!DW174*Calculateur!DY174*VLOOKUP('Données projet'!$B$14,Paramètres!$A$1:$I$89,3,0)*0.475*44/12</f>
        <v>1.2062625002076219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2.4137196520709576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294.94285920643927</v>
      </c>
      <c r="T175" s="59">
        <f t="shared" si="142"/>
        <v>399.89535338426606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15.010925789313015</v>
      </c>
      <c r="AA175" s="21">
        <f>EXP(-LN(2)/25)*AA174+(1-EXP(-LN(2)/25))/(LN(2)/25)*Calculateur!V175*Calculateur!X175*VLOOKUP('Données projet'!$B$9,Paramètres!$A$1:$I$89,3,0)*0.475*44/12</f>
        <v>6.1772439903227756</v>
      </c>
      <c r="AB175" s="21">
        <f>EXP(-LN(2)/2)*AB174+(1-EXP(-LN(2)/2))/(LN(2)/2)*V175*Y175*VLOOKUP('Données projet'!$B$9,Paramètres!$A$1:$I$89,3,0)*0.475*44/12</f>
        <v>3.6742886060951587E-21</v>
      </c>
      <c r="AC175" s="22">
        <f t="shared" si="163"/>
        <v>21.188169779635793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-1.0197709343628959E-13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200.14675249215634</v>
      </c>
      <c r="AO175" s="59">
        <f t="shared" si="144"/>
        <v>200.55017434999968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14.116197887799027</v>
      </c>
      <c r="AV175" s="21">
        <f>EXP(-LN(2)/25)*AV174+(1-EXP(-LN(2)/25))/(LN(2)/25)*Calculateur!AQ175*Calculateur!AS175*VLOOKUP('Données projet'!$B$10,Paramètres!$A$1:$I$89,3,0)*0.475*44/12</f>
        <v>1.6193917870964258</v>
      </c>
      <c r="AW175" s="21">
        <f>EXP(-LN(2)/2)*AW174+(1-EXP(-LN(2)/2))/(LN(2)/2)*AQ175*AT175*VLOOKUP('Données projet'!$B$10,Paramètres!$A$1:$I$89,3,0)*0.475*44/12</f>
        <v>4.4357362907724373E-16</v>
      </c>
      <c r="AX175" s="21">
        <f t="shared" si="166"/>
        <v>15.735589674895452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-1.4210854715202004E-13</v>
      </c>
      <c r="BE175" s="13">
        <f>BD175*VLOOKUP('Données projet'!$B$11,Paramètres!$A$1:$I$89,3,0)*VLOOKUP('Données projet'!$B$11,Paramètres!$A$1:$I$89,5,0)</f>
        <v>-8.128608897095547E-14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182.46132340647313</v>
      </c>
      <c r="BJ175" s="59">
        <f t="shared" si="146"/>
        <v>130.51706975490481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27.110451373082078</v>
      </c>
      <c r="BQ175" s="21">
        <f>EXP(-LN(2)/25)*BQ174+(1-EXP(-LN(2)/25))/(LN(2)/25)*Calculateur!BL175*Calculateur!BN175*VLOOKUP('Données projet'!$B$11,Paramètres!$A$1:$I$89,3,0)*0.475*44/12</f>
        <v>3.7878121482998162</v>
      </c>
      <c r="BR175" s="21">
        <f>EXP(-LN(2)/2)*BR174+(1-EXP(-LN(2)/2))/(LN(2)/2)*BL175*BO175*VLOOKUP('Données projet'!$B$11,Paramètres!$A$1:$I$89,3,0)*0.475*44/12</f>
        <v>7.1538489097295541E-10</v>
      </c>
      <c r="BS175" s="22">
        <f t="shared" si="169"/>
        <v>30.898263522097281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735.00000000000011</v>
      </c>
      <c r="BZ175" s="13">
        <f>BY175*VLOOKUP('Données projet'!$B$12,Paramètres!$A$1:$I$89,3,0)*VLOOKUP('Données projet'!$B$12,Paramètres!$A$1:$I$89,5,0)</f>
        <v>296.20500000000004</v>
      </c>
      <c r="CA175" s="13">
        <f t="shared" si="170"/>
        <v>70.380297204000939</v>
      </c>
      <c r="CB175" s="20">
        <f t="shared" si="171"/>
        <v>638.46939263030174</v>
      </c>
      <c r="CC175" s="59">
        <f t="shared" si="119"/>
        <v>931.80272596363511</v>
      </c>
      <c r="CD175" s="59">
        <f ca="1">AVERAGE(OFFSET($CC$3,0,0,'Données projet'!$E$12+1,1))-AVERAGE(OFFSET($H$3,0,0,'Données projet'!$E$12+1,1))</f>
        <v>291.0962681460345</v>
      </c>
      <c r="CE175" s="59">
        <f t="shared" si="148"/>
        <v>240.28311826371385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8.3669102773974657</v>
      </c>
      <c r="CL175" s="21">
        <f>EXP(-LN(2)/25)*CL174+(1-EXP(-LN(2)/25))/(LN(2)/25)*Calculateur!CG175*Calculateur!CI175*VLOOKUP('Données projet'!$B$12,Paramètres!$A$1:$I$89,3,0)*0.475*44/12</f>
        <v>1.7051984441394314</v>
      </c>
      <c r="CM175" s="21">
        <f>EXP(-LN(2)/2)*CM174+(1-EXP(-LN(2)/2))/(LN(2)/2)*CG175*CJ175*VLOOKUP('Données projet'!$B$12,Paramètres!$A$1:$I$89,3,0)*0.475*44/12</f>
        <v>8.6277547533302195E-15</v>
      </c>
      <c r="CN175" s="22">
        <f t="shared" si="172"/>
        <v>10.072108721536907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-5.3205440053716299E-14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225.92546546283018</v>
      </c>
      <c r="CZ175" s="59">
        <f t="shared" si="150"/>
        <v>309.38786160614563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9.8007452719920156</v>
      </c>
      <c r="DG175" s="21">
        <f>EXP(-LN(2)/25)*DG174+(1-EXP(-LN(2)/25))/(LN(2)/25)*Calculateur!DB175*Calculateur!DD175*VLOOKUP('Données projet'!$B$13,Paramètres!$A$1:$I$89,3,0)*0.475*44/12</f>
        <v>3.9219474575125761</v>
      </c>
      <c r="DH175" s="21">
        <f>EXP(-LN(2)/2)*DH174+(1-EXP(-LN(2)/2))/(LN(2)/2)*DB175*DE175*VLOOKUP('Données projet'!$B$13,Paramètres!$A$1:$I$89,3,0)*0.475*44/12</f>
        <v>1.0201087874108617E-21</v>
      </c>
      <c r="DI175" s="22">
        <f t="shared" si="175"/>
        <v>13.722692729504592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168</v>
      </c>
      <c r="DP175" s="17">
        <f>DO175*VLOOKUP('Données projet'!$B$14,Paramètres!$A$1:$I$89,3,0)*VLOOKUP('Données projet'!$B$14,Paramètres!$A$1:$I$89,5,0)</f>
        <v>146.76480000000004</v>
      </c>
      <c r="DQ175" s="13">
        <f t="shared" si="176"/>
        <v>37.842444439956665</v>
      </c>
      <c r="DR175" s="20">
        <f t="shared" si="177"/>
        <v>321.52428406625791</v>
      </c>
      <c r="DS175" s="59">
        <f t="shared" si="125"/>
        <v>614.85761739959116</v>
      </c>
      <c r="DT175" s="59">
        <f ca="1">AVERAGE(OFFSET($DS$3,0,0,'Données projet'!$E$14+1,1))-AVERAGE(OFFSET($H$3,0,0,'Données projet'!$E$14+1,1))</f>
        <v>150.06600397498823</v>
      </c>
      <c r="DU175" s="59">
        <f t="shared" si="152"/>
        <v>170.53034305929714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1.1837796535914373</v>
      </c>
      <c r="EB175" s="21">
        <f>EXP(-LN(2)/25)*EB174+(1-EXP(-LN(2)/25))/(LN(2)/25)*Calculateur!DW175*Calculateur!DY175*VLOOKUP('Données projet'!$B$14,Paramètres!$A$1:$I$89,3,0)*0.475*44/12</f>
        <v>1.1732771887048565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2.3570568422962941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294.94285920643927</v>
      </c>
      <c r="T176" s="59">
        <f t="shared" si="142"/>
        <v>399.89535338426606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14.716570690345263</v>
      </c>
      <c r="AA176" s="21">
        <f>EXP(-LN(2)/25)*AA175+(1-EXP(-LN(2)/25))/(LN(2)/25)*Calculateur!V176*Calculateur!X176*VLOOKUP('Données projet'!$B$9,Paramètres!$A$1:$I$89,3,0)*0.475*44/12</f>
        <v>6.0083269285602565</v>
      </c>
      <c r="AB176" s="21">
        <f>EXP(-LN(2)/2)*AB175+(1-EXP(-LN(2)/2))/(LN(2)/2)*V176*Y176*VLOOKUP('Données projet'!$B$9,Paramètres!$A$1:$I$89,3,0)*0.475*44/12</f>
        <v>2.5981143894063541E-21</v>
      </c>
      <c r="AC176" s="22">
        <f t="shared" si="163"/>
        <v>20.724897618905519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-1.0197709343628959E-13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200.14675249215634</v>
      </c>
      <c r="AO176" s="59">
        <f t="shared" si="144"/>
        <v>200.55017434999968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13.839387857249829</v>
      </c>
      <c r="AV176" s="21">
        <f>EXP(-LN(2)/25)*AV175+(1-EXP(-LN(2)/25))/(LN(2)/25)*Calculateur!AQ176*Calculateur!AS176*VLOOKUP('Données projet'!$B$10,Paramètres!$A$1:$I$89,3,0)*0.475*44/12</f>
        <v>1.5751094335181612</v>
      </c>
      <c r="AW176" s="21">
        <f>EXP(-LN(2)/2)*AW175+(1-EXP(-LN(2)/2))/(LN(2)/2)*AQ176*AT176*VLOOKUP('Données projet'!$B$10,Paramètres!$A$1:$I$89,3,0)*0.475*44/12</f>
        <v>3.1365392107604539E-16</v>
      </c>
      <c r="AX176" s="21">
        <f t="shared" si="166"/>
        <v>15.41449729076799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-1.4210854715202004E-13</v>
      </c>
      <c r="BE176" s="13">
        <f>BD176*VLOOKUP('Données projet'!$B$11,Paramètres!$A$1:$I$89,3,0)*VLOOKUP('Données projet'!$B$11,Paramètres!$A$1:$I$89,5,0)</f>
        <v>-8.128608897095547E-14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182.46132340647313</v>
      </c>
      <c r="BJ176" s="59">
        <f t="shared" si="146"/>
        <v>130.51706975490481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26.578831957398506</v>
      </c>
      <c r="BQ176" s="21">
        <f>EXP(-LN(2)/25)*BQ175+(1-EXP(-LN(2)/25))/(LN(2)/25)*Calculateur!BL176*Calculateur!BN176*VLOOKUP('Données projet'!$B$11,Paramètres!$A$1:$I$89,3,0)*0.475*44/12</f>
        <v>3.6842342259121739</v>
      </c>
      <c r="BR176" s="21">
        <f>EXP(-LN(2)/2)*BR175+(1-EXP(-LN(2)/2))/(LN(2)/2)*BL176*BO176*VLOOKUP('Données projet'!$B$11,Paramètres!$A$1:$I$89,3,0)*0.475*44/12</f>
        <v>5.0585350756537573E-10</v>
      </c>
      <c r="BS176" s="22">
        <f t="shared" si="169"/>
        <v>30.263066183816534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735.00000000000011</v>
      </c>
      <c r="BZ176" s="13">
        <f>BY176*VLOOKUP('Données projet'!$B$12,Paramètres!$A$1:$I$89,3,0)*VLOOKUP('Données projet'!$B$12,Paramètres!$A$1:$I$89,5,0)</f>
        <v>296.20500000000004</v>
      </c>
      <c r="CA176" s="13">
        <f t="shared" si="170"/>
        <v>70.380297204000939</v>
      </c>
      <c r="CB176" s="20">
        <f t="shared" si="171"/>
        <v>638.46939263030174</v>
      </c>
      <c r="CC176" s="59">
        <f t="shared" si="119"/>
        <v>931.80272596363511</v>
      </c>
      <c r="CD176" s="59">
        <f ca="1">AVERAGE(OFFSET($CC$3,0,0,'Données projet'!$E$12+1,1))-AVERAGE(OFFSET($H$3,0,0,'Données projet'!$E$12+1,1))</f>
        <v>291.0962681460345</v>
      </c>
      <c r="CE176" s="59">
        <f t="shared" si="148"/>
        <v>240.28311826371385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8.2028402701690606</v>
      </c>
      <c r="CL176" s="21">
        <f>EXP(-LN(2)/25)*CL175+(1-EXP(-LN(2)/25))/(LN(2)/25)*Calculateur!CG176*Calculateur!CI176*VLOOKUP('Données projet'!$B$12,Paramètres!$A$1:$I$89,3,0)*0.475*44/12</f>
        <v>1.6585697030119497</v>
      </c>
      <c r="CM176" s="21">
        <f>EXP(-LN(2)/2)*CM175+(1-EXP(-LN(2)/2))/(LN(2)/2)*CG176*CJ176*VLOOKUP('Données projet'!$B$12,Paramètres!$A$1:$I$89,3,0)*0.475*44/12</f>
        <v>6.1007438924942669E-15</v>
      </c>
      <c r="CN176" s="22">
        <f t="shared" si="172"/>
        <v>9.861409973181015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-5.3205440053716299E-14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225.92546546283018</v>
      </c>
      <c r="CZ176" s="59">
        <f t="shared" si="150"/>
        <v>309.38786160614563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9.6085586350726029</v>
      </c>
      <c r="DG176" s="21">
        <f>EXP(-LN(2)/25)*DG175+(1-EXP(-LN(2)/25))/(LN(2)/25)*Calculateur!DB176*Calculateur!DD176*VLOOKUP('Données projet'!$B$13,Paramètres!$A$1:$I$89,3,0)*0.475*44/12</f>
        <v>3.8147015980406418</v>
      </c>
      <c r="DH176" s="21">
        <f>EXP(-LN(2)/2)*DH175+(1-EXP(-LN(2)/2))/(LN(2)/2)*DB176*DE176*VLOOKUP('Données projet'!$B$13,Paramètres!$A$1:$I$89,3,0)*0.475*44/12</f>
        <v>7.2132584112620651E-22</v>
      </c>
      <c r="DI176" s="22">
        <f t="shared" si="175"/>
        <v>13.423260233113245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168</v>
      </c>
      <c r="DP176" s="17">
        <f>DO176*VLOOKUP('Données projet'!$B$14,Paramètres!$A$1:$I$89,3,0)*VLOOKUP('Données projet'!$B$14,Paramètres!$A$1:$I$89,5,0)</f>
        <v>146.76480000000004</v>
      </c>
      <c r="DQ176" s="13">
        <f t="shared" si="176"/>
        <v>37.842444439956665</v>
      </c>
      <c r="DR176" s="20">
        <f t="shared" si="177"/>
        <v>321.52428406625791</v>
      </c>
      <c r="DS176" s="59">
        <f t="shared" si="125"/>
        <v>614.85761739959116</v>
      </c>
      <c r="DT176" s="59">
        <f ca="1">AVERAGE(OFFSET($DS$3,0,0,'Données projet'!$E$14+1,1))-AVERAGE(OFFSET($H$3,0,0,'Données projet'!$E$14+1,1))</f>
        <v>150.06600397498823</v>
      </c>
      <c r="DU176" s="59">
        <f t="shared" si="152"/>
        <v>170.53034305929714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1.160566456618803</v>
      </c>
      <c r="EB176" s="21">
        <f>EXP(-LN(2)/25)*EB175+(1-EXP(-LN(2)/25))/(LN(2)/25)*Calculateur!DW176*Calculateur!DY176*VLOOKUP('Données projet'!$B$14,Paramètres!$A$1:$I$89,3,0)*0.475*44/12</f>
        <v>1.1411938622797564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2.3017603188985594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294.94285920643927</v>
      </c>
      <c r="T177" s="59">
        <f t="shared" si="142"/>
        <v>399.89535338426606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14.427987715329385</v>
      </c>
      <c r="AA177" s="21">
        <f>EXP(-LN(2)/25)*AA176+(1-EXP(-LN(2)/25))/(LN(2)/25)*Calculateur!V177*Calculateur!X177*VLOOKUP('Données projet'!$B$9,Paramètres!$A$1:$I$89,3,0)*0.475*44/12</f>
        <v>5.8440289127345952</v>
      </c>
      <c r="AB177" s="21">
        <f>EXP(-LN(2)/2)*AB176+(1-EXP(-LN(2)/2))/(LN(2)/2)*V177*Y177*VLOOKUP('Données projet'!$B$9,Paramètres!$A$1:$I$89,3,0)*0.475*44/12</f>
        <v>1.8371443030475793E-21</v>
      </c>
      <c r="AC177" s="22">
        <f t="shared" si="163"/>
        <v>20.27201662806398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-1.0197709343628959E-13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200.14675249215634</v>
      </c>
      <c r="AO177" s="59">
        <f t="shared" si="144"/>
        <v>200.55017434999968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13.568005902562254</v>
      </c>
      <c r="AV177" s="21">
        <f>EXP(-LN(2)/25)*AV176+(1-EXP(-LN(2)/25))/(LN(2)/25)*Calculateur!AQ177*Calculateur!AS177*VLOOKUP('Données projet'!$B$10,Paramètres!$A$1:$I$89,3,0)*0.475*44/12</f>
        <v>1.532037983227202</v>
      </c>
      <c r="AW177" s="21">
        <f>EXP(-LN(2)/2)*AW176+(1-EXP(-LN(2)/2))/(LN(2)/2)*AQ177*AT177*VLOOKUP('Données projet'!$B$10,Paramètres!$A$1:$I$89,3,0)*0.475*44/12</f>
        <v>2.2178681453862189E-16</v>
      </c>
      <c r="AX177" s="21">
        <f t="shared" si="166"/>
        <v>15.100043885789455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-1.4210854715202004E-13</v>
      </c>
      <c r="BE177" s="13">
        <f>BD177*VLOOKUP('Données projet'!$B$11,Paramètres!$A$1:$I$89,3,0)*VLOOKUP('Données projet'!$B$11,Paramètres!$A$1:$I$89,5,0)</f>
        <v>-8.128608897095547E-14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182.46132340647313</v>
      </c>
      <c r="BJ177" s="59">
        <f t="shared" si="146"/>
        <v>130.51706975490481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26.057637274200665</v>
      </c>
      <c r="BQ177" s="21">
        <f>EXP(-LN(2)/25)*BQ176+(1-EXP(-LN(2)/25))/(LN(2)/25)*Calculateur!BL177*Calculateur!BN177*VLOOKUP('Données projet'!$B$11,Paramètres!$A$1:$I$89,3,0)*0.475*44/12</f>
        <v>3.5834886472591481</v>
      </c>
      <c r="BR177" s="21">
        <f>EXP(-LN(2)/2)*BR176+(1-EXP(-LN(2)/2))/(LN(2)/2)*BL177*BO177*VLOOKUP('Données projet'!$B$11,Paramètres!$A$1:$I$89,3,0)*0.475*44/12</f>
        <v>3.576924454864777E-10</v>
      </c>
      <c r="BS177" s="22">
        <f t="shared" si="169"/>
        <v>29.641125921817505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735.00000000000011</v>
      </c>
      <c r="BZ177" s="13">
        <f>BY177*VLOOKUP('Données projet'!$B$12,Paramètres!$A$1:$I$89,3,0)*VLOOKUP('Données projet'!$B$12,Paramètres!$A$1:$I$89,5,0)</f>
        <v>296.20500000000004</v>
      </c>
      <c r="CA177" s="13">
        <f t="shared" si="170"/>
        <v>70.380297204000939</v>
      </c>
      <c r="CB177" s="20">
        <f t="shared" si="171"/>
        <v>638.46939263030174</v>
      </c>
      <c r="CC177" s="59">
        <f t="shared" si="119"/>
        <v>931.80272596363511</v>
      </c>
      <c r="CD177" s="59">
        <f ca="1">AVERAGE(OFFSET($CC$3,0,0,'Données projet'!$E$12+1,1))-AVERAGE(OFFSET($H$3,0,0,'Données projet'!$E$12+1,1))</f>
        <v>291.0962681460345</v>
      </c>
      <c r="CE177" s="59">
        <f t="shared" si="148"/>
        <v>240.28311826371385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8.041987575709582</v>
      </c>
      <c r="CL177" s="21">
        <f>EXP(-LN(2)/25)*CL176+(1-EXP(-LN(2)/25))/(LN(2)/25)*Calculateur!CG177*Calculateur!CI177*VLOOKUP('Données projet'!$B$12,Paramètres!$A$1:$I$89,3,0)*0.475*44/12</f>
        <v>1.6132160272626981</v>
      </c>
      <c r="CM177" s="21">
        <f>EXP(-LN(2)/2)*CM176+(1-EXP(-LN(2)/2))/(LN(2)/2)*CG177*CJ177*VLOOKUP('Données projet'!$B$12,Paramètres!$A$1:$I$89,3,0)*0.475*44/12</f>
        <v>4.3138773766651097E-15</v>
      </c>
      <c r="CN177" s="22">
        <f t="shared" si="172"/>
        <v>9.6552036029722839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-5.3205440053716299E-14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225.92546546283018</v>
      </c>
      <c r="CZ177" s="59">
        <f t="shared" si="150"/>
        <v>309.38786160614563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9.4201406608809055</v>
      </c>
      <c r="DG177" s="21">
        <f>EXP(-LN(2)/25)*DG176+(1-EXP(-LN(2)/25))/(LN(2)/25)*Calculateur!DB177*Calculateur!DD177*VLOOKUP('Données projet'!$B$13,Paramètres!$A$1:$I$89,3,0)*0.475*44/12</f>
        <v>3.7103883822357822</v>
      </c>
      <c r="DH177" s="21">
        <f>EXP(-LN(2)/2)*DH176+(1-EXP(-LN(2)/2))/(LN(2)/2)*DB177*DE177*VLOOKUP('Données projet'!$B$13,Paramètres!$A$1:$I$89,3,0)*0.475*44/12</f>
        <v>5.1005439370543084E-22</v>
      </c>
      <c r="DI177" s="22">
        <f t="shared" si="175"/>
        <v>13.130529043116688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168</v>
      </c>
      <c r="DP177" s="17">
        <f>DO177*VLOOKUP('Données projet'!$B$14,Paramètres!$A$1:$I$89,3,0)*VLOOKUP('Données projet'!$B$14,Paramètres!$A$1:$I$89,5,0)</f>
        <v>146.76480000000004</v>
      </c>
      <c r="DQ177" s="13">
        <f t="shared" si="176"/>
        <v>37.842444439956665</v>
      </c>
      <c r="DR177" s="20">
        <f t="shared" si="177"/>
        <v>321.52428406625791</v>
      </c>
      <c r="DS177" s="59">
        <f t="shared" si="125"/>
        <v>614.85761739959116</v>
      </c>
      <c r="DT177" s="59">
        <f ca="1">AVERAGE(OFFSET($DS$3,0,0,'Données projet'!$E$14+1,1))-AVERAGE(OFFSET($H$3,0,0,'Données projet'!$E$14+1,1))</f>
        <v>150.06600397498823</v>
      </c>
      <c r="DU177" s="59">
        <f t="shared" si="152"/>
        <v>170.53034305929714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1.1378084562801498</v>
      </c>
      <c r="EB177" s="21">
        <f>EXP(-LN(2)/25)*EB176+(1-EXP(-LN(2)/25))/(LN(2)/25)*Calculateur!DW177*Calculateur!DY177*VLOOKUP('Données projet'!$B$14,Paramètres!$A$1:$I$89,3,0)*0.475*44/12</f>
        <v>1.1099878561029395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2.2477963123830893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294.94285920643927</v>
      </c>
      <c r="T178" s="59">
        <f t="shared" si="142"/>
        <v>399.89535338426606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14.145063676435335</v>
      </c>
      <c r="AA178" s="21">
        <f>EXP(-LN(2)/25)*AA177+(1-EXP(-LN(2)/25))/(LN(2)/25)*Calculateur!V178*Calculateur!X178*VLOOKUP('Données projet'!$B$9,Paramètres!$A$1:$I$89,3,0)*0.475*44/12</f>
        <v>5.6842236347917439</v>
      </c>
      <c r="AB178" s="21">
        <f>EXP(-LN(2)/2)*AB177+(1-EXP(-LN(2)/2))/(LN(2)/2)*V178*Y178*VLOOKUP('Données projet'!$B$9,Paramètres!$A$1:$I$89,3,0)*0.475*44/12</f>
        <v>1.299057194703177E-21</v>
      </c>
      <c r="AC178" s="22">
        <f t="shared" si="163"/>
        <v>19.829287311227077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-1.0197709343628959E-13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200.14675249215634</v>
      </c>
      <c r="AO178" s="59">
        <f t="shared" si="144"/>
        <v>200.55017434999968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13.301945582479455</v>
      </c>
      <c r="AV178" s="21">
        <f>EXP(-LN(2)/25)*AV177+(1-EXP(-LN(2)/25))/(LN(2)/25)*Calculateur!AQ178*Calculateur!AS178*VLOOKUP('Données projet'!$B$10,Paramètres!$A$1:$I$89,3,0)*0.475*44/12</f>
        <v>1.490144324009478</v>
      </c>
      <c r="AW178" s="21">
        <f>EXP(-LN(2)/2)*AW177+(1-EXP(-LN(2)/2))/(LN(2)/2)*AQ178*AT178*VLOOKUP('Données projet'!$B$10,Paramètres!$A$1:$I$89,3,0)*0.475*44/12</f>
        <v>1.5682696053802272E-16</v>
      </c>
      <c r="AX178" s="21">
        <f t="shared" si="166"/>
        <v>14.792089906488933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-1.4210854715202004E-13</v>
      </c>
      <c r="BE178" s="13">
        <f>BD178*VLOOKUP('Données projet'!$B$11,Paramètres!$A$1:$I$89,3,0)*VLOOKUP('Données projet'!$B$11,Paramètres!$A$1:$I$89,5,0)</f>
        <v>-8.128608897095547E-14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182.46132340647313</v>
      </c>
      <c r="BJ178" s="59">
        <f t="shared" si="146"/>
        <v>130.51706975490481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25.546662900842968</v>
      </c>
      <c r="BQ178" s="21">
        <f>EXP(-LN(2)/25)*BQ177+(1-EXP(-LN(2)/25))/(LN(2)/25)*Calculateur!BL178*Calculateur!BN178*VLOOKUP('Données projet'!$B$11,Paramètres!$A$1:$I$89,3,0)*0.475*44/12</f>
        <v>3.4854979617523689</v>
      </c>
      <c r="BR178" s="21">
        <f>EXP(-LN(2)/2)*BR177+(1-EXP(-LN(2)/2))/(LN(2)/2)*BL178*BO178*VLOOKUP('Données projet'!$B$11,Paramètres!$A$1:$I$89,3,0)*0.475*44/12</f>
        <v>2.5292675378268787E-10</v>
      </c>
      <c r="BS178" s="22">
        <f t="shared" si="169"/>
        <v>29.032160862848265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735.00000000000011</v>
      </c>
      <c r="BZ178" s="13">
        <f>BY178*VLOOKUP('Données projet'!$B$12,Paramètres!$A$1:$I$89,3,0)*VLOOKUP('Données projet'!$B$12,Paramètres!$A$1:$I$89,5,0)</f>
        <v>296.20500000000004</v>
      </c>
      <c r="CA178" s="13">
        <f t="shared" si="170"/>
        <v>70.380297204000939</v>
      </c>
      <c r="CB178" s="20">
        <f t="shared" si="171"/>
        <v>638.46939263030174</v>
      </c>
      <c r="CC178" s="59">
        <f t="shared" si="119"/>
        <v>931.80272596363511</v>
      </c>
      <c r="CD178" s="59">
        <f ca="1">AVERAGE(OFFSET($CC$3,0,0,'Données projet'!$E$12+1,1))-AVERAGE(OFFSET($H$3,0,0,'Données projet'!$E$12+1,1))</f>
        <v>291.0962681460345</v>
      </c>
      <c r="CE178" s="59">
        <f t="shared" si="148"/>
        <v>240.28311826371385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7.8842891044779968</v>
      </c>
      <c r="CL178" s="21">
        <f>EXP(-LN(2)/25)*CL177+(1-EXP(-LN(2)/25))/(LN(2)/25)*Calculateur!CG178*Calculateur!CI178*VLOOKUP('Données projet'!$B$12,Paramètres!$A$1:$I$89,3,0)*0.475*44/12</f>
        <v>1.5691025501618558</v>
      </c>
      <c r="CM178" s="21">
        <f>EXP(-LN(2)/2)*CM177+(1-EXP(-LN(2)/2))/(LN(2)/2)*CG178*CJ178*VLOOKUP('Données projet'!$B$12,Paramètres!$A$1:$I$89,3,0)*0.475*44/12</f>
        <v>3.0503719462471334E-15</v>
      </c>
      <c r="CN178" s="22">
        <f t="shared" si="172"/>
        <v>9.4533916546398569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-5.3205440053716299E-14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225.92546546283018</v>
      </c>
      <c r="CZ178" s="59">
        <f t="shared" si="150"/>
        <v>309.38786160614563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9.2354174482394917</v>
      </c>
      <c r="DG178" s="21">
        <f>EXP(-LN(2)/25)*DG177+(1-EXP(-LN(2)/25))/(LN(2)/25)*Calculateur!DB178*Calculateur!DD178*VLOOKUP('Données projet'!$B$13,Paramètres!$A$1:$I$89,3,0)*0.475*44/12</f>
        <v>3.6089276168027</v>
      </c>
      <c r="DH178" s="21">
        <f>EXP(-LN(2)/2)*DH177+(1-EXP(-LN(2)/2))/(LN(2)/2)*DB178*DE178*VLOOKUP('Données projet'!$B$13,Paramètres!$A$1:$I$89,3,0)*0.475*44/12</f>
        <v>3.6066292056310326E-22</v>
      </c>
      <c r="DI178" s="22">
        <f t="shared" si="175"/>
        <v>12.844345065042191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168</v>
      </c>
      <c r="DP178" s="17">
        <f>DO178*VLOOKUP('Données projet'!$B$14,Paramètres!$A$1:$I$89,3,0)*VLOOKUP('Données projet'!$B$14,Paramètres!$A$1:$I$89,5,0)</f>
        <v>146.76480000000004</v>
      </c>
      <c r="DQ178" s="13">
        <f t="shared" si="176"/>
        <v>37.842444439956665</v>
      </c>
      <c r="DR178" s="20">
        <f t="shared" si="177"/>
        <v>321.52428406625791</v>
      </c>
      <c r="DS178" s="59">
        <f t="shared" si="125"/>
        <v>614.85761739959116</v>
      </c>
      <c r="DT178" s="59">
        <f ca="1">AVERAGE(OFFSET($DS$3,0,0,'Données projet'!$E$14+1,1))-AVERAGE(OFFSET($H$3,0,0,'Données projet'!$E$14+1,1))</f>
        <v>150.06600397498823</v>
      </c>
      <c r="DU178" s="59">
        <f t="shared" si="152"/>
        <v>170.53034305929714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1.1154967264471281</v>
      </c>
      <c r="EB178" s="21">
        <f>EXP(-LN(2)/25)*EB177+(1-EXP(-LN(2)/25))/(LN(2)/25)*Calculateur!DW178*Calculateur!DY178*VLOOKUP('Données projet'!$B$14,Paramètres!$A$1:$I$89,3,0)*0.475*44/12</f>
        <v>1.0796351798060801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2.1951319062532084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294.94285920643927</v>
      </c>
      <c r="T179" s="59">
        <f t="shared" si="142"/>
        <v>399.89535338426606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13.867687605377371</v>
      </c>
      <c r="AA179" s="21">
        <f>EXP(-LN(2)/25)*AA178+(1-EXP(-LN(2)/25))/(LN(2)/25)*Calculateur!V179*Calculateur!X179*VLOOKUP('Données projet'!$B$9,Paramètres!$A$1:$I$89,3,0)*0.475*44/12</f>
        <v>5.5287882405780344</v>
      </c>
      <c r="AB179" s="21">
        <f>EXP(-LN(2)/2)*AB178+(1-EXP(-LN(2)/2))/(LN(2)/2)*V179*Y179*VLOOKUP('Données projet'!$B$9,Paramètres!$A$1:$I$89,3,0)*0.475*44/12</f>
        <v>9.1857215152378967E-22</v>
      </c>
      <c r="AC179" s="22">
        <f t="shared" si="163"/>
        <v>19.396475845955408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-1.0197709343628959E-13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200.14675249215634</v>
      </c>
      <c r="AO179" s="59">
        <f t="shared" si="144"/>
        <v>200.55017434999968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13.041102542992707</v>
      </c>
      <c r="AV179" s="21">
        <f>EXP(-LN(2)/25)*AV178+(1-EXP(-LN(2)/25))/(LN(2)/25)*Calculateur!AQ179*Calculateur!AS179*VLOOKUP('Données projet'!$B$10,Paramètres!$A$1:$I$89,3,0)*0.475*44/12</f>
        <v>1.4493962491061547</v>
      </c>
      <c r="AW179" s="21">
        <f>EXP(-LN(2)/2)*AW178+(1-EXP(-LN(2)/2))/(LN(2)/2)*AQ179*AT179*VLOOKUP('Données projet'!$B$10,Paramètres!$A$1:$I$89,3,0)*0.475*44/12</f>
        <v>1.1089340726931096E-16</v>
      </c>
      <c r="AX179" s="21">
        <f t="shared" si="166"/>
        <v>14.490498792098862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-1.4210854715202004E-13</v>
      </c>
      <c r="BE179" s="13">
        <f>BD179*VLOOKUP('Données projet'!$B$11,Paramètres!$A$1:$I$89,3,0)*VLOOKUP('Données projet'!$B$11,Paramètres!$A$1:$I$89,5,0)</f>
        <v>-8.128608897095547E-14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182.46132340647313</v>
      </c>
      <c r="BJ179" s="59">
        <f t="shared" si="146"/>
        <v>130.51706975490481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25.045708423283219</v>
      </c>
      <c r="BQ179" s="21">
        <f>EXP(-LN(2)/25)*BQ178+(1-EXP(-LN(2)/25))/(LN(2)/25)*Calculateur!BL179*Calculateur!BN179*VLOOKUP('Données projet'!$B$11,Paramètres!$A$1:$I$89,3,0)*0.475*44/12</f>
        <v>3.390186836693879</v>
      </c>
      <c r="BR179" s="21">
        <f>EXP(-LN(2)/2)*BR178+(1-EXP(-LN(2)/2))/(LN(2)/2)*BL179*BO179*VLOOKUP('Données projet'!$B$11,Paramètres!$A$1:$I$89,3,0)*0.475*44/12</f>
        <v>1.7884622274323885E-10</v>
      </c>
      <c r="BS179" s="22">
        <f t="shared" si="169"/>
        <v>28.435895260155945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735.00000000000011</v>
      </c>
      <c r="BZ179" s="13">
        <f>BY179*VLOOKUP('Données projet'!$B$12,Paramètres!$A$1:$I$89,3,0)*VLOOKUP('Données projet'!$B$12,Paramètres!$A$1:$I$89,5,0)</f>
        <v>296.20500000000004</v>
      </c>
      <c r="CA179" s="13">
        <f t="shared" si="170"/>
        <v>70.380297204000939</v>
      </c>
      <c r="CB179" s="20">
        <f t="shared" si="171"/>
        <v>638.46939263030174</v>
      </c>
      <c r="CC179" s="59">
        <f t="shared" si="119"/>
        <v>931.80272596363511</v>
      </c>
      <c r="CD179" s="59">
        <f ca="1">AVERAGE(OFFSET($CC$3,0,0,'Données projet'!$E$12+1,1))-AVERAGE(OFFSET($H$3,0,0,'Données projet'!$E$12+1,1))</f>
        <v>291.0962681460345</v>
      </c>
      <c r="CE179" s="59">
        <f t="shared" si="148"/>
        <v>240.28311826371385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7.7296830040806936</v>
      </c>
      <c r="CL179" s="21">
        <f>EXP(-LN(2)/25)*CL178+(1-EXP(-LN(2)/25))/(LN(2)/25)*Calculateur!CG179*Calculateur!CI179*VLOOKUP('Données projet'!$B$12,Paramètres!$A$1:$I$89,3,0)*0.475*44/12</f>
        <v>1.526195358412163</v>
      </c>
      <c r="CM179" s="21">
        <f>EXP(-LN(2)/2)*CM178+(1-EXP(-LN(2)/2))/(LN(2)/2)*CG179*CJ179*VLOOKUP('Données projet'!$B$12,Paramètres!$A$1:$I$89,3,0)*0.475*44/12</f>
        <v>2.1569386883325549E-15</v>
      </c>
      <c r="CN179" s="22">
        <f t="shared" si="172"/>
        <v>9.255878362492858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-5.3205440053716299E-14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225.92546546283018</v>
      </c>
      <c r="CZ179" s="59">
        <f t="shared" si="150"/>
        <v>309.38786160614563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9.054316545127941</v>
      </c>
      <c r="DG179" s="21">
        <f>EXP(-LN(2)/25)*DG178+(1-EXP(-LN(2)/25))/(LN(2)/25)*Calculateur!DB179*Calculateur!DD179*VLOOKUP('Données projet'!$B$13,Paramètres!$A$1:$I$89,3,0)*0.475*44/12</f>
        <v>3.510241301335975</v>
      </c>
      <c r="DH179" s="21">
        <f>EXP(-LN(2)/2)*DH178+(1-EXP(-LN(2)/2))/(LN(2)/2)*DB179*DE179*VLOOKUP('Données projet'!$B$13,Paramètres!$A$1:$I$89,3,0)*0.475*44/12</f>
        <v>2.5502719685271542E-22</v>
      </c>
      <c r="DI179" s="22">
        <f t="shared" si="175"/>
        <v>12.564557846463916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168</v>
      </c>
      <c r="DP179" s="17">
        <f>DO179*VLOOKUP('Données projet'!$B$14,Paramètres!$A$1:$I$89,3,0)*VLOOKUP('Données projet'!$B$14,Paramètres!$A$1:$I$89,5,0)</f>
        <v>146.76480000000004</v>
      </c>
      <c r="DQ179" s="13">
        <f t="shared" si="176"/>
        <v>37.842444439956665</v>
      </c>
      <c r="DR179" s="20">
        <f t="shared" si="177"/>
        <v>321.52428406625791</v>
      </c>
      <c r="DS179" s="59">
        <f t="shared" si="125"/>
        <v>614.85761739959116</v>
      </c>
      <c r="DT179" s="59">
        <f ca="1">AVERAGE(OFFSET($DS$3,0,0,'Données projet'!$E$14+1,1))-AVERAGE(OFFSET($H$3,0,0,'Données projet'!$E$14+1,1))</f>
        <v>150.06600397498823</v>
      </c>
      <c r="DU179" s="59">
        <f t="shared" si="152"/>
        <v>170.53034305929714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1.0936225160273205</v>
      </c>
      <c r="EB179" s="21">
        <f>EXP(-LN(2)/25)*EB178+(1-EXP(-LN(2)/25))/(LN(2)/25)*Calculateur!DW179*Calculateur!DY179*VLOOKUP('Données projet'!$B$14,Paramètres!$A$1:$I$89,3,0)*0.475*44/12</f>
        <v>1.0501124990387363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2.1437350150660568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294.94285920643927</v>
      </c>
      <c r="T180" s="59">
        <f t="shared" si="142"/>
        <v>399.89535338426606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13.595750709890158</v>
      </c>
      <c r="AA180" s="21">
        <f>EXP(-LN(2)/25)*AA179+(1-EXP(-LN(2)/25))/(LN(2)/25)*Calculateur!V180*Calculateur!X180*VLOOKUP('Données projet'!$B$9,Paramètres!$A$1:$I$89,3,0)*0.475*44/12</f>
        <v>5.3776032353930905</v>
      </c>
      <c r="AB180" s="21">
        <f>EXP(-LN(2)/2)*AB179+(1-EXP(-LN(2)/2))/(LN(2)/2)*V180*Y180*VLOOKUP('Données projet'!$B$9,Paramètres!$A$1:$I$89,3,0)*0.475*44/12</f>
        <v>6.4952859735158852E-22</v>
      </c>
      <c r="AC180" s="22">
        <f t="shared" si="163"/>
        <v>18.97335394528325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-1.0197709343628959E-13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200.14675249215634</v>
      </c>
      <c r="AO180" s="59">
        <f t="shared" si="144"/>
        <v>200.55017434999968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12.78537447641175</v>
      </c>
      <c r="AV180" s="21">
        <f>EXP(-LN(2)/25)*AV179+(1-EXP(-LN(2)/25))/(LN(2)/25)*Calculateur!AQ180*Calculateur!AS180*VLOOKUP('Données projet'!$B$10,Paramètres!$A$1:$I$89,3,0)*0.475*44/12</f>
        <v>1.4097624324539109</v>
      </c>
      <c r="AW180" s="21">
        <f>EXP(-LN(2)/2)*AW179+(1-EXP(-LN(2)/2))/(LN(2)/2)*AQ180*AT180*VLOOKUP('Données projet'!$B$10,Paramètres!$A$1:$I$89,3,0)*0.475*44/12</f>
        <v>7.8413480269011371E-17</v>
      </c>
      <c r="AX180" s="21">
        <f t="shared" si="166"/>
        <v>14.195136908865662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-1.4210854715202004E-13</v>
      </c>
      <c r="BE180" s="13">
        <f>BD180*VLOOKUP('Données projet'!$B$11,Paramètres!$A$1:$I$89,3,0)*VLOOKUP('Données projet'!$B$11,Paramètres!$A$1:$I$89,5,0)</f>
        <v>-8.128608897095547E-14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182.46132340647313</v>
      </c>
      <c r="BJ180" s="59">
        <f t="shared" si="146"/>
        <v>130.51706975490481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24.554577357476358</v>
      </c>
      <c r="BQ180" s="21">
        <f>EXP(-LN(2)/25)*BQ179+(1-EXP(-LN(2)/25))/(LN(2)/25)*Calculateur!BL180*Calculateur!BN180*VLOOKUP('Données projet'!$B$11,Paramètres!$A$1:$I$89,3,0)*0.475*44/12</f>
        <v>3.2974819993623075</v>
      </c>
      <c r="BR180" s="21">
        <f>EXP(-LN(2)/2)*BR179+(1-EXP(-LN(2)/2))/(LN(2)/2)*BL180*BO180*VLOOKUP('Données projet'!$B$11,Paramètres!$A$1:$I$89,3,0)*0.475*44/12</f>
        <v>1.2646337689134393E-10</v>
      </c>
      <c r="BS180" s="22">
        <f t="shared" si="169"/>
        <v>27.852059356965128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735.00000000000011</v>
      </c>
      <c r="BZ180" s="13">
        <f>BY180*VLOOKUP('Données projet'!$B$12,Paramètres!$A$1:$I$89,3,0)*VLOOKUP('Données projet'!$B$12,Paramètres!$A$1:$I$89,5,0)</f>
        <v>296.20500000000004</v>
      </c>
      <c r="CA180" s="13">
        <f t="shared" si="170"/>
        <v>70.380297204000939</v>
      </c>
      <c r="CB180" s="20">
        <f t="shared" si="171"/>
        <v>638.46939263030174</v>
      </c>
      <c r="CC180" s="59">
        <f t="shared" si="119"/>
        <v>931.80272596363511</v>
      </c>
      <c r="CD180" s="59">
        <f ca="1">AVERAGE(OFFSET($CC$3,0,0,'Données projet'!$E$12+1,1))-AVERAGE(OFFSET($H$3,0,0,'Données projet'!$E$12+1,1))</f>
        <v>291.0962681460345</v>
      </c>
      <c r="CE180" s="59">
        <f t="shared" si="148"/>
        <v>240.28311826371385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7.5781086350117715</v>
      </c>
      <c r="CL180" s="21">
        <f>EXP(-LN(2)/25)*CL179+(1-EXP(-LN(2)/25))/(LN(2)/25)*Calculateur!CG180*Calculateur!CI180*VLOOKUP('Données projet'!$B$12,Paramètres!$A$1:$I$89,3,0)*0.475*44/12</f>
        <v>1.4844614660772566</v>
      </c>
      <c r="CM180" s="21">
        <f>EXP(-LN(2)/2)*CM179+(1-EXP(-LN(2)/2))/(LN(2)/2)*CG180*CJ180*VLOOKUP('Données projet'!$B$12,Paramètres!$A$1:$I$89,3,0)*0.475*44/12</f>
        <v>1.5251859731235667E-15</v>
      </c>
      <c r="CN180" s="22">
        <f t="shared" si="172"/>
        <v>9.0625701010890296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-5.3205440053716299E-14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225.92546546283018</v>
      </c>
      <c r="CZ180" s="59">
        <f t="shared" si="150"/>
        <v>309.38786160614563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8.876766920265764</v>
      </c>
      <c r="DG180" s="21">
        <f>EXP(-LN(2)/25)*DG179+(1-EXP(-LN(2)/25))/(LN(2)/25)*Calculateur!DB180*Calculateur!DD180*VLOOKUP('Données projet'!$B$13,Paramètres!$A$1:$I$89,3,0)*0.475*44/12</f>
        <v>3.4142535683553756</v>
      </c>
      <c r="DH180" s="21">
        <f>EXP(-LN(2)/2)*DH179+(1-EXP(-LN(2)/2))/(LN(2)/2)*DB180*DE180*VLOOKUP('Données projet'!$B$13,Paramètres!$A$1:$I$89,3,0)*0.475*44/12</f>
        <v>1.8033146028155163E-22</v>
      </c>
      <c r="DI180" s="22">
        <f t="shared" si="175"/>
        <v>12.29102048862114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168</v>
      </c>
      <c r="DP180" s="17">
        <f>DO180*VLOOKUP('Données projet'!$B$14,Paramètres!$A$1:$I$89,3,0)*VLOOKUP('Données projet'!$B$14,Paramètres!$A$1:$I$89,5,0)</f>
        <v>146.76480000000004</v>
      </c>
      <c r="DQ180" s="13">
        <f t="shared" si="176"/>
        <v>37.842444439956665</v>
      </c>
      <c r="DR180" s="20">
        <f t="shared" si="177"/>
        <v>321.52428406625791</v>
      </c>
      <c r="DS180" s="59">
        <f t="shared" si="125"/>
        <v>614.85761739959116</v>
      </c>
      <c r="DT180" s="59">
        <f ca="1">AVERAGE(OFFSET($DS$3,0,0,'Données projet'!$E$14+1,1))-AVERAGE(OFFSET($H$3,0,0,'Données projet'!$E$14+1,1))</f>
        <v>150.06600397498823</v>
      </c>
      <c r="DU180" s="59">
        <f t="shared" si="152"/>
        <v>170.53034305929714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1.0721772455318945</v>
      </c>
      <c r="EB180" s="21">
        <f>EXP(-LN(2)/25)*EB179+(1-EXP(-LN(2)/25))/(LN(2)/25)*Calculateur!DW180*Calculateur!DY180*VLOOKUP('Données projet'!$B$14,Paramètres!$A$1:$I$89,3,0)*0.475*44/12</f>
        <v>1.0213971175295058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2.0935743630614003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294.94285920643927</v>
      </c>
      <c r="T181" s="59">
        <f t="shared" si="142"/>
        <v>399.89535338426606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13.32914633105832</v>
      </c>
      <c r="AA181" s="21">
        <f>EXP(-LN(2)/25)*AA180+(1-EXP(-LN(2)/25))/(LN(2)/25)*Calculateur!V181*Calculateur!X181*VLOOKUP('Données projet'!$B$9,Paramètres!$A$1:$I$89,3,0)*0.475*44/12</f>
        <v>5.2305523921254027</v>
      </c>
      <c r="AB181" s="21">
        <f>EXP(-LN(2)/2)*AB180+(1-EXP(-LN(2)/2))/(LN(2)/2)*V181*Y181*VLOOKUP('Données projet'!$B$9,Paramètres!$A$1:$I$89,3,0)*0.475*44/12</f>
        <v>4.5928607576189484E-22</v>
      </c>
      <c r="AC181" s="22">
        <f t="shared" si="163"/>
        <v>18.559698723183722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-1.0197709343628959E-13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200.14675249215634</v>
      </c>
      <c r="AO181" s="59">
        <f t="shared" si="144"/>
        <v>200.55017434999968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12.534661081237727</v>
      </c>
      <c r="AV181" s="21">
        <f>EXP(-LN(2)/25)*AV180+(1-EXP(-LN(2)/25))/(LN(2)/25)*Calculateur!AQ181*Calculateur!AS181*VLOOKUP('Données projet'!$B$10,Paramètres!$A$1:$I$89,3,0)*0.475*44/12</f>
        <v>1.3712124046022744</v>
      </c>
      <c r="AW181" s="21">
        <f>EXP(-LN(2)/2)*AW180+(1-EXP(-LN(2)/2))/(LN(2)/2)*AQ181*AT181*VLOOKUP('Données projet'!$B$10,Paramètres!$A$1:$I$89,3,0)*0.475*44/12</f>
        <v>5.544670363465549E-17</v>
      </c>
      <c r="AX181" s="21">
        <f t="shared" si="166"/>
        <v>13.905873485840003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-1.4210854715202004E-13</v>
      </c>
      <c r="BE181" s="13">
        <f>BD181*VLOOKUP('Données projet'!$B$11,Paramètres!$A$1:$I$89,3,0)*VLOOKUP('Données projet'!$B$11,Paramètres!$A$1:$I$89,5,0)</f>
        <v>-8.128608897095547E-14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182.46132340647313</v>
      </c>
      <c r="BJ181" s="59">
        <f t="shared" si="146"/>
        <v>130.51706975490481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24.073077072309598</v>
      </c>
      <c r="BQ181" s="21">
        <f>EXP(-LN(2)/25)*BQ180+(1-EXP(-LN(2)/25))/(LN(2)/25)*Calculateur!BL181*Calculateur!BN181*VLOOKUP('Données projet'!$B$11,Paramètres!$A$1:$I$89,3,0)*0.475*44/12</f>
        <v>3.2073121806827034</v>
      </c>
      <c r="BR181" s="21">
        <f>EXP(-LN(2)/2)*BR180+(1-EXP(-LN(2)/2))/(LN(2)/2)*BL181*BO181*VLOOKUP('Données projet'!$B$11,Paramètres!$A$1:$I$89,3,0)*0.475*44/12</f>
        <v>8.9423111371619426E-11</v>
      </c>
      <c r="BS181" s="22">
        <f t="shared" si="169"/>
        <v>27.280389253081722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735.00000000000011</v>
      </c>
      <c r="BZ181" s="13">
        <f>BY181*VLOOKUP('Données projet'!$B$12,Paramètres!$A$1:$I$89,3,0)*VLOOKUP('Données projet'!$B$12,Paramètres!$A$1:$I$89,5,0)</f>
        <v>296.20500000000004</v>
      </c>
      <c r="CA181" s="13">
        <f t="shared" si="170"/>
        <v>70.380297204000939</v>
      </c>
      <c r="CB181" s="20">
        <f t="shared" si="171"/>
        <v>638.46939263030174</v>
      </c>
      <c r="CC181" s="59">
        <f t="shared" si="119"/>
        <v>931.80272596363511</v>
      </c>
      <c r="CD181" s="59">
        <f ca="1">AVERAGE(OFFSET($CC$3,0,0,'Données projet'!$E$12+1,1))-AVERAGE(OFFSET($H$3,0,0,'Données projet'!$E$12+1,1))</f>
        <v>291.0962681460345</v>
      </c>
      <c r="CE181" s="59">
        <f t="shared" si="148"/>
        <v>240.28311826371385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7.4295065468690549</v>
      </c>
      <c r="CL181" s="21">
        <f>EXP(-LN(2)/25)*CL180+(1-EXP(-LN(2)/25))/(LN(2)/25)*Calculateur!CG181*Calculateur!CI181*VLOOKUP('Données projet'!$B$12,Paramètres!$A$1:$I$89,3,0)*0.475*44/12</f>
        <v>1.4438687892229383</v>
      </c>
      <c r="CM181" s="21">
        <f>EXP(-LN(2)/2)*CM180+(1-EXP(-LN(2)/2))/(LN(2)/2)*CG181*CJ181*VLOOKUP('Données projet'!$B$12,Paramètres!$A$1:$I$89,3,0)*0.475*44/12</f>
        <v>1.0784693441662774E-15</v>
      </c>
      <c r="CN181" s="22">
        <f t="shared" si="172"/>
        <v>8.8733753360919945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-5.3205440053716299E-14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225.92546546283018</v>
      </c>
      <c r="CZ181" s="59">
        <f t="shared" si="150"/>
        <v>309.38786160614563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8.7026989352525561</v>
      </c>
      <c r="DG181" s="21">
        <f>EXP(-LN(2)/25)*DG180+(1-EXP(-LN(2)/25))/(LN(2)/25)*Calculateur!DB181*Calculateur!DD181*VLOOKUP('Données projet'!$B$13,Paramètres!$A$1:$I$89,3,0)*0.475*44/12</f>
        <v>3.320890624980906</v>
      </c>
      <c r="DH181" s="21">
        <f>EXP(-LN(2)/2)*DH180+(1-EXP(-LN(2)/2))/(LN(2)/2)*DB181*DE181*VLOOKUP('Données projet'!$B$13,Paramètres!$A$1:$I$89,3,0)*0.475*44/12</f>
        <v>1.2751359842635771E-22</v>
      </c>
      <c r="DI181" s="22">
        <f t="shared" si="175"/>
        <v>12.023589560233463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168</v>
      </c>
      <c r="DP181" s="17">
        <f>DO181*VLOOKUP('Données projet'!$B$14,Paramètres!$A$1:$I$89,3,0)*VLOOKUP('Données projet'!$B$14,Paramètres!$A$1:$I$89,5,0)</f>
        <v>146.76480000000004</v>
      </c>
      <c r="DQ181" s="13">
        <f t="shared" si="176"/>
        <v>37.842444439956665</v>
      </c>
      <c r="DR181" s="20">
        <f t="shared" si="177"/>
        <v>321.52428406625791</v>
      </c>
      <c r="DS181" s="59">
        <f t="shared" si="125"/>
        <v>614.85761739959116</v>
      </c>
      <c r="DT181" s="59">
        <f ca="1">AVERAGE(OFFSET($DS$3,0,0,'Données projet'!$E$14+1,1))-AVERAGE(OFFSET($H$3,0,0,'Données projet'!$E$14+1,1))</f>
        <v>150.06600397498823</v>
      </c>
      <c r="DU181" s="59">
        <f t="shared" si="152"/>
        <v>170.53034305929714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1.0511525037105602</v>
      </c>
      <c r="EB181" s="21">
        <f>EXP(-LN(2)/25)*EB180+(1-EXP(-LN(2)/25))/(LN(2)/25)*Calculateur!DW181*Calculateur!DY181*VLOOKUP('Données projet'!$B$14,Paramètres!$A$1:$I$89,3,0)*0.475*44/12</f>
        <v>0.99346695963772147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2.0446194633482815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294.94285920643927</v>
      </c>
      <c r="T182" s="59">
        <f t="shared" si="142"/>
        <v>399.89535338426606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13.067769901482761</v>
      </c>
      <c r="AA182" s="21">
        <f>EXP(-LN(2)/25)*AA181+(1-EXP(-LN(2)/25))/(LN(2)/25)*Calculateur!V182*Calculateur!X182*VLOOKUP('Données projet'!$B$9,Paramètres!$A$1:$I$89,3,0)*0.475*44/12</f>
        <v>5.0875226618999374</v>
      </c>
      <c r="AB182" s="21">
        <f>EXP(-LN(2)/2)*AB181+(1-EXP(-LN(2)/2))/(LN(2)/2)*V182*Y182*VLOOKUP('Données projet'!$B$9,Paramètres!$A$1:$I$89,3,0)*0.475*44/12</f>
        <v>3.2476429867579426E-22</v>
      </c>
      <c r="AC182" s="22">
        <f t="shared" si="163"/>
        <v>18.155292563382698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-1.0197709343628959E-13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200.14675249215634</v>
      </c>
      <c r="AO182" s="59">
        <f t="shared" si="144"/>
        <v>200.55017434999968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12.288864022822995</v>
      </c>
      <c r="AV182" s="21">
        <f>EXP(-LN(2)/25)*AV181+(1-EXP(-LN(2)/25))/(LN(2)/25)*Calculateur!AQ182*Calculateur!AS182*VLOOKUP('Données projet'!$B$10,Paramètres!$A$1:$I$89,3,0)*0.475*44/12</f>
        <v>1.3337165292894988</v>
      </c>
      <c r="AW182" s="21">
        <f>EXP(-LN(2)/2)*AW181+(1-EXP(-LN(2)/2))/(LN(2)/2)*AQ182*AT182*VLOOKUP('Données projet'!$B$10,Paramètres!$A$1:$I$89,3,0)*0.475*44/12</f>
        <v>3.9206740134505692E-17</v>
      </c>
      <c r="AX182" s="21">
        <f t="shared" si="166"/>
        <v>13.622580552112494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-1.4210854715202004E-13</v>
      </c>
      <c r="BE182" s="13">
        <f>BD182*VLOOKUP('Données projet'!$B$11,Paramètres!$A$1:$I$89,3,0)*VLOOKUP('Données projet'!$B$11,Paramètres!$A$1:$I$89,5,0)</f>
        <v>-8.128608897095547E-14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182.46132340647313</v>
      </c>
      <c r="BJ182" s="59">
        <f t="shared" si="146"/>
        <v>130.51706975490481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23.601018714048781</v>
      </c>
      <c r="BQ182" s="21">
        <f>EXP(-LN(2)/25)*BQ181+(1-EXP(-LN(2)/25))/(LN(2)/25)*Calculateur!BL182*Calculateur!BN182*VLOOKUP('Données projet'!$B$11,Paramètres!$A$1:$I$89,3,0)*0.475*44/12</f>
        <v>3.1196080604367178</v>
      </c>
      <c r="BR182" s="21">
        <f>EXP(-LN(2)/2)*BR181+(1-EXP(-LN(2)/2))/(LN(2)/2)*BL182*BO182*VLOOKUP('Données projet'!$B$11,Paramètres!$A$1:$I$89,3,0)*0.475*44/12</f>
        <v>6.3231688445671966E-11</v>
      </c>
      <c r="BS182" s="22">
        <f t="shared" si="169"/>
        <v>26.72062677454873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735.00000000000011</v>
      </c>
      <c r="BZ182" s="13">
        <f>BY182*VLOOKUP('Données projet'!$B$12,Paramètres!$A$1:$I$89,3,0)*VLOOKUP('Données projet'!$B$12,Paramètres!$A$1:$I$89,5,0)</f>
        <v>296.20500000000004</v>
      </c>
      <c r="CA182" s="13">
        <f t="shared" si="170"/>
        <v>70.380297204000939</v>
      </c>
      <c r="CB182" s="20">
        <f t="shared" si="171"/>
        <v>638.46939263030174</v>
      </c>
      <c r="CC182" s="59">
        <f t="shared" si="119"/>
        <v>931.80272596363511</v>
      </c>
      <c r="CD182" s="59">
        <f ca="1">AVERAGE(OFFSET($CC$3,0,0,'Données projet'!$E$12+1,1))-AVERAGE(OFFSET($H$3,0,0,'Données projet'!$E$12+1,1))</f>
        <v>291.0962681460345</v>
      </c>
      <c r="CE182" s="59">
        <f t="shared" si="148"/>
        <v>240.28311826371385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7.2838184550364931</v>
      </c>
      <c r="CL182" s="21">
        <f>EXP(-LN(2)/25)*CL181+(1-EXP(-LN(2)/25))/(LN(2)/25)*Calculateur!CG182*Calculateur!CI182*VLOOKUP('Données projet'!$B$12,Paramètres!$A$1:$I$89,3,0)*0.475*44/12</f>
        <v>1.4043861212518773</v>
      </c>
      <c r="CM182" s="21">
        <f>EXP(-LN(2)/2)*CM181+(1-EXP(-LN(2)/2))/(LN(2)/2)*CG182*CJ182*VLOOKUP('Données projet'!$B$12,Paramètres!$A$1:$I$89,3,0)*0.475*44/12</f>
        <v>7.6259298656178336E-16</v>
      </c>
      <c r="CN182" s="22">
        <f t="shared" si="172"/>
        <v>8.6882045762883706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-5.3205440053716299E-14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225.92546546283018</v>
      </c>
      <c r="CZ182" s="59">
        <f t="shared" si="150"/>
        <v>309.38786160614563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8.5320443172544707</v>
      </c>
      <c r="DG182" s="21">
        <f>EXP(-LN(2)/25)*DG181+(1-EXP(-LN(2)/25))/(LN(2)/25)*Calculateur!DB182*Calculateur!DD182*VLOOKUP('Données projet'!$B$13,Paramètres!$A$1:$I$89,3,0)*0.475*44/12</f>
        <v>3.2300806962027551</v>
      </c>
      <c r="DH182" s="21">
        <f>EXP(-LN(2)/2)*DH181+(1-EXP(-LN(2)/2))/(LN(2)/2)*DB182*DE182*VLOOKUP('Données projet'!$B$13,Paramètres!$A$1:$I$89,3,0)*0.475*44/12</f>
        <v>9.0165730140775814E-23</v>
      </c>
      <c r="DI182" s="22">
        <f t="shared" si="175"/>
        <v>11.762125013457226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168</v>
      </c>
      <c r="DP182" s="17">
        <f>DO182*VLOOKUP('Données projet'!$B$14,Paramètres!$A$1:$I$89,3,0)*VLOOKUP('Données projet'!$B$14,Paramètres!$A$1:$I$89,5,0)</f>
        <v>146.76480000000004</v>
      </c>
      <c r="DQ182" s="13">
        <f t="shared" si="176"/>
        <v>37.842444439956665</v>
      </c>
      <c r="DR182" s="20">
        <f t="shared" si="177"/>
        <v>321.52428406625791</v>
      </c>
      <c r="DS182" s="59">
        <f t="shared" si="125"/>
        <v>614.85761739959116</v>
      </c>
      <c r="DT182" s="59">
        <f ca="1">AVERAGE(OFFSET($DS$3,0,0,'Données projet'!$E$14+1,1))-AVERAGE(OFFSET($H$3,0,0,'Données projet'!$E$14+1,1))</f>
        <v>150.06600397498823</v>
      </c>
      <c r="DU182" s="59">
        <f t="shared" si="152"/>
        <v>170.53034305929714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1.0305400442525161</v>
      </c>
      <c r="EB182" s="21">
        <f>EXP(-LN(2)/25)*EB181+(1-EXP(-LN(2)/25))/(LN(2)/25)*Calculateur!DW182*Calculateur!DY182*VLOOKUP('Données projet'!$B$14,Paramètres!$A$1:$I$89,3,0)*0.475*44/12</f>
        <v>0.96630055338227117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1.9968405976347872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294.94285920643927</v>
      </c>
      <c r="T183" s="59">
        <f t="shared" si="142"/>
        <v>399.89535338426606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12.811518904267297</v>
      </c>
      <c r="AA183" s="21">
        <f>EXP(-LN(2)/25)*AA182+(1-EXP(-LN(2)/25))/(LN(2)/25)*Calculateur!V183*Calculateur!X183*VLOOKUP('Données projet'!$B$9,Paramètres!$A$1:$I$89,3,0)*0.475*44/12</f>
        <v>4.9484040871690942</v>
      </c>
      <c r="AB183" s="21">
        <f>EXP(-LN(2)/2)*AB182+(1-EXP(-LN(2)/2))/(LN(2)/2)*V183*Y183*VLOOKUP('Données projet'!$B$9,Paramètres!$A$1:$I$89,3,0)*0.475*44/12</f>
        <v>2.2964303788094742E-22</v>
      </c>
      <c r="AC183" s="22">
        <f t="shared" si="163"/>
        <v>17.75992299143639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-1.0197709343628959E-13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200.14675249215634</v>
      </c>
      <c r="AO183" s="59">
        <f t="shared" si="144"/>
        <v>200.55017434999968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12.047886894802375</v>
      </c>
      <c r="AV183" s="21">
        <f>EXP(-LN(2)/25)*AV182+(1-EXP(-LN(2)/25))/(LN(2)/25)*Calculateur!AQ183*Calculateur!AS183*VLOOKUP('Données projet'!$B$10,Paramètres!$A$1:$I$89,3,0)*0.475*44/12</f>
        <v>1.2972459806589733</v>
      </c>
      <c r="AW183" s="21">
        <f>EXP(-LN(2)/2)*AW182+(1-EXP(-LN(2)/2))/(LN(2)/2)*AQ183*AT183*VLOOKUP('Données projet'!$B$10,Paramètres!$A$1:$I$89,3,0)*0.475*44/12</f>
        <v>2.7723351817327748E-17</v>
      </c>
      <c r="AX183" s="21">
        <f t="shared" si="166"/>
        <v>13.345132875461347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-1.4210854715202004E-13</v>
      </c>
      <c r="BE183" s="13">
        <f>BD183*VLOOKUP('Données projet'!$B$11,Paramètres!$A$1:$I$89,3,0)*VLOOKUP('Données projet'!$B$11,Paramètres!$A$1:$I$89,5,0)</f>
        <v>-8.128608897095547E-14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182.46132340647313</v>
      </c>
      <c r="BJ183" s="59">
        <f t="shared" si="146"/>
        <v>130.51706975490481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23.138217132266291</v>
      </c>
      <c r="BQ183" s="21">
        <f>EXP(-LN(2)/25)*BQ182+(1-EXP(-LN(2)/25))/(LN(2)/25)*Calculateur!BL183*Calculateur!BN183*VLOOKUP('Données projet'!$B$11,Paramètres!$A$1:$I$89,3,0)*0.475*44/12</f>
        <v>3.0343022139710176</v>
      </c>
      <c r="BR183" s="21">
        <f>EXP(-LN(2)/2)*BR182+(1-EXP(-LN(2)/2))/(LN(2)/2)*BL183*BO183*VLOOKUP('Données projet'!$B$11,Paramètres!$A$1:$I$89,3,0)*0.475*44/12</f>
        <v>4.4711555685809713E-11</v>
      </c>
      <c r="BS183" s="22">
        <f t="shared" si="169"/>
        <v>26.172519346282019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735.00000000000011</v>
      </c>
      <c r="BZ183" s="13">
        <f>BY183*VLOOKUP('Données projet'!$B$12,Paramètres!$A$1:$I$89,3,0)*VLOOKUP('Données projet'!$B$12,Paramètres!$A$1:$I$89,5,0)</f>
        <v>296.20500000000004</v>
      </c>
      <c r="CA183" s="13">
        <f t="shared" si="170"/>
        <v>70.380297204000939</v>
      </c>
      <c r="CB183" s="20">
        <f t="shared" si="171"/>
        <v>638.46939263030174</v>
      </c>
      <c r="CC183" s="59">
        <f t="shared" si="119"/>
        <v>931.80272596363511</v>
      </c>
      <c r="CD183" s="59">
        <f ca="1">AVERAGE(OFFSET($CC$3,0,0,'Données projet'!$E$12+1,1))-AVERAGE(OFFSET($H$3,0,0,'Données projet'!$E$12+1,1))</f>
        <v>291.0962681460345</v>
      </c>
      <c r="CE183" s="59">
        <f t="shared" si="148"/>
        <v>240.28311826371385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7.1409872178238061</v>
      </c>
      <c r="CL183" s="21">
        <f>EXP(-LN(2)/25)*CL182+(1-EXP(-LN(2)/25))/(LN(2)/25)*Calculateur!CG183*Calculateur!CI183*VLOOKUP('Données projet'!$B$12,Paramètres!$A$1:$I$89,3,0)*0.475*44/12</f>
        <v>1.3659831089127885</v>
      </c>
      <c r="CM183" s="21">
        <f>EXP(-LN(2)/2)*CM182+(1-EXP(-LN(2)/2))/(LN(2)/2)*CG183*CJ183*VLOOKUP('Données projet'!$B$12,Paramètres!$A$1:$I$89,3,0)*0.475*44/12</f>
        <v>5.3923467208313872E-16</v>
      </c>
      <c r="CN183" s="22">
        <f t="shared" si="172"/>
        <v>8.5069703267365941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-5.3205440053716299E-14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225.92546546283018</v>
      </c>
      <c r="CZ183" s="59">
        <f t="shared" si="150"/>
        <v>309.38786160614563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8.3647361322262892</v>
      </c>
      <c r="DG183" s="21">
        <f>EXP(-LN(2)/25)*DG182+(1-EXP(-LN(2)/25))/(LN(2)/25)*Calculateur!DB183*Calculateur!DD183*VLOOKUP('Données projet'!$B$13,Paramètres!$A$1:$I$89,3,0)*0.475*44/12</f>
        <v>3.1417539697025294</v>
      </c>
      <c r="DH183" s="21">
        <f>EXP(-LN(2)/2)*DH182+(1-EXP(-LN(2)/2))/(LN(2)/2)*DB183*DE183*VLOOKUP('Données projet'!$B$13,Paramètres!$A$1:$I$89,3,0)*0.475*44/12</f>
        <v>6.3756799213178855E-23</v>
      </c>
      <c r="DI183" s="22">
        <f t="shared" si="175"/>
        <v>11.506490101928819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168</v>
      </c>
      <c r="DP183" s="17">
        <f>DO183*VLOOKUP('Données projet'!$B$14,Paramètres!$A$1:$I$89,3,0)*VLOOKUP('Données projet'!$B$14,Paramètres!$A$1:$I$89,5,0)</f>
        <v>146.76480000000004</v>
      </c>
      <c r="DQ183" s="13">
        <f t="shared" si="176"/>
        <v>37.842444439956665</v>
      </c>
      <c r="DR183" s="20">
        <f t="shared" si="177"/>
        <v>321.52428406625791</v>
      </c>
      <c r="DS183" s="59">
        <f t="shared" si="125"/>
        <v>614.85761739959116</v>
      </c>
      <c r="DT183" s="59">
        <f ca="1">AVERAGE(OFFSET($DS$3,0,0,'Données projet'!$E$14+1,1))-AVERAGE(OFFSET($H$3,0,0,'Données projet'!$E$14+1,1))</f>
        <v>150.06600397498823</v>
      </c>
      <c r="DU183" s="59">
        <f t="shared" si="152"/>
        <v>170.53034305929714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1.0103317825520854</v>
      </c>
      <c r="EB183" s="21">
        <f>EXP(-LN(2)/25)*EB182+(1-EXP(-LN(2)/25))/(LN(2)/25)*Calculateur!DW183*Calculateur!DY183*VLOOKUP('Données projet'!$B$14,Paramètres!$A$1:$I$89,3,0)*0.475*44/12</f>
        <v>0.93987701393449541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1.9502087964865809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294.94285920643927</v>
      </c>
      <c r="T184" s="59">
        <f t="shared" si="142"/>
        <v>399.89535338426606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12.560292832809553</v>
      </c>
      <c r="AA184" s="21">
        <f>EXP(-LN(2)/25)*AA183+(1-EXP(-LN(2)/25))/(LN(2)/25)*Calculateur!V184*Calculateur!X184*VLOOKUP('Données projet'!$B$9,Paramètres!$A$1:$I$89,3,0)*0.475*44/12</f>
        <v>4.8130897171801941</v>
      </c>
      <c r="AB184" s="21">
        <f>EXP(-LN(2)/2)*AB183+(1-EXP(-LN(2)/2))/(LN(2)/2)*V184*Y184*VLOOKUP('Données projet'!$B$9,Paramètres!$A$1:$I$89,3,0)*0.475*44/12</f>
        <v>1.6238214933789713E-22</v>
      </c>
      <c r="AC184" s="22">
        <f t="shared" si="163"/>
        <v>17.373382549989749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-1.0197709343628959E-13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200.14675249215634</v>
      </c>
      <c r="AO184" s="59">
        <f t="shared" si="144"/>
        <v>200.55017434999968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11.811635181280703</v>
      </c>
      <c r="AV184" s="21">
        <f>EXP(-LN(2)/25)*AV183+(1-EXP(-LN(2)/25))/(LN(2)/25)*Calculateur!AQ184*Calculateur!AS184*VLOOKUP('Données projet'!$B$10,Paramètres!$A$1:$I$89,3,0)*0.475*44/12</f>
        <v>1.2617727210986525</v>
      </c>
      <c r="AW184" s="21">
        <f>EXP(-LN(2)/2)*AW183+(1-EXP(-LN(2)/2))/(LN(2)/2)*AQ184*AT184*VLOOKUP('Données projet'!$B$10,Paramètres!$A$1:$I$89,3,0)*0.475*44/12</f>
        <v>1.9603370067252849E-17</v>
      </c>
      <c r="AX184" s="21">
        <f t="shared" si="166"/>
        <v>13.073407902379355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-1.4210854715202004E-13</v>
      </c>
      <c r="BE184" s="13">
        <f>BD184*VLOOKUP('Données projet'!$B$11,Paramètres!$A$1:$I$89,3,0)*VLOOKUP('Données projet'!$B$11,Paramètres!$A$1:$I$89,5,0)</f>
        <v>-8.128608897095547E-14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182.46132340647313</v>
      </c>
      <c r="BJ184" s="59">
        <f t="shared" si="146"/>
        <v>130.51706975490481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22.684490807221465</v>
      </c>
      <c r="BQ184" s="21">
        <f>EXP(-LN(2)/25)*BQ183+(1-EXP(-LN(2)/25))/(LN(2)/25)*Calculateur!BL184*Calculateur!BN184*VLOOKUP('Données projet'!$B$11,Paramètres!$A$1:$I$89,3,0)*0.475*44/12</f>
        <v>2.9513290603629616</v>
      </c>
      <c r="BR184" s="21">
        <f>EXP(-LN(2)/2)*BR183+(1-EXP(-LN(2)/2))/(LN(2)/2)*BL184*BO184*VLOOKUP('Données projet'!$B$11,Paramètres!$A$1:$I$89,3,0)*0.475*44/12</f>
        <v>3.1615844222835983E-11</v>
      </c>
      <c r="BS184" s="22">
        <f t="shared" si="169"/>
        <v>25.635819867616043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735.00000000000011</v>
      </c>
      <c r="BZ184" s="13">
        <f>BY184*VLOOKUP('Données projet'!$B$12,Paramètres!$A$1:$I$89,3,0)*VLOOKUP('Données projet'!$B$12,Paramètres!$A$1:$I$89,5,0)</f>
        <v>296.20500000000004</v>
      </c>
      <c r="CA184" s="13">
        <f t="shared" si="170"/>
        <v>70.380297204000939</v>
      </c>
      <c r="CB184" s="20">
        <f t="shared" si="171"/>
        <v>638.46939263030174</v>
      </c>
      <c r="CC184" s="59">
        <f t="shared" si="119"/>
        <v>931.80272596363511</v>
      </c>
      <c r="CD184" s="59">
        <f ca="1">AVERAGE(OFFSET($CC$3,0,0,'Données projet'!$E$12+1,1))-AVERAGE(OFFSET($H$3,0,0,'Données projet'!$E$12+1,1))</f>
        <v>291.0962681460345</v>
      </c>
      <c r="CE184" s="59">
        <f t="shared" si="148"/>
        <v>240.28311826371385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7.0009568140544074</v>
      </c>
      <c r="CL184" s="21">
        <f>EXP(-LN(2)/25)*CL183+(1-EXP(-LN(2)/25))/(LN(2)/25)*Calculateur!CG184*Calculateur!CI184*VLOOKUP('Données projet'!$B$12,Paramètres!$A$1:$I$89,3,0)*0.475*44/12</f>
        <v>1.3286302289656386</v>
      </c>
      <c r="CM184" s="21">
        <f>EXP(-LN(2)/2)*CM183+(1-EXP(-LN(2)/2))/(LN(2)/2)*CG184*CJ184*VLOOKUP('Données projet'!$B$12,Paramètres!$A$1:$I$89,3,0)*0.475*44/12</f>
        <v>3.8129649328089168E-16</v>
      </c>
      <c r="CN184" s="22">
        <f t="shared" si="172"/>
        <v>8.3295870430200463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-5.3205440053716299E-14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225.92546546283018</v>
      </c>
      <c r="CZ184" s="59">
        <f t="shared" si="150"/>
        <v>309.38786160614563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8.2007087586585925</v>
      </c>
      <c r="DG184" s="21">
        <f>EXP(-LN(2)/25)*DG183+(1-EXP(-LN(2)/25))/(LN(2)/25)*Calculateur!DB184*Calculateur!DD184*VLOOKUP('Données projet'!$B$13,Paramètres!$A$1:$I$89,3,0)*0.475*44/12</f>
        <v>3.055842542183353</v>
      </c>
      <c r="DH184" s="21">
        <f>EXP(-LN(2)/2)*DH183+(1-EXP(-LN(2)/2))/(LN(2)/2)*DB184*DE184*VLOOKUP('Données projet'!$B$13,Paramètres!$A$1:$I$89,3,0)*0.475*44/12</f>
        <v>4.5082865070387907E-23</v>
      </c>
      <c r="DI184" s="22">
        <f t="shared" si="175"/>
        <v>11.256551300841945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168</v>
      </c>
      <c r="DP184" s="17">
        <f>DO184*VLOOKUP('Données projet'!$B$14,Paramètres!$A$1:$I$89,3,0)*VLOOKUP('Données projet'!$B$14,Paramètres!$A$1:$I$89,5,0)</f>
        <v>146.76480000000004</v>
      </c>
      <c r="DQ184" s="13">
        <f t="shared" si="176"/>
        <v>37.842444439956665</v>
      </c>
      <c r="DR184" s="20">
        <f t="shared" si="177"/>
        <v>321.52428406625791</v>
      </c>
      <c r="DS184" s="59">
        <f t="shared" si="125"/>
        <v>614.85761739959116</v>
      </c>
      <c r="DT184" s="59">
        <f ca="1">AVERAGE(OFFSET($DS$3,0,0,'Données projet'!$E$14+1,1))-AVERAGE(OFFSET($H$3,0,0,'Données projet'!$E$14+1,1))</f>
        <v>150.06600397498823</v>
      </c>
      <c r="DU184" s="59">
        <f t="shared" si="152"/>
        <v>170.53034305929714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0.99051979253777755</v>
      </c>
      <c r="EB184" s="21">
        <f>EXP(-LN(2)/25)*EB183+(1-EXP(-LN(2)/25))/(LN(2)/25)*Calculateur!DW184*Calculateur!DY184*VLOOKUP('Données projet'!$B$14,Paramètres!$A$1:$I$89,3,0)*0.475*44/12</f>
        <v>0.91417602756247263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1.9046958201002502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294.94285920643927</v>
      </c>
      <c r="T185" s="59">
        <f t="shared" si="142"/>
        <v>399.89535338426606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12.313993151380323</v>
      </c>
      <c r="AA185" s="21">
        <f>EXP(-LN(2)/25)*AA184+(1-EXP(-LN(2)/25))/(LN(2)/25)*Calculateur!V185*Calculateur!X185*VLOOKUP('Données projet'!$B$9,Paramètres!$A$1:$I$89,3,0)*0.475*44/12</f>
        <v>4.6814755257545135</v>
      </c>
      <c r="AB185" s="21">
        <f>EXP(-LN(2)/2)*AB184+(1-EXP(-LN(2)/2))/(LN(2)/2)*V185*Y185*VLOOKUP('Données projet'!$B$9,Paramètres!$A$1:$I$89,3,0)*0.475*44/12</f>
        <v>1.1482151894047371E-22</v>
      </c>
      <c r="AC185" s="22">
        <f t="shared" si="163"/>
        <v>16.995468677134838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-1.0197709343628959E-13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200.14675249215634</v>
      </c>
      <c r="AO185" s="59">
        <f t="shared" si="144"/>
        <v>200.55017434999968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11.580016219761875</v>
      </c>
      <c r="AV185" s="21">
        <f>EXP(-LN(2)/25)*AV184+(1-EXP(-LN(2)/25))/(LN(2)/25)*Calculateur!AQ185*Calculateur!AS185*VLOOKUP('Données projet'!$B$10,Paramètres!$A$1:$I$89,3,0)*0.475*44/12</f>
        <v>1.2272694796864663</v>
      </c>
      <c r="AW185" s="21">
        <f>EXP(-LN(2)/2)*AW184+(1-EXP(-LN(2)/2))/(LN(2)/2)*AQ185*AT185*VLOOKUP('Données projet'!$B$10,Paramètres!$A$1:$I$89,3,0)*0.475*44/12</f>
        <v>1.3861675908663877E-17</v>
      </c>
      <c r="AX185" s="21">
        <f t="shared" si="166"/>
        <v>12.807285699448341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-1.4210854715202004E-13</v>
      </c>
      <c r="BE185" s="13">
        <f>BD185*VLOOKUP('Données projet'!$B$11,Paramètres!$A$1:$I$89,3,0)*VLOOKUP('Données projet'!$B$11,Paramètres!$A$1:$I$89,5,0)</f>
        <v>-8.128608897095547E-14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182.46132340647313</v>
      </c>
      <c r="BJ185" s="59">
        <f t="shared" si="146"/>
        <v>130.51706975490481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22.239661778665035</v>
      </c>
      <c r="BQ185" s="21">
        <f>EXP(-LN(2)/25)*BQ184+(1-EXP(-LN(2)/25))/(LN(2)/25)*Calculateur!BL185*Calculateur!BN185*VLOOKUP('Données projet'!$B$11,Paramètres!$A$1:$I$89,3,0)*0.475*44/12</f>
        <v>2.8706248120036864</v>
      </c>
      <c r="BR185" s="21">
        <f>EXP(-LN(2)/2)*BR184+(1-EXP(-LN(2)/2))/(LN(2)/2)*BL185*BO185*VLOOKUP('Données projet'!$B$11,Paramètres!$A$1:$I$89,3,0)*0.475*44/12</f>
        <v>2.2355777842904857E-11</v>
      </c>
      <c r="BS185" s="22">
        <f t="shared" si="169"/>
        <v>25.110286590691079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735.00000000000011</v>
      </c>
      <c r="BZ185" s="13">
        <f>BY185*VLOOKUP('Données projet'!$B$12,Paramètres!$A$1:$I$89,3,0)*VLOOKUP('Données projet'!$B$12,Paramètres!$A$1:$I$89,5,0)</f>
        <v>296.20500000000004</v>
      </c>
      <c r="CA185" s="13">
        <f t="shared" si="170"/>
        <v>70.380297204000939</v>
      </c>
      <c r="CB185" s="20">
        <f t="shared" si="171"/>
        <v>638.46939263030174</v>
      </c>
      <c r="CC185" s="59">
        <f t="shared" si="119"/>
        <v>931.80272596363511</v>
      </c>
      <c r="CD185" s="59">
        <f ca="1">AVERAGE(OFFSET($CC$3,0,0,'Données projet'!$E$12+1,1))-AVERAGE(OFFSET($H$3,0,0,'Données projet'!$E$12+1,1))</f>
        <v>291.0962681460345</v>
      </c>
      <c r="CE185" s="59">
        <f t="shared" si="148"/>
        <v>240.28311826371385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6.8636723210928139</v>
      </c>
      <c r="CL185" s="21">
        <f>EXP(-LN(2)/25)*CL184+(1-EXP(-LN(2)/25))/(LN(2)/25)*Calculateur!CG185*Calculateur!CI185*VLOOKUP('Données projet'!$B$12,Paramètres!$A$1:$I$89,3,0)*0.475*44/12</f>
        <v>1.292298765484946</v>
      </c>
      <c r="CM185" s="21">
        <f>EXP(-LN(2)/2)*CM184+(1-EXP(-LN(2)/2))/(LN(2)/2)*CG185*CJ185*VLOOKUP('Données projet'!$B$12,Paramètres!$A$1:$I$89,3,0)*0.475*44/12</f>
        <v>2.6961733604156936E-16</v>
      </c>
      <c r="CN185" s="22">
        <f t="shared" si="172"/>
        <v>8.1559710865777593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-5.3205440053716299E-14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225.92546546283018</v>
      </c>
      <c r="CZ185" s="59">
        <f t="shared" si="150"/>
        <v>309.38786160614563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8.0398978618397408</v>
      </c>
      <c r="DG185" s="21">
        <f>EXP(-LN(2)/25)*DG184+(1-EXP(-LN(2)/25))/(LN(2)/25)*Calculateur!DB185*Calculateur!DD185*VLOOKUP('Données projet'!$B$13,Paramètres!$A$1:$I$89,3,0)*0.475*44/12</f>
        <v>2.9722803671675742</v>
      </c>
      <c r="DH185" s="21">
        <f>EXP(-LN(2)/2)*DH184+(1-EXP(-LN(2)/2))/(LN(2)/2)*DB185*DE185*VLOOKUP('Données projet'!$B$13,Paramètres!$A$1:$I$89,3,0)*0.475*44/12</f>
        <v>3.1878399606589428E-23</v>
      </c>
      <c r="DI185" s="22">
        <f t="shared" si="175"/>
        <v>11.012178229007315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168</v>
      </c>
      <c r="DP185" s="17">
        <f>DO185*VLOOKUP('Données projet'!$B$14,Paramètres!$A$1:$I$89,3,0)*VLOOKUP('Données projet'!$B$14,Paramètres!$A$1:$I$89,5,0)</f>
        <v>146.76480000000004</v>
      </c>
      <c r="DQ185" s="13">
        <f t="shared" si="176"/>
        <v>37.842444439956665</v>
      </c>
      <c r="DR185" s="20">
        <f t="shared" si="177"/>
        <v>321.52428406625791</v>
      </c>
      <c r="DS185" s="59">
        <f t="shared" si="125"/>
        <v>614.85761739959116</v>
      </c>
      <c r="DT185" s="59">
        <f ca="1">AVERAGE(OFFSET($DS$3,0,0,'Données projet'!$E$14+1,1))-AVERAGE(OFFSET($H$3,0,0,'Données projet'!$E$14+1,1))</f>
        <v>150.06600397498823</v>
      </c>
      <c r="DU185" s="59">
        <f t="shared" si="152"/>
        <v>170.53034305929714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0.97109630356352961</v>
      </c>
      <c r="EB185" s="21">
        <f>EXP(-LN(2)/25)*EB184+(1-EXP(-LN(2)/25))/(LN(2)/25)*Calculateur!DW185*Calculateur!DY185*VLOOKUP('Données projet'!$B$14,Paramètres!$A$1:$I$89,3,0)*0.475*44/12</f>
        <v>0.88917783601434885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1.8602741395778786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294.94285920643927</v>
      </c>
      <c r="T186" s="59">
        <f t="shared" si="142"/>
        <v>399.89535338426606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12.072523256475948</v>
      </c>
      <c r="AA186" s="21">
        <f>EXP(-LN(2)/25)*AA185+(1-EXP(-LN(2)/25))/(LN(2)/25)*Calculateur!V186*Calculateur!X186*VLOOKUP('Données projet'!$B$9,Paramètres!$A$1:$I$89,3,0)*0.475*44/12</f>
        <v>4.5534603313146578</v>
      </c>
      <c r="AB186" s="21">
        <f>EXP(-LN(2)/2)*AB185+(1-EXP(-LN(2)/2))/(LN(2)/2)*V186*Y186*VLOOKUP('Données projet'!$B$9,Paramètres!$A$1:$I$89,3,0)*0.475*44/12</f>
        <v>8.1191074668948565E-23</v>
      </c>
      <c r="AC186" s="22">
        <f t="shared" si="163"/>
        <v>16.625983587790607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-1.0197709343628959E-13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200.14675249215634</v>
      </c>
      <c r="AO186" s="59">
        <f t="shared" si="144"/>
        <v>200.55017434999968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11.352939164804814</v>
      </c>
      <c r="AV186" s="21">
        <f>EXP(-LN(2)/25)*AV185+(1-EXP(-LN(2)/25))/(LN(2)/25)*Calculateur!AQ186*Calculateur!AS186*VLOOKUP('Données projet'!$B$10,Paramètres!$A$1:$I$89,3,0)*0.475*44/12</f>
        <v>1.1937097312251428</v>
      </c>
      <c r="AW186" s="21">
        <f>EXP(-LN(2)/2)*AW185+(1-EXP(-LN(2)/2))/(LN(2)/2)*AQ186*AT186*VLOOKUP('Données projet'!$B$10,Paramètres!$A$1:$I$89,3,0)*0.475*44/12</f>
        <v>9.801685033626426E-18</v>
      </c>
      <c r="AX186" s="21">
        <f t="shared" si="166"/>
        <v>12.546648896029957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-1.4210854715202004E-13</v>
      </c>
      <c r="BE186" s="13">
        <f>BD186*VLOOKUP('Données projet'!$B$11,Paramètres!$A$1:$I$89,3,0)*VLOOKUP('Données projet'!$B$11,Paramètres!$A$1:$I$89,5,0)</f>
        <v>-8.128608897095547E-14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182.46132340647313</v>
      </c>
      <c r="BJ186" s="59">
        <f t="shared" si="146"/>
        <v>130.51706975490481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21.803555576039681</v>
      </c>
      <c r="BQ186" s="21">
        <f>EXP(-LN(2)/25)*BQ185+(1-EXP(-LN(2)/25))/(LN(2)/25)*Calculateur!BL186*Calculateur!BN186*VLOOKUP('Données projet'!$B$11,Paramètres!$A$1:$I$89,3,0)*0.475*44/12</f>
        <v>2.7921274255598476</v>
      </c>
      <c r="BR186" s="21">
        <f>EXP(-LN(2)/2)*BR185+(1-EXP(-LN(2)/2))/(LN(2)/2)*BL186*BO186*VLOOKUP('Données projet'!$B$11,Paramètres!$A$1:$I$89,3,0)*0.475*44/12</f>
        <v>1.5807922111417992E-11</v>
      </c>
      <c r="BS186" s="22">
        <f t="shared" si="169"/>
        <v>24.595683001615338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735.00000000000011</v>
      </c>
      <c r="BZ186" s="13">
        <f>BY186*VLOOKUP('Données projet'!$B$12,Paramètres!$A$1:$I$89,3,0)*VLOOKUP('Données projet'!$B$12,Paramètres!$A$1:$I$89,5,0)</f>
        <v>296.20500000000004</v>
      </c>
      <c r="CA186" s="13">
        <f t="shared" si="170"/>
        <v>70.380297204000939</v>
      </c>
      <c r="CB186" s="20">
        <f t="shared" si="171"/>
        <v>638.46939263030174</v>
      </c>
      <c r="CC186" s="59">
        <f t="shared" si="119"/>
        <v>931.80272596363511</v>
      </c>
      <c r="CD186" s="59">
        <f ca="1">AVERAGE(OFFSET($CC$3,0,0,'Données projet'!$E$12+1,1))-AVERAGE(OFFSET($H$3,0,0,'Données projet'!$E$12+1,1))</f>
        <v>291.0962681460345</v>
      </c>
      <c r="CE186" s="59">
        <f t="shared" si="148"/>
        <v>240.28311826371385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6.7290798933029246</v>
      </c>
      <c r="CL186" s="21">
        <f>EXP(-LN(2)/25)*CL185+(1-EXP(-LN(2)/25))/(LN(2)/25)*Calculateur!CG186*Calculateur!CI186*VLOOKUP('Données projet'!$B$12,Paramètres!$A$1:$I$89,3,0)*0.475*44/12</f>
        <v>1.2569607877837217</v>
      </c>
      <c r="CM186" s="21">
        <f>EXP(-LN(2)/2)*CM185+(1-EXP(-LN(2)/2))/(LN(2)/2)*CG186*CJ186*VLOOKUP('Données projet'!$B$12,Paramètres!$A$1:$I$89,3,0)*0.475*44/12</f>
        <v>1.9064824664044584E-16</v>
      </c>
      <c r="CN186" s="22">
        <f t="shared" si="172"/>
        <v>7.9860406810866458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-5.3205440053716299E-14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225.92546546283018</v>
      </c>
      <c r="CZ186" s="59">
        <f t="shared" si="150"/>
        <v>309.38786160614563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7.8822403686225435</v>
      </c>
      <c r="DG186" s="21">
        <f>EXP(-LN(2)/25)*DG185+(1-EXP(-LN(2)/25))/(LN(2)/25)*Calculateur!DB186*Calculateur!DD186*VLOOKUP('Données projet'!$B$13,Paramètres!$A$1:$I$89,3,0)*0.475*44/12</f>
        <v>2.8910032042219456</v>
      </c>
      <c r="DH186" s="21">
        <f>EXP(-LN(2)/2)*DH185+(1-EXP(-LN(2)/2))/(LN(2)/2)*DB186*DE186*VLOOKUP('Données projet'!$B$13,Paramètres!$A$1:$I$89,3,0)*0.475*44/12</f>
        <v>2.2541432535193953E-23</v>
      </c>
      <c r="DI186" s="22">
        <f t="shared" si="175"/>
        <v>10.773243572844489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168</v>
      </c>
      <c r="DP186" s="17">
        <f>DO186*VLOOKUP('Données projet'!$B$14,Paramètres!$A$1:$I$89,3,0)*VLOOKUP('Données projet'!$B$14,Paramètres!$A$1:$I$89,5,0)</f>
        <v>146.76480000000004</v>
      </c>
      <c r="DQ186" s="13">
        <f t="shared" si="176"/>
        <v>37.842444439956665</v>
      </c>
      <c r="DR186" s="20">
        <f t="shared" si="177"/>
        <v>321.52428406625791</v>
      </c>
      <c r="DS186" s="59">
        <f t="shared" si="125"/>
        <v>614.85761739959116</v>
      </c>
      <c r="DT186" s="59">
        <f ca="1">AVERAGE(OFFSET($DS$3,0,0,'Données projet'!$E$14+1,1))-AVERAGE(OFFSET($H$3,0,0,'Données projet'!$E$14+1,1))</f>
        <v>150.06600397498823</v>
      </c>
      <c r="DU186" s="59">
        <f t="shared" si="152"/>
        <v>170.53034305929714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0.95205369736090817</v>
      </c>
      <c r="EB186" s="21">
        <f>EXP(-LN(2)/25)*EB185+(1-EXP(-LN(2)/25))/(LN(2)/25)*Calculateur!DW186*Calculateur!DY186*VLOOKUP('Données projet'!$B$14,Paramètres!$A$1:$I$89,3,0)*0.475*44/12</f>
        <v>0.8648632213287063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1.8169169186896146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294.94285920643927</v>
      </c>
      <c r="T187" s="59">
        <f t="shared" si="142"/>
        <v>399.89535338426606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11.835788438928555</v>
      </c>
      <c r="AA187" s="21">
        <f>EXP(-LN(2)/25)*AA186+(1-EXP(-LN(2)/25))/(LN(2)/25)*Calculateur!V187*Calculateur!X187*VLOOKUP('Données projet'!$B$9,Paramètres!$A$1:$I$89,3,0)*0.475*44/12</f>
        <v>4.4289457190987864</v>
      </c>
      <c r="AB187" s="21">
        <f>EXP(-LN(2)/2)*AB186+(1-EXP(-LN(2)/2))/(LN(2)/2)*V187*Y187*VLOOKUP('Données projet'!$B$9,Paramètres!$A$1:$I$89,3,0)*0.475*44/12</f>
        <v>5.7410759470236854E-23</v>
      </c>
      <c r="AC187" s="22">
        <f t="shared" si="163"/>
        <v>16.264734158027341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-1.0197709343628959E-13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200.14675249215634</v>
      </c>
      <c r="AO187" s="59">
        <f t="shared" si="144"/>
        <v>200.55017434999968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11.130314952392133</v>
      </c>
      <c r="AV187" s="21">
        <f>EXP(-LN(2)/25)*AV186+(1-EXP(-LN(2)/25))/(LN(2)/25)*Calculateur!AQ187*Calculateur!AS187*VLOOKUP('Données projet'!$B$10,Paramètres!$A$1:$I$89,3,0)*0.475*44/12</f>
        <v>1.1610676758503247</v>
      </c>
      <c r="AW187" s="21">
        <f>EXP(-LN(2)/2)*AW186+(1-EXP(-LN(2)/2))/(LN(2)/2)*AQ187*AT187*VLOOKUP('Données projet'!$B$10,Paramètres!$A$1:$I$89,3,0)*0.475*44/12</f>
        <v>6.9308379543319394E-18</v>
      </c>
      <c r="AX187" s="21">
        <f t="shared" si="166"/>
        <v>12.291382628242458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-1.4210854715202004E-13</v>
      </c>
      <c r="BE187" s="13">
        <f>BD187*VLOOKUP('Données projet'!$B$11,Paramètres!$A$1:$I$89,3,0)*VLOOKUP('Données projet'!$B$11,Paramètres!$A$1:$I$89,5,0)</f>
        <v>-8.128608897095547E-14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182.46132340647313</v>
      </c>
      <c r="BJ187" s="59">
        <f t="shared" si="146"/>
        <v>130.51706975490481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21.376001150049291</v>
      </c>
      <c r="BQ187" s="21">
        <f>EXP(-LN(2)/25)*BQ186+(1-EXP(-LN(2)/25))/(LN(2)/25)*Calculateur!BL187*Calculateur!BN187*VLOOKUP('Données projet'!$B$11,Paramètres!$A$1:$I$89,3,0)*0.475*44/12</f>
        <v>2.7157765542763137</v>
      </c>
      <c r="BR187" s="21">
        <f>EXP(-LN(2)/2)*BR186+(1-EXP(-LN(2)/2))/(LN(2)/2)*BL187*BO187*VLOOKUP('Données projet'!$B$11,Paramètres!$A$1:$I$89,3,0)*0.475*44/12</f>
        <v>1.1177888921452428E-11</v>
      </c>
      <c r="BS187" s="22">
        <f t="shared" si="169"/>
        <v>24.091777704336781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735.00000000000011</v>
      </c>
      <c r="BZ187" s="13">
        <f>BY187*VLOOKUP('Données projet'!$B$12,Paramètres!$A$1:$I$89,3,0)*VLOOKUP('Données projet'!$B$12,Paramètres!$A$1:$I$89,5,0)</f>
        <v>296.20500000000004</v>
      </c>
      <c r="CA187" s="13">
        <f t="shared" si="170"/>
        <v>70.380297204000939</v>
      </c>
      <c r="CB187" s="20">
        <f t="shared" si="171"/>
        <v>638.46939263030174</v>
      </c>
      <c r="CC187" s="59">
        <f t="shared" si="119"/>
        <v>931.80272596363511</v>
      </c>
      <c r="CD187" s="59">
        <f ca="1">AVERAGE(OFFSET($CC$3,0,0,'Données projet'!$E$12+1,1))-AVERAGE(OFFSET($H$3,0,0,'Données projet'!$E$12+1,1))</f>
        <v>291.0962681460345</v>
      </c>
      <c r="CE187" s="59">
        <f t="shared" si="148"/>
        <v>240.28311826371385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6.5971267409287195</v>
      </c>
      <c r="CL187" s="21">
        <f>EXP(-LN(2)/25)*CL186+(1-EXP(-LN(2)/25))/(LN(2)/25)*Calculateur!CG187*Calculateur!CI187*VLOOKUP('Données projet'!$B$12,Paramètres!$A$1:$I$89,3,0)*0.475*44/12</f>
        <v>1.2225891289410808</v>
      </c>
      <c r="CM187" s="21">
        <f>EXP(-LN(2)/2)*CM186+(1-EXP(-LN(2)/2))/(LN(2)/2)*CG187*CJ187*VLOOKUP('Données projet'!$B$12,Paramètres!$A$1:$I$89,3,0)*0.475*44/12</f>
        <v>1.3480866802078468E-16</v>
      </c>
      <c r="CN187" s="22">
        <f t="shared" si="172"/>
        <v>7.8197158698698006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-5.3205440053716299E-14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225.92546546283018</v>
      </c>
      <c r="CZ187" s="59">
        <f t="shared" si="150"/>
        <v>309.38786160614563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7.7276744426857604</v>
      </c>
      <c r="DG187" s="21">
        <f>EXP(-LN(2)/25)*DG186+(1-EXP(-LN(2)/25))/(LN(2)/25)*Calculateur!DB187*Calculateur!DD187*VLOOKUP('Données projet'!$B$13,Paramètres!$A$1:$I$89,3,0)*0.475*44/12</f>
        <v>2.8119485695712454</v>
      </c>
      <c r="DH187" s="21">
        <f>EXP(-LN(2)/2)*DH186+(1-EXP(-LN(2)/2))/(LN(2)/2)*DB187*DE187*VLOOKUP('Données projet'!$B$13,Paramètres!$A$1:$I$89,3,0)*0.475*44/12</f>
        <v>1.5939199803294714E-23</v>
      </c>
      <c r="DI187" s="22">
        <f t="shared" si="175"/>
        <v>10.539623012257007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168</v>
      </c>
      <c r="DP187" s="17">
        <f>DO187*VLOOKUP('Données projet'!$B$14,Paramètres!$A$1:$I$89,3,0)*VLOOKUP('Données projet'!$B$14,Paramètres!$A$1:$I$89,5,0)</f>
        <v>146.76480000000004</v>
      </c>
      <c r="DQ187" s="13">
        <f t="shared" si="176"/>
        <v>37.842444439956665</v>
      </c>
      <c r="DR187" s="20">
        <f t="shared" si="177"/>
        <v>321.52428406625791</v>
      </c>
      <c r="DS187" s="59">
        <f t="shared" si="125"/>
        <v>614.85761739959116</v>
      </c>
      <c r="DT187" s="59">
        <f ca="1">AVERAGE(OFFSET($DS$3,0,0,'Données projet'!$E$14+1,1))-AVERAGE(OFFSET($H$3,0,0,'Données projet'!$E$14+1,1))</f>
        <v>150.06600397498823</v>
      </c>
      <c r="DU187" s="59">
        <f t="shared" si="152"/>
        <v>170.53034305929714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0.93338450505107728</v>
      </c>
      <c r="EB187" s="21">
        <f>EXP(-LN(2)/25)*EB186+(1-EXP(-LN(2)/25))/(LN(2)/25)*Calculateur!DW187*Calculateur!DY187*VLOOKUP('Données projet'!$B$14,Paramètres!$A$1:$I$89,3,0)*0.475*44/12</f>
        <v>0.84121349106029264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1.7745979961113698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294.94285920643927</v>
      </c>
      <c r="T188" s="59">
        <f t="shared" si="142"/>
        <v>399.89535338426606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11.603695846759285</v>
      </c>
      <c r="AA188" s="21">
        <f>EXP(-LN(2)/25)*AA187+(1-EXP(-LN(2)/25))/(LN(2)/25)*Calculateur!V188*Calculateur!X188*VLOOKUP('Données projet'!$B$9,Paramètres!$A$1:$I$89,3,0)*0.475*44/12</f>
        <v>4.307835965501897</v>
      </c>
      <c r="AB188" s="21">
        <f>EXP(-LN(2)/2)*AB187+(1-EXP(-LN(2)/2))/(LN(2)/2)*V188*Y188*VLOOKUP('Données projet'!$B$9,Paramètres!$A$1:$I$89,3,0)*0.475*44/12</f>
        <v>4.0595537334474283E-23</v>
      </c>
      <c r="AC188" s="22">
        <f t="shared" si="163"/>
        <v>15.911531812261181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-1.0197709343628959E-13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200.14675249215634</v>
      </c>
      <c r="AO188" s="59">
        <f t="shared" si="144"/>
        <v>200.55017434999968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10.912056264997505</v>
      </c>
      <c r="AV188" s="21">
        <f>EXP(-LN(2)/25)*AV187+(1-EXP(-LN(2)/25))/(LN(2)/25)*Calculateur!AQ188*Calculateur!AS188*VLOOKUP('Données projet'!$B$10,Paramètres!$A$1:$I$89,3,0)*0.475*44/12</f>
        <v>1.129318219196302</v>
      </c>
      <c r="AW188" s="21">
        <f>EXP(-LN(2)/2)*AW187+(1-EXP(-LN(2)/2))/(LN(2)/2)*AQ188*AT188*VLOOKUP('Données projet'!$B$10,Paramètres!$A$1:$I$89,3,0)*0.475*44/12</f>
        <v>4.9008425168132138E-18</v>
      </c>
      <c r="AX188" s="21">
        <f t="shared" si="166"/>
        <v>12.041374484193806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-1.4210854715202004E-13</v>
      </c>
      <c r="BE188" s="13">
        <f>BD188*VLOOKUP('Données projet'!$B$11,Paramètres!$A$1:$I$89,3,0)*VLOOKUP('Données projet'!$B$11,Paramètres!$A$1:$I$89,5,0)</f>
        <v>-8.128608897095547E-14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182.46132340647313</v>
      </c>
      <c r="BJ188" s="59">
        <f t="shared" si="146"/>
        <v>130.51706975490481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20.956830805570124</v>
      </c>
      <c r="BQ188" s="21">
        <f>EXP(-LN(2)/25)*BQ187+(1-EXP(-LN(2)/25))/(LN(2)/25)*Calculateur!BL188*Calculateur!BN188*VLOOKUP('Données projet'!$B$11,Paramètres!$A$1:$I$89,3,0)*0.475*44/12</f>
        <v>2.6415135015831459</v>
      </c>
      <c r="BR188" s="21">
        <f>EXP(-LN(2)/2)*BR187+(1-EXP(-LN(2)/2))/(LN(2)/2)*BL188*BO188*VLOOKUP('Données projet'!$B$11,Paramètres!$A$1:$I$89,3,0)*0.475*44/12</f>
        <v>7.9039610557089958E-12</v>
      </c>
      <c r="BS188" s="22">
        <f t="shared" si="169"/>
        <v>23.598344307161174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735.00000000000011</v>
      </c>
      <c r="BZ188" s="13">
        <f>BY188*VLOOKUP('Données projet'!$B$12,Paramètres!$A$1:$I$89,3,0)*VLOOKUP('Données projet'!$B$12,Paramètres!$A$1:$I$89,5,0)</f>
        <v>296.20500000000004</v>
      </c>
      <c r="CA188" s="13">
        <f t="shared" si="170"/>
        <v>70.380297204000939</v>
      </c>
      <c r="CB188" s="20">
        <f t="shared" si="171"/>
        <v>638.46939263030174</v>
      </c>
      <c r="CC188" s="59">
        <f t="shared" si="119"/>
        <v>931.80272596363511</v>
      </c>
      <c r="CD188" s="59">
        <f ca="1">AVERAGE(OFFSET($CC$3,0,0,'Données projet'!$E$12+1,1))-AVERAGE(OFFSET($H$3,0,0,'Données projet'!$E$12+1,1))</f>
        <v>291.0962681460345</v>
      </c>
      <c r="CE188" s="59">
        <f t="shared" si="148"/>
        <v>240.28311826371385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6.4677611093890972</v>
      </c>
      <c r="CL188" s="21">
        <f>EXP(-LN(2)/25)*CL187+(1-EXP(-LN(2)/25))/(LN(2)/25)*Calculateur!CG188*Calculateur!CI188*VLOOKUP('Données projet'!$B$12,Paramètres!$A$1:$I$89,3,0)*0.475*44/12</f>
        <v>1.1891573649170191</v>
      </c>
      <c r="CM188" s="21">
        <f>EXP(-LN(2)/2)*CM187+(1-EXP(-LN(2)/2))/(LN(2)/2)*CG188*CJ188*VLOOKUP('Données projet'!$B$12,Paramètres!$A$1:$I$89,3,0)*0.475*44/12</f>
        <v>9.532412332022292E-17</v>
      </c>
      <c r="CN188" s="22">
        <f t="shared" si="172"/>
        <v>7.6569184743061163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-5.3205440053716299E-14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225.92546546283018</v>
      </c>
      <c r="CZ188" s="59">
        <f t="shared" si="150"/>
        <v>309.38786160614563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7.5761394602806913</v>
      </c>
      <c r="DG188" s="21">
        <f>EXP(-LN(2)/25)*DG187+(1-EXP(-LN(2)/25))/(LN(2)/25)*Calculateur!DB188*Calculateur!DD188*VLOOKUP('Données projet'!$B$13,Paramètres!$A$1:$I$89,3,0)*0.475*44/12</f>
        <v>2.7350556880623711</v>
      </c>
      <c r="DH188" s="21">
        <f>EXP(-LN(2)/2)*DH187+(1-EXP(-LN(2)/2))/(LN(2)/2)*DB188*DE188*VLOOKUP('Données projet'!$B$13,Paramètres!$A$1:$I$89,3,0)*0.475*44/12</f>
        <v>1.1270716267596977E-23</v>
      </c>
      <c r="DI188" s="22">
        <f t="shared" si="175"/>
        <v>10.311195148343062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168</v>
      </c>
      <c r="DP188" s="17">
        <f>DO188*VLOOKUP('Données projet'!$B$14,Paramètres!$A$1:$I$89,3,0)*VLOOKUP('Données projet'!$B$14,Paramètres!$A$1:$I$89,5,0)</f>
        <v>146.76480000000004</v>
      </c>
      <c r="DQ188" s="13">
        <f t="shared" si="176"/>
        <v>37.842444439956665</v>
      </c>
      <c r="DR188" s="20">
        <f t="shared" si="177"/>
        <v>321.52428406625791</v>
      </c>
      <c r="DS188" s="59">
        <f t="shared" si="125"/>
        <v>614.85761739959116</v>
      </c>
      <c r="DT188" s="59">
        <f ca="1">AVERAGE(OFFSET($DS$3,0,0,'Données projet'!$E$14+1,1))-AVERAGE(OFFSET($H$3,0,0,'Données projet'!$E$14+1,1))</f>
        <v>150.06600397498823</v>
      </c>
      <c r="DU188" s="59">
        <f t="shared" si="152"/>
        <v>170.53034305929714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0.91508140421535922</v>
      </c>
      <c r="EB188" s="21">
        <f>EXP(-LN(2)/25)*EB187+(1-EXP(-LN(2)/25))/(LN(2)/25)*Calculateur!DW188*Calculateur!DY188*VLOOKUP('Données projet'!$B$14,Paramètres!$A$1:$I$89,3,0)*0.475*44/12</f>
        <v>0.81821046390975405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1.7332918681251133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294.94285920643927</v>
      </c>
      <c r="T189" s="59">
        <f t="shared" si="142"/>
        <v>399.89535338426606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11.376154448759952</v>
      </c>
      <c r="AA189" s="21">
        <f>EXP(-LN(2)/25)*AA188+(1-EXP(-LN(2)/25))/(LN(2)/25)*Calculateur!V189*Calculateur!X189*VLOOKUP('Données projet'!$B$9,Paramètres!$A$1:$I$89,3,0)*0.475*44/12</f>
        <v>4.1900379644859997</v>
      </c>
      <c r="AB189" s="21">
        <f>EXP(-LN(2)/2)*AB188+(1-EXP(-LN(2)/2))/(LN(2)/2)*V189*Y189*VLOOKUP('Données projet'!$B$9,Paramètres!$A$1:$I$89,3,0)*0.475*44/12</f>
        <v>2.8705379735118427E-23</v>
      </c>
      <c r="AC189" s="22">
        <f t="shared" si="163"/>
        <v>15.56619241324595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-1.0197709343628959E-13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200.14675249215634</v>
      </c>
      <c r="AO189" s="59">
        <f t="shared" si="144"/>
        <v>200.55017434999968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10.69807749733803</v>
      </c>
      <c r="AV189" s="21">
        <f>EXP(-LN(2)/25)*AV188+(1-EXP(-LN(2)/25))/(LN(2)/25)*Calculateur!AQ189*Calculateur!AS189*VLOOKUP('Données projet'!$B$10,Paramètres!$A$1:$I$89,3,0)*0.475*44/12</f>
        <v>1.0984369531041152</v>
      </c>
      <c r="AW189" s="21">
        <f>EXP(-LN(2)/2)*AW188+(1-EXP(-LN(2)/2))/(LN(2)/2)*AQ189*AT189*VLOOKUP('Données projet'!$B$10,Paramètres!$A$1:$I$89,3,0)*0.475*44/12</f>
        <v>3.4654189771659701E-18</v>
      </c>
      <c r="AX189" s="21">
        <f t="shared" si="166"/>
        <v>11.796514450442146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-1.4210854715202004E-13</v>
      </c>
      <c r="BE189" s="13">
        <f>BD189*VLOOKUP('Données projet'!$B$11,Paramètres!$A$1:$I$89,3,0)*VLOOKUP('Données projet'!$B$11,Paramètres!$A$1:$I$89,5,0)</f>
        <v>-8.128608897095547E-14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182.46132340647313</v>
      </c>
      <c r="BJ189" s="59">
        <f t="shared" si="146"/>
        <v>130.51706975490481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20.545880135877528</v>
      </c>
      <c r="BQ189" s="21">
        <f>EXP(-LN(2)/25)*BQ188+(1-EXP(-LN(2)/25))/(LN(2)/25)*Calculateur!BL189*Calculateur!BN189*VLOOKUP('Données projet'!$B$11,Paramètres!$A$1:$I$89,3,0)*0.475*44/12</f>
        <v>2.5692811759711969</v>
      </c>
      <c r="BR189" s="21">
        <f>EXP(-LN(2)/2)*BR188+(1-EXP(-LN(2)/2))/(LN(2)/2)*BL189*BO189*VLOOKUP('Données projet'!$B$11,Paramètres!$A$1:$I$89,3,0)*0.475*44/12</f>
        <v>5.5889444607262141E-12</v>
      </c>
      <c r="BS189" s="22">
        <f t="shared" si="169"/>
        <v>23.115161311854312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735.00000000000011</v>
      </c>
      <c r="BZ189" s="13">
        <f>BY189*VLOOKUP('Données projet'!$B$12,Paramètres!$A$1:$I$89,3,0)*VLOOKUP('Données projet'!$B$12,Paramètres!$A$1:$I$89,5,0)</f>
        <v>296.20500000000004</v>
      </c>
      <c r="CA189" s="13">
        <f t="shared" si="170"/>
        <v>70.380297204000939</v>
      </c>
      <c r="CB189" s="20">
        <f t="shared" si="171"/>
        <v>638.46939263030174</v>
      </c>
      <c r="CC189" s="59">
        <f t="shared" si="119"/>
        <v>931.80272596363511</v>
      </c>
      <c r="CD189" s="59">
        <f ca="1">AVERAGE(OFFSET($CC$3,0,0,'Données projet'!$E$12+1,1))-AVERAGE(OFFSET($H$3,0,0,'Données projet'!$E$12+1,1))</f>
        <v>291.0962681460345</v>
      </c>
      <c r="CE189" s="59">
        <f t="shared" si="148"/>
        <v>240.28311826371385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6.3409322589787225</v>
      </c>
      <c r="CL189" s="21">
        <f>EXP(-LN(2)/25)*CL188+(1-EXP(-LN(2)/25))/(LN(2)/25)*Calculateur!CG189*Calculateur!CI189*VLOOKUP('Données projet'!$B$12,Paramètres!$A$1:$I$89,3,0)*0.475*44/12</f>
        <v>1.1566397942382951</v>
      </c>
      <c r="CM189" s="21">
        <f>EXP(-LN(2)/2)*CM188+(1-EXP(-LN(2)/2))/(LN(2)/2)*CG189*CJ189*VLOOKUP('Données projet'!$B$12,Paramètres!$A$1:$I$89,3,0)*0.475*44/12</f>
        <v>6.740433401039234E-17</v>
      </c>
      <c r="CN189" s="22">
        <f t="shared" si="172"/>
        <v>7.4975720532170174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-5.3205440053716299E-14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225.92546546283018</v>
      </c>
      <c r="CZ189" s="59">
        <f t="shared" si="150"/>
        <v>309.38786160614563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7.4275759864533732</v>
      </c>
      <c r="DG189" s="21">
        <f>EXP(-LN(2)/25)*DG188+(1-EXP(-LN(2)/25))/(LN(2)/25)*Calculateur!DB189*Calculateur!DD189*VLOOKUP('Données projet'!$B$13,Paramètres!$A$1:$I$89,3,0)*0.475*44/12</f>
        <v>2.6602654464419779</v>
      </c>
      <c r="DH189" s="21">
        <f>EXP(-LN(2)/2)*DH188+(1-EXP(-LN(2)/2))/(LN(2)/2)*DB189*DE189*VLOOKUP('Données projet'!$B$13,Paramètres!$A$1:$I$89,3,0)*0.475*44/12</f>
        <v>7.9695999016473569E-24</v>
      </c>
      <c r="DI189" s="22">
        <f t="shared" si="175"/>
        <v>10.087841432895351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168</v>
      </c>
      <c r="DP189" s="17">
        <f>DO189*VLOOKUP('Données projet'!$B$14,Paramètres!$A$1:$I$89,3,0)*VLOOKUP('Données projet'!$B$14,Paramètres!$A$1:$I$89,5,0)</f>
        <v>146.76480000000004</v>
      </c>
      <c r="DQ189" s="13">
        <f t="shared" si="176"/>
        <v>37.842444439956665</v>
      </c>
      <c r="DR189" s="20">
        <f t="shared" si="177"/>
        <v>321.52428406625791</v>
      </c>
      <c r="DS189" s="59">
        <f t="shared" si="125"/>
        <v>614.85761739959116</v>
      </c>
      <c r="DT189" s="59">
        <f ca="1">AVERAGE(OFFSET($DS$3,0,0,'Données projet'!$E$14+1,1))-AVERAGE(OFFSET($H$3,0,0,'Données projet'!$E$14+1,1))</f>
        <v>150.06600397498823</v>
      </c>
      <c r="DU189" s="59">
        <f t="shared" si="152"/>
        <v>170.53034305929714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0.89713721602324037</v>
      </c>
      <c r="EB189" s="21">
        <f>EXP(-LN(2)/25)*EB188+(1-EXP(-LN(2)/25))/(LN(2)/25)*Calculateur!DW189*Calculateur!DY189*VLOOKUP('Données projet'!$B$14,Paramètres!$A$1:$I$89,3,0)*0.475*44/12</f>
        <v>0.79583645574632356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1.6929736717695638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294.94285920643927</v>
      </c>
      <c r="T190" s="59">
        <f t="shared" si="142"/>
        <v>399.89535338426606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11.153074998788837</v>
      </c>
      <c r="AA190" s="21">
        <f>EXP(-LN(2)/25)*AA189+(1-EXP(-LN(2)/25))/(LN(2)/25)*Calculateur!V190*Calculateur!X190*VLOOKUP('Données projet'!$B$9,Paramètres!$A$1:$I$89,3,0)*0.475*44/12</f>
        <v>4.0754611560026097</v>
      </c>
      <c r="AB190" s="21">
        <f>EXP(-LN(2)/2)*AB189+(1-EXP(-LN(2)/2))/(LN(2)/2)*V190*Y190*VLOOKUP('Données projet'!$B$9,Paramètres!$A$1:$I$89,3,0)*0.475*44/12</f>
        <v>2.0297768667237141E-23</v>
      </c>
      <c r="AC190" s="22">
        <f t="shared" si="163"/>
        <v>15.228536154791446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-1.0197709343628959E-13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200.14675249215634</v>
      </c>
      <c r="AO190" s="59">
        <f t="shared" si="144"/>
        <v>200.55017434999968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10.488294722798196</v>
      </c>
      <c r="AV190" s="21">
        <f>EXP(-LN(2)/25)*AV189+(1-EXP(-LN(2)/25))/(LN(2)/25)*Calculateur!AQ190*Calculateur!AS190*VLOOKUP('Données projet'!$B$10,Paramètres!$A$1:$I$89,3,0)*0.475*44/12</f>
        <v>1.0684001368571943</v>
      </c>
      <c r="AW190" s="21">
        <f>EXP(-LN(2)/2)*AW189+(1-EXP(-LN(2)/2))/(LN(2)/2)*AQ190*AT190*VLOOKUP('Données projet'!$B$10,Paramètres!$A$1:$I$89,3,0)*0.475*44/12</f>
        <v>2.4504212584066073E-18</v>
      </c>
      <c r="AX190" s="21">
        <f t="shared" si="166"/>
        <v>11.556694859655391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-1.4210854715202004E-13</v>
      </c>
      <c r="BE190" s="13">
        <f>BD190*VLOOKUP('Données projet'!$B$11,Paramètres!$A$1:$I$89,3,0)*VLOOKUP('Données projet'!$B$11,Paramètres!$A$1:$I$89,5,0)</f>
        <v>-8.128608897095547E-14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182.46132340647313</v>
      </c>
      <c r="BJ190" s="59">
        <f t="shared" si="146"/>
        <v>130.51706975490481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20.142987958162447</v>
      </c>
      <c r="BQ190" s="21">
        <f>EXP(-LN(2)/25)*BQ189+(1-EXP(-LN(2)/25))/(LN(2)/25)*Calculateur!BL190*Calculateur!BN190*VLOOKUP('Données projet'!$B$11,Paramètres!$A$1:$I$89,3,0)*0.475*44/12</f>
        <v>2.4990240471016398</v>
      </c>
      <c r="BR190" s="21">
        <f>EXP(-LN(2)/2)*BR189+(1-EXP(-LN(2)/2))/(LN(2)/2)*BL190*BO190*VLOOKUP('Données projet'!$B$11,Paramètres!$A$1:$I$89,3,0)*0.475*44/12</f>
        <v>3.9519805278544979E-12</v>
      </c>
      <c r="BS190" s="22">
        <f t="shared" si="169"/>
        <v>22.642012005268036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735.00000000000011</v>
      </c>
      <c r="BZ190" s="13">
        <f>BY190*VLOOKUP('Données projet'!$B$12,Paramètres!$A$1:$I$89,3,0)*VLOOKUP('Données projet'!$B$12,Paramètres!$A$1:$I$89,5,0)</f>
        <v>296.20500000000004</v>
      </c>
      <c r="CA190" s="13">
        <f t="shared" si="170"/>
        <v>70.380297204000939</v>
      </c>
      <c r="CB190" s="20">
        <f t="shared" si="171"/>
        <v>638.46939263030174</v>
      </c>
      <c r="CC190" s="59">
        <f t="shared" si="119"/>
        <v>931.80272596363511</v>
      </c>
      <c r="CD190" s="59">
        <f ca="1">AVERAGE(OFFSET($CC$3,0,0,'Données projet'!$E$12+1,1))-AVERAGE(OFFSET($H$3,0,0,'Données projet'!$E$12+1,1))</f>
        <v>291.0962681460345</v>
      </c>
      <c r="CE190" s="59">
        <f t="shared" si="148"/>
        <v>240.28311826371385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6.2165904449669354</v>
      </c>
      <c r="CL190" s="21">
        <f>EXP(-LN(2)/25)*CL189+(1-EXP(-LN(2)/25))/(LN(2)/25)*Calculateur!CG190*Calculateur!CI190*VLOOKUP('Données projet'!$B$12,Paramètres!$A$1:$I$89,3,0)*0.475*44/12</f>
        <v>1.1250114182398057</v>
      </c>
      <c r="CM190" s="21">
        <f>EXP(-LN(2)/2)*CM189+(1-EXP(-LN(2)/2))/(LN(2)/2)*CG190*CJ190*VLOOKUP('Données projet'!$B$12,Paramètres!$A$1:$I$89,3,0)*0.475*44/12</f>
        <v>4.766206166011146E-17</v>
      </c>
      <c r="CN190" s="22">
        <f t="shared" si="172"/>
        <v>7.3416018632067406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-5.3205440053716299E-14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225.92546546283018</v>
      </c>
      <c r="CZ190" s="59">
        <f t="shared" si="150"/>
        <v>309.38786160614563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7.2819257517330369</v>
      </c>
      <c r="DG190" s="21">
        <f>EXP(-LN(2)/25)*DG189+(1-EXP(-LN(2)/25))/(LN(2)/25)*Calculateur!DB190*Calculateur!DD190*VLOOKUP('Données projet'!$B$13,Paramètres!$A$1:$I$89,3,0)*0.475*44/12</f>
        <v>2.5875203479117421</v>
      </c>
      <c r="DH190" s="21">
        <f>EXP(-LN(2)/2)*DH189+(1-EXP(-LN(2)/2))/(LN(2)/2)*DB190*DE190*VLOOKUP('Données projet'!$B$13,Paramètres!$A$1:$I$89,3,0)*0.475*44/12</f>
        <v>5.6353581337984884E-24</v>
      </c>
      <c r="DI190" s="22">
        <f t="shared" si="175"/>
        <v>9.8694460996447795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168</v>
      </c>
      <c r="DP190" s="17">
        <f>DO190*VLOOKUP('Données projet'!$B$14,Paramètres!$A$1:$I$89,3,0)*VLOOKUP('Données projet'!$B$14,Paramètres!$A$1:$I$89,5,0)</f>
        <v>146.76480000000004</v>
      </c>
      <c r="DQ190" s="13">
        <f t="shared" si="176"/>
        <v>37.842444439956665</v>
      </c>
      <c r="DR190" s="20">
        <f t="shared" si="177"/>
        <v>321.52428406625791</v>
      </c>
      <c r="DS190" s="59">
        <f t="shared" si="125"/>
        <v>614.85761739959116</v>
      </c>
      <c r="DT190" s="59">
        <f ca="1">AVERAGE(OFFSET($DS$3,0,0,'Données projet'!$E$14+1,1))-AVERAGE(OFFSET($H$3,0,0,'Données projet'!$E$14+1,1))</f>
        <v>150.06600397498823</v>
      </c>
      <c r="DU190" s="59">
        <f t="shared" si="152"/>
        <v>170.53034305929714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0.87954490241669492</v>
      </c>
      <c r="EB190" s="21">
        <f>EXP(-LN(2)/25)*EB189+(1-EXP(-LN(2)/25))/(LN(2)/25)*Calculateur!DW190*Calculateur!DY190*VLOOKUP('Données projet'!$B$14,Paramètres!$A$1:$I$89,3,0)*0.475*44/12</f>
        <v>0.77407426601272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1.6536191684294148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294.94285920643927</v>
      </c>
      <c r="T191" s="59">
        <f t="shared" si="142"/>
        <v>399.89535338426606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10.934370000766625</v>
      </c>
      <c r="AA191" s="21">
        <f>EXP(-LN(2)/25)*AA190+(1-EXP(-LN(2)/25))/(LN(2)/25)*Calculateur!V191*Calculateur!X191*VLOOKUP('Données projet'!$B$9,Paramètres!$A$1:$I$89,3,0)*0.475*44/12</f>
        <v>3.9640174563725306</v>
      </c>
      <c r="AB191" s="21">
        <f>EXP(-LN(2)/2)*AB190+(1-EXP(-LN(2)/2))/(LN(2)/2)*V191*Y191*VLOOKUP('Données projet'!$B$9,Paramètres!$A$1:$I$89,3,0)*0.475*44/12</f>
        <v>1.4352689867559214E-23</v>
      </c>
      <c r="AC191" s="22">
        <f t="shared" si="163"/>
        <v>14.898387457139156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-1.0197709343628959E-13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200.14675249215634</v>
      </c>
      <c r="AO191" s="59">
        <f t="shared" si="144"/>
        <v>200.55017434999968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10.282625660512231</v>
      </c>
      <c r="AV191" s="21">
        <f>EXP(-LN(2)/25)*AV190+(1-EXP(-LN(2)/25))/(LN(2)/25)*Calculateur!AQ191*Calculateur!AS191*VLOOKUP('Données projet'!$B$10,Paramètres!$A$1:$I$89,3,0)*0.475*44/12</f>
        <v>1.0391846789301129</v>
      </c>
      <c r="AW191" s="21">
        <f>EXP(-LN(2)/2)*AW190+(1-EXP(-LN(2)/2))/(LN(2)/2)*AQ191*AT191*VLOOKUP('Données projet'!$B$10,Paramètres!$A$1:$I$89,3,0)*0.475*44/12</f>
        <v>1.7327094885829854E-18</v>
      </c>
      <c r="AX191" s="21">
        <f t="shared" si="166"/>
        <v>11.321810339442344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-1.4210854715202004E-13</v>
      </c>
      <c r="BE191" s="13">
        <f>BD191*VLOOKUP('Données projet'!$B$11,Paramètres!$A$1:$I$89,3,0)*VLOOKUP('Données projet'!$B$11,Paramètres!$A$1:$I$89,5,0)</f>
        <v>-8.128608897095547E-14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182.46132340647313</v>
      </c>
      <c r="BJ191" s="59">
        <f t="shared" si="146"/>
        <v>130.51706975490481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19.747996250312394</v>
      </c>
      <c r="BQ191" s="21">
        <f>EXP(-LN(2)/25)*BQ190+(1-EXP(-LN(2)/25))/(LN(2)/25)*Calculateur!BL191*Calculateur!BN191*VLOOKUP('Données projet'!$B$11,Paramètres!$A$1:$I$89,3,0)*0.475*44/12</f>
        <v>2.4306881031156826</v>
      </c>
      <c r="BR191" s="21">
        <f>EXP(-LN(2)/2)*BR190+(1-EXP(-LN(2)/2))/(LN(2)/2)*BL191*BO191*VLOOKUP('Données projet'!$B$11,Paramètres!$A$1:$I$89,3,0)*0.475*44/12</f>
        <v>2.7944722303631071E-12</v>
      </c>
      <c r="BS191" s="22">
        <f t="shared" si="169"/>
        <v>22.178684353430871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735.00000000000011</v>
      </c>
      <c r="BZ191" s="13">
        <f>BY191*VLOOKUP('Données projet'!$B$12,Paramètres!$A$1:$I$89,3,0)*VLOOKUP('Données projet'!$B$12,Paramètres!$A$1:$I$89,5,0)</f>
        <v>296.20500000000004</v>
      </c>
      <c r="CA191" s="13">
        <f t="shared" si="170"/>
        <v>70.380297204000939</v>
      </c>
      <c r="CB191" s="20">
        <f t="shared" si="171"/>
        <v>638.46939263030174</v>
      </c>
      <c r="CC191" s="59">
        <f t="shared" si="119"/>
        <v>931.80272596363511</v>
      </c>
      <c r="CD191" s="59">
        <f ca="1">AVERAGE(OFFSET($CC$3,0,0,'Données projet'!$E$12+1,1))-AVERAGE(OFFSET($H$3,0,0,'Données projet'!$E$12+1,1))</f>
        <v>291.0962681460345</v>
      </c>
      <c r="CE191" s="59">
        <f t="shared" si="148"/>
        <v>240.28311826371385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6.0946868980869011</v>
      </c>
      <c r="CL191" s="21">
        <f>EXP(-LN(2)/25)*CL190+(1-EXP(-LN(2)/25))/(LN(2)/25)*Calculateur!CG191*Calculateur!CI191*VLOOKUP('Données projet'!$B$12,Paramètres!$A$1:$I$89,3,0)*0.475*44/12</f>
        <v>1.0942479218462589</v>
      </c>
      <c r="CM191" s="21">
        <f>EXP(-LN(2)/2)*CM190+(1-EXP(-LN(2)/2))/(LN(2)/2)*CG191*CJ191*VLOOKUP('Données projet'!$B$12,Paramètres!$A$1:$I$89,3,0)*0.475*44/12</f>
        <v>3.370216700519617E-17</v>
      </c>
      <c r="CN191" s="22">
        <f t="shared" si="172"/>
        <v>7.1889348199331602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-5.3205440053716299E-14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225.92546546283018</v>
      </c>
      <c r="CZ191" s="59">
        <f t="shared" si="150"/>
        <v>309.38786160614563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7.1391316292776956</v>
      </c>
      <c r="DG191" s="21">
        <f>EXP(-LN(2)/25)*DG190+(1-EXP(-LN(2)/25))/(LN(2)/25)*Calculateur!DB191*Calculateur!DD191*VLOOKUP('Données projet'!$B$13,Paramètres!$A$1:$I$89,3,0)*0.475*44/12</f>
        <v>2.5167644679263144</v>
      </c>
      <c r="DH191" s="21">
        <f>EXP(-LN(2)/2)*DH190+(1-EXP(-LN(2)/2))/(LN(2)/2)*DB191*DE191*VLOOKUP('Données projet'!$B$13,Paramètres!$A$1:$I$89,3,0)*0.475*44/12</f>
        <v>3.9847999508236785E-24</v>
      </c>
      <c r="DI191" s="22">
        <f t="shared" si="175"/>
        <v>9.6558960972040104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168</v>
      </c>
      <c r="DP191" s="17">
        <f>DO191*VLOOKUP('Données projet'!$B$14,Paramètres!$A$1:$I$89,3,0)*VLOOKUP('Données projet'!$B$14,Paramètres!$A$1:$I$89,5,0)</f>
        <v>146.76480000000004</v>
      </c>
      <c r="DQ191" s="13">
        <f t="shared" si="176"/>
        <v>37.842444439956665</v>
      </c>
      <c r="DR191" s="20">
        <f t="shared" si="177"/>
        <v>321.52428406625791</v>
      </c>
      <c r="DS191" s="59">
        <f t="shared" si="125"/>
        <v>614.85761739959116</v>
      </c>
      <c r="DT191" s="59">
        <f ca="1">AVERAGE(OFFSET($DS$3,0,0,'Données projet'!$E$14+1,1))-AVERAGE(OFFSET($H$3,0,0,'Données projet'!$E$14+1,1))</f>
        <v>150.06600397498823</v>
      </c>
      <c r="DU191" s="59">
        <f t="shared" si="152"/>
        <v>170.53034305929714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0.86229756334972207</v>
      </c>
      <c r="EB191" s="21">
        <f>EXP(-LN(2)/25)*EB190+(1-EXP(-LN(2)/25))/(LN(2)/25)*Calculateur!DW191*Calculateur!DY191*VLOOKUP('Données projet'!$B$14,Paramètres!$A$1:$I$89,3,0)*0.475*44/12</f>
        <v>0.75290716450180573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1.6152047278515278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294.94285920643927</v>
      </c>
      <c r="T192" s="59">
        <f t="shared" si="142"/>
        <v>399.89535338426606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10.719953674358752</v>
      </c>
      <c r="AA192" s="21">
        <f>EXP(-LN(2)/25)*AA191+(1-EXP(-LN(2)/25))/(LN(2)/25)*Calculateur!V192*Calculateur!X192*VLOOKUP('Données projet'!$B$9,Paramètres!$A$1:$I$89,3,0)*0.475*44/12</f>
        <v>3.8556211905694058</v>
      </c>
      <c r="AB192" s="21">
        <f>EXP(-LN(2)/2)*AB191+(1-EXP(-LN(2)/2))/(LN(2)/2)*V192*Y192*VLOOKUP('Données projet'!$B$9,Paramètres!$A$1:$I$89,3,0)*0.475*44/12</f>
        <v>1.0148884333618571E-23</v>
      </c>
      <c r="AC192" s="22">
        <f t="shared" si="163"/>
        <v>14.575574864928157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-1.0197709343628959E-13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200.14675249215634</v>
      </c>
      <c r="AO192" s="59">
        <f t="shared" si="144"/>
        <v>200.55017434999968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10.080989643091952</v>
      </c>
      <c r="AV192" s="21">
        <f>EXP(-LN(2)/25)*AV191+(1-EXP(-LN(2)/25))/(LN(2)/25)*Calculateur!AQ192*Calculateur!AS192*VLOOKUP('Données projet'!$B$10,Paramètres!$A$1:$I$89,3,0)*0.475*44/12</f>
        <v>1.0107681192364217</v>
      </c>
      <c r="AW192" s="21">
        <f>EXP(-LN(2)/2)*AW191+(1-EXP(-LN(2)/2))/(LN(2)/2)*AQ192*AT192*VLOOKUP('Données projet'!$B$10,Paramètres!$A$1:$I$89,3,0)*0.475*44/12</f>
        <v>1.2252106292033038E-18</v>
      </c>
      <c r="AX192" s="21">
        <f t="shared" si="166"/>
        <v>11.091757762328374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-1.4210854715202004E-13</v>
      </c>
      <c r="BE192" s="13">
        <f>BD192*VLOOKUP('Données projet'!$B$11,Paramètres!$A$1:$I$89,3,0)*VLOOKUP('Données projet'!$B$11,Paramètres!$A$1:$I$89,5,0)</f>
        <v>-8.128608897095547E-14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182.46132340647313</v>
      </c>
      <c r="BJ192" s="59">
        <f t="shared" si="146"/>
        <v>130.51706975490481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19.360750088932125</v>
      </c>
      <c r="BQ192" s="21">
        <f>EXP(-LN(2)/25)*BQ191+(1-EXP(-LN(2)/25))/(LN(2)/25)*Calculateur!BL192*Calculateur!BN192*VLOOKUP('Données projet'!$B$11,Paramètres!$A$1:$I$89,3,0)*0.475*44/12</f>
        <v>2.3642208091116523</v>
      </c>
      <c r="BR192" s="21">
        <f>EXP(-LN(2)/2)*BR191+(1-EXP(-LN(2)/2))/(LN(2)/2)*BL192*BO192*VLOOKUP('Données projet'!$B$11,Paramètres!$A$1:$I$89,3,0)*0.475*44/12</f>
        <v>1.9759902639272489E-12</v>
      </c>
      <c r="BS192" s="22">
        <f t="shared" si="169"/>
        <v>21.724970898045754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735.00000000000011</v>
      </c>
      <c r="BZ192" s="13">
        <f>BY192*VLOOKUP('Données projet'!$B$12,Paramètres!$A$1:$I$89,3,0)*VLOOKUP('Données projet'!$B$12,Paramètres!$A$1:$I$89,5,0)</f>
        <v>296.20500000000004</v>
      </c>
      <c r="CA192" s="13">
        <f t="shared" si="170"/>
        <v>70.380297204000939</v>
      </c>
      <c r="CB192" s="20">
        <f t="shared" si="171"/>
        <v>638.46939263030174</v>
      </c>
      <c r="CC192" s="59">
        <f t="shared" si="119"/>
        <v>931.80272596363511</v>
      </c>
      <c r="CD192" s="59">
        <f ca="1">AVERAGE(OFFSET($CC$3,0,0,'Données projet'!$E$12+1,1))-AVERAGE(OFFSET($H$3,0,0,'Données projet'!$E$12+1,1))</f>
        <v>291.0962681460345</v>
      </c>
      <c r="CE192" s="59">
        <f t="shared" si="148"/>
        <v>240.28311826371385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5.9751738054073629</v>
      </c>
      <c r="CL192" s="21">
        <f>EXP(-LN(2)/25)*CL191+(1-EXP(-LN(2)/25))/(LN(2)/25)*Calculateur!CG192*Calculateur!CI192*VLOOKUP('Données projet'!$B$12,Paramètres!$A$1:$I$89,3,0)*0.475*44/12</f>
        <v>1.0643256548793756</v>
      </c>
      <c r="CM192" s="21">
        <f>EXP(-LN(2)/2)*CM191+(1-EXP(-LN(2)/2))/(LN(2)/2)*CG192*CJ192*VLOOKUP('Données projet'!$B$12,Paramètres!$A$1:$I$89,3,0)*0.475*44/12</f>
        <v>2.383103083005573E-17</v>
      </c>
      <c r="CN192" s="22">
        <f t="shared" si="172"/>
        <v>7.0394994602867387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-5.3205440053716299E-14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225.92546546283018</v>
      </c>
      <c r="CZ192" s="59">
        <f t="shared" si="150"/>
        <v>309.38786160614563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6.999137612467889</v>
      </c>
      <c r="DG192" s="21">
        <f>EXP(-LN(2)/25)*DG191+(1-EXP(-LN(2)/25))/(LN(2)/25)*Calculateur!DB192*Calculateur!DD192*VLOOKUP('Données projet'!$B$13,Paramètres!$A$1:$I$89,3,0)*0.475*44/12</f>
        <v>2.447943411199978</v>
      </c>
      <c r="DH192" s="21">
        <f>EXP(-LN(2)/2)*DH191+(1-EXP(-LN(2)/2))/(LN(2)/2)*DB192*DE192*VLOOKUP('Données projet'!$B$13,Paramètres!$A$1:$I$89,3,0)*0.475*44/12</f>
        <v>2.8176790668992442E-24</v>
      </c>
      <c r="DI192" s="22">
        <f t="shared" si="175"/>
        <v>9.4470810236678666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168</v>
      </c>
      <c r="DP192" s="17">
        <f>DO192*VLOOKUP('Données projet'!$B$14,Paramètres!$A$1:$I$89,3,0)*VLOOKUP('Données projet'!$B$14,Paramètres!$A$1:$I$89,5,0)</f>
        <v>146.76480000000004</v>
      </c>
      <c r="DQ192" s="13">
        <f t="shared" si="176"/>
        <v>37.842444439956665</v>
      </c>
      <c r="DR192" s="20">
        <f t="shared" si="177"/>
        <v>321.52428406625791</v>
      </c>
      <c r="DS192" s="59">
        <f t="shared" si="125"/>
        <v>614.85761739959116</v>
      </c>
      <c r="DT192" s="59">
        <f ca="1">AVERAGE(OFFSET($DS$3,0,0,'Données projet'!$E$14+1,1))-AVERAGE(OFFSET($H$3,0,0,'Données projet'!$E$14+1,1))</f>
        <v>150.06600397498823</v>
      </c>
      <c r="DU192" s="59">
        <f t="shared" si="152"/>
        <v>170.53034305929714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0.84538843408201447</v>
      </c>
      <c r="EB192" s="21">
        <f>EXP(-LN(2)/25)*EB191+(1-EXP(-LN(2)/25))/(LN(2)/25)*Calculateur!DW192*Calculateur!DY192*VLOOKUP('Données projet'!$B$14,Paramètres!$A$1:$I$89,3,0)*0.475*44/12</f>
        <v>0.7323188784948369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1.5777073125768513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294.94285920643927</v>
      </c>
      <c r="T193" s="59">
        <f t="shared" si="142"/>
        <v>399.89535338426606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10.509741921330694</v>
      </c>
      <c r="AA193" s="21">
        <f>EXP(-LN(2)/25)*AA192+(1-EXP(-LN(2)/25))/(LN(2)/25)*Calculateur!V193*Calculateur!X193*VLOOKUP('Données projet'!$B$9,Paramètres!$A$1:$I$89,3,0)*0.475*44/12</f>
        <v>3.7501890263549793</v>
      </c>
      <c r="AB193" s="21">
        <f>EXP(-LN(2)/2)*AB192+(1-EXP(-LN(2)/2))/(LN(2)/2)*V193*Y193*VLOOKUP('Données projet'!$B$9,Paramètres!$A$1:$I$89,3,0)*0.475*44/12</f>
        <v>7.1763449337796068E-24</v>
      </c>
      <c r="AC193" s="22">
        <f t="shared" si="163"/>
        <v>14.259930947685673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-1.0197709343628959E-13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200.14675249215634</v>
      </c>
      <c r="AO193" s="59">
        <f t="shared" si="144"/>
        <v>200.55017434999968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9.8833075849874579</v>
      </c>
      <c r="AV193" s="21">
        <f>EXP(-LN(2)/25)*AV192+(1-EXP(-LN(2)/25))/(LN(2)/25)*Calculateur!AQ193*Calculateur!AS193*VLOOKUP('Données projet'!$B$10,Paramètres!$A$1:$I$89,3,0)*0.475*44/12</f>
        <v>0.98312861186191658</v>
      </c>
      <c r="AW193" s="21">
        <f>EXP(-LN(2)/2)*AW192+(1-EXP(-LN(2)/2))/(LN(2)/2)*AQ193*AT193*VLOOKUP('Données projet'!$B$10,Paramètres!$A$1:$I$89,3,0)*0.475*44/12</f>
        <v>8.6635474429149281E-19</v>
      </c>
      <c r="AX193" s="21">
        <f t="shared" si="166"/>
        <v>10.866436196849374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-1.4210854715202004E-13</v>
      </c>
      <c r="BE193" s="13">
        <f>BD193*VLOOKUP('Données projet'!$B$11,Paramètres!$A$1:$I$89,3,0)*VLOOKUP('Données projet'!$B$11,Paramètres!$A$1:$I$89,5,0)</f>
        <v>-8.128608897095547E-14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182.46132340647313</v>
      </c>
      <c r="BJ193" s="59">
        <f t="shared" si="146"/>
        <v>130.51706975490481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18.98109758857969</v>
      </c>
      <c r="BQ193" s="21">
        <f>EXP(-LN(2)/25)*BQ192+(1-EXP(-LN(2)/25))/(LN(2)/25)*Calculateur!BL193*Calculateur!BN193*VLOOKUP('Données projet'!$B$11,Paramètres!$A$1:$I$89,3,0)*0.475*44/12</f>
        <v>2.2995710667575255</v>
      </c>
      <c r="BR193" s="21">
        <f>EXP(-LN(2)/2)*BR192+(1-EXP(-LN(2)/2))/(LN(2)/2)*BL193*BO193*VLOOKUP('Données projet'!$B$11,Paramètres!$A$1:$I$89,3,0)*0.475*44/12</f>
        <v>1.3972361151815535E-12</v>
      </c>
      <c r="BS193" s="22">
        <f t="shared" si="169"/>
        <v>21.280668655338612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735.00000000000011</v>
      </c>
      <c r="BZ193" s="13">
        <f>BY193*VLOOKUP('Données projet'!$B$12,Paramètres!$A$1:$I$89,3,0)*VLOOKUP('Données projet'!$B$12,Paramètres!$A$1:$I$89,5,0)</f>
        <v>296.20500000000004</v>
      </c>
      <c r="CA193" s="13">
        <f t="shared" si="170"/>
        <v>70.380297204000939</v>
      </c>
      <c r="CB193" s="20">
        <f t="shared" si="171"/>
        <v>638.46939263030174</v>
      </c>
      <c r="CC193" s="59">
        <f t="shared" si="119"/>
        <v>931.80272596363511</v>
      </c>
      <c r="CD193" s="59">
        <f ca="1">AVERAGE(OFFSET($CC$3,0,0,'Données projet'!$E$12+1,1))-AVERAGE(OFFSET($H$3,0,0,'Données projet'!$E$12+1,1))</f>
        <v>291.0962681460345</v>
      </c>
      <c r="CE193" s="59">
        <f t="shared" si="148"/>
        <v>240.28311826371385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5.8580042915794817</v>
      </c>
      <c r="CL193" s="21">
        <f>EXP(-LN(2)/25)*CL192+(1-EXP(-LN(2)/25))/(LN(2)/25)*Calculateur!CG193*Calculateur!CI193*VLOOKUP('Données projet'!$B$12,Paramètres!$A$1:$I$89,3,0)*0.475*44/12</f>
        <v>1.0352216138762453</v>
      </c>
      <c r="CM193" s="21">
        <f>EXP(-LN(2)/2)*CM192+(1-EXP(-LN(2)/2))/(LN(2)/2)*CG193*CJ193*VLOOKUP('Données projet'!$B$12,Paramètres!$A$1:$I$89,3,0)*0.475*44/12</f>
        <v>1.6851083502598085E-17</v>
      </c>
      <c r="CN193" s="22">
        <f t="shared" si="172"/>
        <v>6.8932259054557274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-5.3205440053716299E-14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225.92546546283018</v>
      </c>
      <c r="CZ193" s="59">
        <f t="shared" si="150"/>
        <v>309.38786160614563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6.8618887929398031</v>
      </c>
      <c r="DG193" s="21">
        <f>EXP(-LN(2)/25)*DG192+(1-EXP(-LN(2)/25))/(LN(2)/25)*Calculateur!DB193*Calculateur!DD193*VLOOKUP('Données projet'!$B$13,Paramètres!$A$1:$I$89,3,0)*0.475*44/12</f>
        <v>2.3810042698889653</v>
      </c>
      <c r="DH193" s="21">
        <f>EXP(-LN(2)/2)*DH192+(1-EXP(-LN(2)/2))/(LN(2)/2)*DB193*DE193*VLOOKUP('Données projet'!$B$13,Paramètres!$A$1:$I$89,3,0)*0.475*44/12</f>
        <v>1.9923999754118392E-24</v>
      </c>
      <c r="DI193" s="22">
        <f t="shared" si="175"/>
        <v>9.2428930628287684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168</v>
      </c>
      <c r="DP193" s="17">
        <f>DO193*VLOOKUP('Données projet'!$B$14,Paramètres!$A$1:$I$89,3,0)*VLOOKUP('Données projet'!$B$14,Paramètres!$A$1:$I$89,5,0)</f>
        <v>146.76480000000004</v>
      </c>
      <c r="DQ193" s="13">
        <f t="shared" si="176"/>
        <v>37.842444439956665</v>
      </c>
      <c r="DR193" s="20">
        <f t="shared" si="177"/>
        <v>321.52428406625791</v>
      </c>
      <c r="DS193" s="59">
        <f t="shared" si="125"/>
        <v>614.85761739959116</v>
      </c>
      <c r="DT193" s="59">
        <f ca="1">AVERAGE(OFFSET($DS$3,0,0,'Données projet'!$E$14+1,1))-AVERAGE(OFFSET($H$3,0,0,'Données projet'!$E$14+1,1))</f>
        <v>150.06600397498823</v>
      </c>
      <c r="DU193" s="59">
        <f t="shared" si="152"/>
        <v>170.53034305929714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0.82881088252569612</v>
      </c>
      <c r="EB193" s="21">
        <f>EXP(-LN(2)/25)*EB192+(1-EXP(-LN(2)/25))/(LN(2)/25)*Calculateur!DW193*Calculateur!DY193*VLOOKUP('Données projet'!$B$14,Paramètres!$A$1:$I$89,3,0)*0.475*44/12</f>
        <v>0.71229358025141953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1.5411044627771155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294.94285920643927</v>
      </c>
      <c r="T194" s="59">
        <f t="shared" si="142"/>
        <v>399.89535338426606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10.303652292563005</v>
      </c>
      <c r="AA194" s="21">
        <f>EXP(-LN(2)/25)*AA193+(1-EXP(-LN(2)/25))/(LN(2)/25)*Calculateur!V194*Calculateur!X194*VLOOKUP('Données projet'!$B$9,Paramètres!$A$1:$I$89,3,0)*0.475*44/12</f>
        <v>3.6476399102154327</v>
      </c>
      <c r="AB194" s="21">
        <f>EXP(-LN(2)/2)*AB193+(1-EXP(-LN(2)/2))/(LN(2)/2)*V194*Y194*VLOOKUP('Données projet'!$B$9,Paramètres!$A$1:$I$89,3,0)*0.475*44/12</f>
        <v>5.0744421668092853E-24</v>
      </c>
      <c r="AC194" s="22">
        <f t="shared" si="163"/>
        <v>13.951292202778436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-1.0197709343628959E-13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200.14675249215634</v>
      </c>
      <c r="AO194" s="59">
        <f t="shared" si="144"/>
        <v>200.55017434999968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9.6895019514682428</v>
      </c>
      <c r="AV194" s="21">
        <f>EXP(-LN(2)/25)*AV193+(1-EXP(-LN(2)/25))/(LN(2)/25)*Calculateur!AQ194*Calculateur!AS194*VLOOKUP('Données projet'!$B$10,Paramètres!$A$1:$I$89,3,0)*0.475*44/12</f>
        <v>0.9562449082700657</v>
      </c>
      <c r="AW194" s="21">
        <f>EXP(-LN(2)/2)*AW193+(1-EXP(-LN(2)/2))/(LN(2)/2)*AQ194*AT194*VLOOKUP('Données projet'!$B$10,Paramètres!$A$1:$I$89,3,0)*0.475*44/12</f>
        <v>6.1260531460165201E-19</v>
      </c>
      <c r="AX194" s="21">
        <f t="shared" si="166"/>
        <v>10.645746859738308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-1.4210854715202004E-13</v>
      </c>
      <c r="BE194" s="13">
        <f>BD194*VLOOKUP('Données projet'!$B$11,Paramètres!$A$1:$I$89,3,0)*VLOOKUP('Données projet'!$B$11,Paramètres!$A$1:$I$89,5,0)</f>
        <v>-8.128608897095547E-14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182.46132340647313</v>
      </c>
      <c r="BJ194" s="59">
        <f t="shared" si="146"/>
        <v>130.51706975490481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18.608889842194007</v>
      </c>
      <c r="BQ194" s="21">
        <f>EXP(-LN(2)/25)*BQ193+(1-EXP(-LN(2)/25))/(LN(2)/25)*Calculateur!BL194*Calculateur!BN194*VLOOKUP('Données projet'!$B$11,Paramètres!$A$1:$I$89,3,0)*0.475*44/12</f>
        <v>2.2366891750078541</v>
      </c>
      <c r="BR194" s="21">
        <f>EXP(-LN(2)/2)*BR193+(1-EXP(-LN(2)/2))/(LN(2)/2)*BL194*BO194*VLOOKUP('Données projet'!$B$11,Paramètres!$A$1:$I$89,3,0)*0.475*44/12</f>
        <v>9.8799513196362447E-13</v>
      </c>
      <c r="BS194" s="22">
        <f t="shared" si="169"/>
        <v>20.845579017202848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735.00000000000011</v>
      </c>
      <c r="BZ194" s="13">
        <f>BY194*VLOOKUP('Données projet'!$B$12,Paramètres!$A$1:$I$89,3,0)*VLOOKUP('Données projet'!$B$12,Paramètres!$A$1:$I$89,5,0)</f>
        <v>296.20500000000004</v>
      </c>
      <c r="CA194" s="13">
        <f t="shared" si="170"/>
        <v>70.380297204000939</v>
      </c>
      <c r="CB194" s="20">
        <f t="shared" si="171"/>
        <v>638.46939263030174</v>
      </c>
      <c r="CC194" s="59">
        <f t="shared" si="119"/>
        <v>931.80272596363511</v>
      </c>
      <c r="CD194" s="59">
        <f ca="1">AVERAGE(OFFSET($CC$3,0,0,'Données projet'!$E$12+1,1))-AVERAGE(OFFSET($H$3,0,0,'Données projet'!$E$12+1,1))</f>
        <v>291.0962681460345</v>
      </c>
      <c r="CE194" s="59">
        <f t="shared" si="148"/>
        <v>240.28311826371385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5.7431324004514188</v>
      </c>
      <c r="CL194" s="21">
        <f>EXP(-LN(2)/25)*CL193+(1-EXP(-LN(2)/25))/(LN(2)/25)*Calculateur!CG194*Calculateur!CI194*VLOOKUP('Données projet'!$B$12,Paramètres!$A$1:$I$89,3,0)*0.475*44/12</f>
        <v>1.0069134244048608</v>
      </c>
      <c r="CM194" s="21">
        <f>EXP(-LN(2)/2)*CM193+(1-EXP(-LN(2)/2))/(LN(2)/2)*CG194*CJ194*VLOOKUP('Données projet'!$B$12,Paramètres!$A$1:$I$89,3,0)*0.475*44/12</f>
        <v>1.1915515415027865E-17</v>
      </c>
      <c r="CN194" s="22">
        <f t="shared" si="172"/>
        <v>6.7500458248562794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-5.3205440053716299E-14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225.92546546283018</v>
      </c>
      <c r="CZ194" s="59">
        <f t="shared" si="150"/>
        <v>309.38786160614563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6.7273313390491492</v>
      </c>
      <c r="DG194" s="21">
        <f>EXP(-LN(2)/25)*DG193+(1-EXP(-LN(2)/25))/(LN(2)/25)*Calculateur!DB194*Calculateur!DD194*VLOOKUP('Données projet'!$B$13,Paramètres!$A$1:$I$89,3,0)*0.475*44/12</f>
        <v>2.3158955829172787</v>
      </c>
      <c r="DH194" s="21">
        <f>EXP(-LN(2)/2)*DH193+(1-EXP(-LN(2)/2))/(LN(2)/2)*DB194*DE194*VLOOKUP('Données projet'!$B$13,Paramètres!$A$1:$I$89,3,0)*0.475*44/12</f>
        <v>1.4088395334496221E-24</v>
      </c>
      <c r="DI194" s="22">
        <f t="shared" si="175"/>
        <v>9.0432269219664274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168</v>
      </c>
      <c r="DP194" s="17">
        <f>DO194*VLOOKUP('Données projet'!$B$14,Paramètres!$A$1:$I$89,3,0)*VLOOKUP('Données projet'!$B$14,Paramètres!$A$1:$I$89,5,0)</f>
        <v>146.76480000000004</v>
      </c>
      <c r="DQ194" s="13">
        <f t="shared" si="176"/>
        <v>37.842444439956665</v>
      </c>
      <c r="DR194" s="20">
        <f t="shared" si="177"/>
        <v>321.52428406625791</v>
      </c>
      <c r="DS194" s="59">
        <f t="shared" si="125"/>
        <v>614.85761739959116</v>
      </c>
      <c r="DT194" s="59">
        <f ca="1">AVERAGE(OFFSET($DS$3,0,0,'Données projet'!$E$14+1,1))-AVERAGE(OFFSET($H$3,0,0,'Données projet'!$E$14+1,1))</f>
        <v>150.06600397498823</v>
      </c>
      <c r="DU194" s="59">
        <f t="shared" si="152"/>
        <v>170.53034305929714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0.81255840664408918</v>
      </c>
      <c r="EB194" s="21">
        <f>EXP(-LN(2)/25)*EB193+(1-EXP(-LN(2)/25))/(LN(2)/25)*Calculateur!DW194*Calculateur!DY194*VLOOKUP('Données projet'!$B$14,Paramètres!$A$1:$I$89,3,0)*0.475*44/12</f>
        <v>0.69281587484155305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1.5053742814856421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294.94285920643927</v>
      </c>
      <c r="T195" s="59">
        <f t="shared" si="142"/>
        <v>399.89535338426606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10.101603955713189</v>
      </c>
      <c r="AA195" s="21">
        <f>EXP(-LN(2)/25)*AA194+(1-EXP(-LN(2)/25))/(LN(2)/25)*Calculateur!V195*Calculateur!X195*VLOOKUP('Données projet'!$B$9,Paramètres!$A$1:$I$89,3,0)*0.475*44/12</f>
        <v>3.5478950050495457</v>
      </c>
      <c r="AB195" s="21">
        <f>EXP(-LN(2)/2)*AB194+(1-EXP(-LN(2)/2))/(LN(2)/2)*V195*Y195*VLOOKUP('Données projet'!$B$9,Paramètres!$A$1:$I$89,3,0)*0.475*44/12</f>
        <v>3.5881724668898034E-24</v>
      </c>
      <c r="AC195" s="22">
        <f t="shared" si="163"/>
        <v>13.649498960762735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-1.0197709343628959E-13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200.14675249215634</v>
      </c>
      <c r="AO195" s="59">
        <f t="shared" si="144"/>
        <v>200.55017434999968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9.4994967282125753</v>
      </c>
      <c r="AV195" s="21">
        <f>EXP(-LN(2)/25)*AV194+(1-EXP(-LN(2)/25))/(LN(2)/25)*Calculateur!AQ195*Calculateur!AS195*VLOOKUP('Données projet'!$B$10,Paramètres!$A$1:$I$89,3,0)*0.475*44/12</f>
        <v>0.93009634096668659</v>
      </c>
      <c r="AW195" s="21">
        <f>EXP(-LN(2)/2)*AW194+(1-EXP(-LN(2)/2))/(LN(2)/2)*AQ195*AT195*VLOOKUP('Données projet'!$B$10,Paramètres!$A$1:$I$89,3,0)*0.475*44/12</f>
        <v>4.331773721457465E-19</v>
      </c>
      <c r="AX195" s="21">
        <f t="shared" si="166"/>
        <v>10.429593069179262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-1.4210854715202004E-13</v>
      </c>
      <c r="BE195" s="13">
        <f>BD195*VLOOKUP('Données projet'!$B$11,Paramètres!$A$1:$I$89,3,0)*VLOOKUP('Données projet'!$B$11,Paramètres!$A$1:$I$89,5,0)</f>
        <v>-8.128608897095547E-14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182.46132340647313</v>
      </c>
      <c r="BJ195" s="59">
        <f t="shared" si="146"/>
        <v>130.51706975490481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18.243980862690638</v>
      </c>
      <c r="BQ195" s="21">
        <f>EXP(-LN(2)/25)*BQ194+(1-EXP(-LN(2)/25))/(LN(2)/25)*Calculateur!BL195*Calculateur!BN195*VLOOKUP('Données projet'!$B$11,Paramètres!$A$1:$I$89,3,0)*0.475*44/12</f>
        <v>2.1755267918948928</v>
      </c>
      <c r="BR195" s="21">
        <f>EXP(-LN(2)/2)*BR194+(1-EXP(-LN(2)/2))/(LN(2)/2)*BL195*BO195*VLOOKUP('Données projet'!$B$11,Paramètres!$A$1:$I$89,3,0)*0.475*44/12</f>
        <v>6.9861805759077677E-13</v>
      </c>
      <c r="BS195" s="22">
        <f t="shared" si="169"/>
        <v>20.41950765458623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735.00000000000011</v>
      </c>
      <c r="BZ195" s="13">
        <f>BY195*VLOOKUP('Données projet'!$B$12,Paramètres!$A$1:$I$89,3,0)*VLOOKUP('Données projet'!$B$12,Paramètres!$A$1:$I$89,5,0)</f>
        <v>296.20500000000004</v>
      </c>
      <c r="CA195" s="13">
        <f t="shared" si="170"/>
        <v>70.380297204000939</v>
      </c>
      <c r="CB195" s="20">
        <f t="shared" si="171"/>
        <v>638.46939263030174</v>
      </c>
      <c r="CC195" s="59">
        <f t="shared" si="119"/>
        <v>931.80272596363511</v>
      </c>
      <c r="CD195" s="59">
        <f ca="1">AVERAGE(OFFSET($CC$3,0,0,'Données projet'!$E$12+1,1))-AVERAGE(OFFSET($H$3,0,0,'Données projet'!$E$12+1,1))</f>
        <v>291.0962681460345</v>
      </c>
      <c r="CE195" s="59">
        <f t="shared" si="148"/>
        <v>240.28311826371385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5.6305130770434415</v>
      </c>
      <c r="CL195" s="21">
        <f>EXP(-LN(2)/25)*CL194+(1-EXP(-LN(2)/25))/(LN(2)/25)*Calculateur!CG195*Calculateur!CI195*VLOOKUP('Données projet'!$B$12,Paramètres!$A$1:$I$89,3,0)*0.475*44/12</f>
        <v>0.97937932386323423</v>
      </c>
      <c r="CM195" s="21">
        <f>EXP(-LN(2)/2)*CM194+(1-EXP(-LN(2)/2))/(LN(2)/2)*CG195*CJ195*VLOOKUP('Données projet'!$B$12,Paramètres!$A$1:$I$89,3,0)*0.475*44/12</f>
        <v>8.4255417512990424E-18</v>
      </c>
      <c r="CN195" s="22">
        <f t="shared" si="172"/>
        <v>6.6098924009066753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-5.3205440053716299E-14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225.92546546283018</v>
      </c>
      <c r="CZ195" s="59">
        <f t="shared" si="150"/>
        <v>309.38786160614563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6.5954124747573486</v>
      </c>
      <c r="DG195" s="21">
        <f>EXP(-LN(2)/25)*DG194+(1-EXP(-LN(2)/25))/(LN(2)/25)*Calculateur!DB195*Calculateur!DD195*VLOOKUP('Données projet'!$B$13,Paramètres!$A$1:$I$89,3,0)*0.475*44/12</f>
        <v>2.2525672964147501</v>
      </c>
      <c r="DH195" s="21">
        <f>EXP(-LN(2)/2)*DH194+(1-EXP(-LN(2)/2))/(LN(2)/2)*DB195*DE195*VLOOKUP('Données projet'!$B$13,Paramètres!$A$1:$I$89,3,0)*0.475*44/12</f>
        <v>9.9619998770591962E-25</v>
      </c>
      <c r="DI195" s="22">
        <f t="shared" si="175"/>
        <v>8.8479797711720991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168</v>
      </c>
      <c r="DP195" s="17">
        <f>DO195*VLOOKUP('Données projet'!$B$14,Paramètres!$A$1:$I$89,3,0)*VLOOKUP('Données projet'!$B$14,Paramètres!$A$1:$I$89,5,0)</f>
        <v>146.76480000000004</v>
      </c>
      <c r="DQ195" s="13">
        <f t="shared" si="176"/>
        <v>37.842444439956665</v>
      </c>
      <c r="DR195" s="20">
        <f t="shared" si="177"/>
        <v>321.52428406625791</v>
      </c>
      <c r="DS195" s="59">
        <f t="shared" si="125"/>
        <v>614.85761739959116</v>
      </c>
      <c r="DT195" s="59">
        <f ca="1">AVERAGE(OFFSET($DS$3,0,0,'Données projet'!$E$14+1,1))-AVERAGE(OFFSET($H$3,0,0,'Données projet'!$E$14+1,1))</f>
        <v>150.06600397498823</v>
      </c>
      <c r="DU195" s="59">
        <f t="shared" si="152"/>
        <v>170.53034305929714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0.79662463190148902</v>
      </c>
      <c r="EB195" s="21">
        <f>EXP(-LN(2)/25)*EB194+(1-EXP(-LN(2)/25))/(LN(2)/25)*Calculateur!DW195*Calculateur!DY195*VLOOKUP('Données projet'!$B$14,Paramètres!$A$1:$I$89,3,0)*0.475*44/12</f>
        <v>0.67387078831040736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1.4704954202118965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294.94285920643927</v>
      </c>
      <c r="T196" s="59">
        <f t="shared" si="142"/>
        <v>399.89535338426606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9.9035176635116819</v>
      </c>
      <c r="AA196" s="21">
        <f>EXP(-LN(2)/25)*AA195+(1-EXP(-LN(2)/25))/(LN(2)/25)*Calculateur!V196*Calculateur!X196*VLOOKUP('Données projet'!$B$9,Paramètres!$A$1:$I$89,3,0)*0.475*44/12</f>
        <v>3.4508776295607766</v>
      </c>
      <c r="AB196" s="21">
        <f>EXP(-LN(2)/2)*AB195+(1-EXP(-LN(2)/2))/(LN(2)/2)*V196*Y196*VLOOKUP('Données projet'!$B$9,Paramètres!$A$1:$I$89,3,0)*0.475*44/12</f>
        <v>2.5372210834046427E-24</v>
      </c>
      <c r="AC196" s="22">
        <f t="shared" si="163"/>
        <v>13.354395293072459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-1.0197709343628959E-13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200.14675249215634</v>
      </c>
      <c r="AO196" s="59">
        <f t="shared" si="144"/>
        <v>200.55017434999968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9.3132173914932093</v>
      </c>
      <c r="AV196" s="21">
        <f>EXP(-LN(2)/25)*AV195+(1-EXP(-LN(2)/25))/(LN(2)/25)*Calculateur!AQ196*Calculateur!AS196*VLOOKUP('Données projet'!$B$10,Paramètres!$A$1:$I$89,3,0)*0.475*44/12</f>
        <v>0.90466280761131168</v>
      </c>
      <c r="AW196" s="21">
        <f>EXP(-LN(2)/2)*AW195+(1-EXP(-LN(2)/2))/(LN(2)/2)*AQ196*AT196*VLOOKUP('Données projet'!$B$10,Paramètres!$A$1:$I$89,3,0)*0.475*44/12</f>
        <v>3.0630265730082605E-19</v>
      </c>
      <c r="AX196" s="21">
        <f t="shared" si="166"/>
        <v>10.21788019910452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-1.4210854715202004E-13</v>
      </c>
      <c r="BE196" s="13">
        <f>BD196*VLOOKUP('Données projet'!$B$11,Paramètres!$A$1:$I$89,3,0)*VLOOKUP('Données projet'!$B$11,Paramètres!$A$1:$I$89,5,0)</f>
        <v>-8.128608897095547E-14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182.46132340647313</v>
      </c>
      <c r="BJ196" s="59">
        <f t="shared" si="146"/>
        <v>130.51706975490481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17.886227525702829</v>
      </c>
      <c r="BQ196" s="21">
        <f>EXP(-LN(2)/25)*BQ195+(1-EXP(-LN(2)/25))/(LN(2)/25)*Calculateur!BL196*Calculateur!BN196*VLOOKUP('Données projet'!$B$11,Paramètres!$A$1:$I$89,3,0)*0.475*44/12</f>
        <v>2.1160368973645451</v>
      </c>
      <c r="BR196" s="21">
        <f>EXP(-LN(2)/2)*BR195+(1-EXP(-LN(2)/2))/(LN(2)/2)*BL196*BO196*VLOOKUP('Données projet'!$B$11,Paramètres!$A$1:$I$89,3,0)*0.475*44/12</f>
        <v>4.9399756598181224E-13</v>
      </c>
      <c r="BS196" s="22">
        <f t="shared" si="169"/>
        <v>20.002264423067867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735.00000000000011</v>
      </c>
      <c r="BZ196" s="13">
        <f>BY196*VLOOKUP('Données projet'!$B$12,Paramètres!$A$1:$I$89,3,0)*VLOOKUP('Données projet'!$B$12,Paramètres!$A$1:$I$89,5,0)</f>
        <v>296.20500000000004</v>
      </c>
      <c r="CA196" s="13">
        <f t="shared" si="170"/>
        <v>70.380297204000939</v>
      </c>
      <c r="CB196" s="20">
        <f t="shared" si="171"/>
        <v>638.46939263030174</v>
      </c>
      <c r="CC196" s="59">
        <f t="shared" ref="CC196:CC203" si="195">CB196+(BT196+BU196)*44/12</f>
        <v>931.80272596363511</v>
      </c>
      <c r="CD196" s="59">
        <f ca="1">AVERAGE(OFFSET($CC$3,0,0,'Données projet'!$E$12+1,1))-AVERAGE(OFFSET($H$3,0,0,'Données projet'!$E$12+1,1))</f>
        <v>291.0962681460345</v>
      </c>
      <c r="CE196" s="59">
        <f t="shared" si="148"/>
        <v>240.28311826371385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5.5201021498764904</v>
      </c>
      <c r="CL196" s="21">
        <f>EXP(-LN(2)/25)*CL195+(1-EXP(-LN(2)/25))/(LN(2)/25)*Calculateur!CG196*Calculateur!CI196*VLOOKUP('Données projet'!$B$12,Paramètres!$A$1:$I$89,3,0)*0.475*44/12</f>
        <v>0.95259814474887383</v>
      </c>
      <c r="CM196" s="21">
        <f>EXP(-LN(2)/2)*CM195+(1-EXP(-LN(2)/2))/(LN(2)/2)*CG196*CJ196*VLOOKUP('Données projet'!$B$12,Paramètres!$A$1:$I$89,3,0)*0.475*44/12</f>
        <v>5.9577577075139325E-18</v>
      </c>
      <c r="CN196" s="22">
        <f t="shared" si="172"/>
        <v>6.4727002946253638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-5.3205440053716299E-14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225.92546546283018</v>
      </c>
      <c r="CZ196" s="59">
        <f t="shared" si="150"/>
        <v>309.38786160614563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6.4660804589317475</v>
      </c>
      <c r="DG196" s="21">
        <f>EXP(-LN(2)/25)*DG195+(1-EXP(-LN(2)/25))/(LN(2)/25)*Calculateur!DB196*Calculateur!DD196*VLOOKUP('Données projet'!$B$13,Paramètres!$A$1:$I$89,3,0)*0.475*44/12</f>
        <v>2.190970725236923</v>
      </c>
      <c r="DH196" s="21">
        <f>EXP(-LN(2)/2)*DH195+(1-EXP(-LN(2)/2))/(LN(2)/2)*DB196*DE196*VLOOKUP('Données projet'!$B$13,Paramètres!$A$1:$I$89,3,0)*0.475*44/12</f>
        <v>7.0441976672481105E-25</v>
      </c>
      <c r="DI196" s="22">
        <f t="shared" si="175"/>
        <v>8.6570511841686706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168</v>
      </c>
      <c r="DP196" s="17">
        <f>DO196*VLOOKUP('Données projet'!$B$14,Paramètres!$A$1:$I$89,3,0)*VLOOKUP('Données projet'!$B$14,Paramètres!$A$1:$I$89,5,0)</f>
        <v>146.76480000000004</v>
      </c>
      <c r="DQ196" s="13">
        <f t="shared" si="176"/>
        <v>37.842444439956665</v>
      </c>
      <c r="DR196" s="20">
        <f t="shared" si="177"/>
        <v>321.52428406625791</v>
      </c>
      <c r="DS196" s="59">
        <f t="shared" ref="DS196:DS203" si="197">DR196+(DJ196+DK196)*44/12</f>
        <v>614.85761739959116</v>
      </c>
      <c r="DT196" s="59">
        <f ca="1">AVERAGE(OFFSET($DS$3,0,0,'Données projet'!$E$14+1,1))-AVERAGE(OFFSET($H$3,0,0,'Données projet'!$E$14+1,1))</f>
        <v>150.06600397498823</v>
      </c>
      <c r="DU196" s="59">
        <f t="shared" si="152"/>
        <v>170.53034305929714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0.78100330876294832</v>
      </c>
      <c r="EB196" s="21">
        <f>EXP(-LN(2)/25)*EB195+(1-EXP(-LN(2)/25))/(LN(2)/25)*Calculateur!DW196*Calculateur!DY196*VLOOKUP('Données projet'!$B$14,Paramètres!$A$1:$I$89,3,0)*0.475*44/12</f>
        <v>0.65544375616673467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1.436447064929683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294.94285920643927</v>
      </c>
      <c r="T197" s="59">
        <f t="shared" ref="T197:T203" si="204">$T$3</f>
        <v>399.89535338426606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9.7093157226795377</v>
      </c>
      <c r="AA197" s="21">
        <f>EXP(-LN(2)/25)*AA196+(1-EXP(-LN(2)/25))/(LN(2)/25)*Calculateur!V197*Calculateur!X197*VLOOKUP('Données projet'!$B$9,Paramètres!$A$1:$I$89,3,0)*0.475*44/12</f>
        <v>3.3565131993066699</v>
      </c>
      <c r="AB197" s="21">
        <f>EXP(-LN(2)/2)*AB196+(1-EXP(-LN(2)/2))/(LN(2)/2)*V197*Y197*VLOOKUP('Données projet'!$B$9,Paramètres!$A$1:$I$89,3,0)*0.475*44/12</f>
        <v>1.7940862334449017E-24</v>
      </c>
      <c r="AC197" s="22">
        <f t="shared" si="163"/>
        <v>13.065828921986208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-1.0197709343628959E-13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200.14675249215634</v>
      </c>
      <c r="AO197" s="59">
        <f t="shared" ref="AO197:AO203" si="205">$AO$3</f>
        <v>200.55017434999968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9.1305908789477339</v>
      </c>
      <c r="AV197" s="21">
        <f>EXP(-LN(2)/25)*AV196+(1-EXP(-LN(2)/25))/(LN(2)/25)*Calculateur!AQ197*Calculateur!AS197*VLOOKUP('Données projet'!$B$10,Paramètres!$A$1:$I$89,3,0)*0.475*44/12</f>
        <v>0.87992475556303096</v>
      </c>
      <c r="AW197" s="21">
        <f>EXP(-LN(2)/2)*AW196+(1-EXP(-LN(2)/2))/(LN(2)/2)*AQ197*AT197*VLOOKUP('Données projet'!$B$10,Paramètres!$A$1:$I$89,3,0)*0.475*44/12</f>
        <v>2.1658868607287327E-19</v>
      </c>
      <c r="AX197" s="21">
        <f t="shared" si="166"/>
        <v>10.010515634510766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-1.4210854715202004E-13</v>
      </c>
      <c r="BE197" s="13">
        <f>BD197*VLOOKUP('Données projet'!$B$11,Paramètres!$A$1:$I$89,3,0)*VLOOKUP('Données projet'!$B$11,Paramètres!$A$1:$I$89,5,0)</f>
        <v>-8.128608897095547E-14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182.46132340647313</v>
      </c>
      <c r="BJ197" s="59">
        <f t="shared" ref="BJ197:BJ203" si="206">$BJ$3</f>
        <v>130.51706975490481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17.535489513445363</v>
      </c>
      <c r="BQ197" s="21">
        <f>EXP(-LN(2)/25)*BQ196+(1-EXP(-LN(2)/25))/(LN(2)/25)*Calculateur!BL197*Calculateur!BN197*VLOOKUP('Données projet'!$B$11,Paramètres!$A$1:$I$89,3,0)*0.475*44/12</f>
        <v>2.0581737571285674</v>
      </c>
      <c r="BR197" s="21">
        <f>EXP(-LN(2)/2)*BR196+(1-EXP(-LN(2)/2))/(LN(2)/2)*BL197*BO197*VLOOKUP('Données projet'!$B$11,Paramètres!$A$1:$I$89,3,0)*0.475*44/12</f>
        <v>3.4930902879538838E-13</v>
      </c>
      <c r="BS197" s="22">
        <f t="shared" si="169"/>
        <v>19.593663270574279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735.00000000000011</v>
      </c>
      <c r="BZ197" s="13">
        <f>BY197*VLOOKUP('Données projet'!$B$12,Paramètres!$A$1:$I$89,3,0)*VLOOKUP('Données projet'!$B$12,Paramètres!$A$1:$I$89,5,0)</f>
        <v>296.20500000000004</v>
      </c>
      <c r="CA197" s="13">
        <f t="shared" si="170"/>
        <v>70.380297204000939</v>
      </c>
      <c r="CB197" s="20">
        <f t="shared" si="171"/>
        <v>638.46939263030174</v>
      </c>
      <c r="CC197" s="59">
        <f t="shared" si="195"/>
        <v>931.80272596363511</v>
      </c>
      <c r="CD197" s="59">
        <f ca="1">AVERAGE(OFFSET($CC$3,0,0,'Données projet'!$E$12+1,1))-AVERAGE(OFFSET($H$3,0,0,'Données projet'!$E$12+1,1))</f>
        <v>291.0962681460345</v>
      </c>
      <c r="CE197" s="59">
        <f t="shared" ref="CE197:CE203" si="207">$CE$3</f>
        <v>240.28311826371385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5.4118563136472675</v>
      </c>
      <c r="CL197" s="21">
        <f>EXP(-LN(2)/25)*CL196+(1-EXP(-LN(2)/25))/(LN(2)/25)*Calculateur!CG197*Calculateur!CI197*VLOOKUP('Données projet'!$B$12,Paramètres!$A$1:$I$89,3,0)*0.475*44/12</f>
        <v>0.92654929838575661</v>
      </c>
      <c r="CM197" s="21">
        <f>EXP(-LN(2)/2)*CM196+(1-EXP(-LN(2)/2))/(LN(2)/2)*CG197*CJ197*VLOOKUP('Données projet'!$B$12,Paramètres!$A$1:$I$89,3,0)*0.475*44/12</f>
        <v>4.2127708756495212E-18</v>
      </c>
      <c r="CN197" s="22">
        <f t="shared" si="172"/>
        <v>6.3384056120330241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-5.3205440053716299E-14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225.92546546283018</v>
      </c>
      <c r="CZ197" s="59">
        <f t="shared" ref="CZ197:CZ203" si="208">$CZ$3</f>
        <v>309.38786160614563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6.339284565051746</v>
      </c>
      <c r="DG197" s="21">
        <f>EXP(-LN(2)/25)*DG196+(1-EXP(-LN(2)/25))/(LN(2)/25)*Calculateur!DB197*Calculateur!DD197*VLOOKUP('Données projet'!$B$13,Paramètres!$A$1:$I$89,3,0)*0.475*44/12</f>
        <v>2.1310585155371764</v>
      </c>
      <c r="DH197" s="21">
        <f>EXP(-LN(2)/2)*DH196+(1-EXP(-LN(2)/2))/(LN(2)/2)*DB197*DE197*VLOOKUP('Données projet'!$B$13,Paramètres!$A$1:$I$89,3,0)*0.475*44/12</f>
        <v>4.9809999385295981E-25</v>
      </c>
      <c r="DI197" s="22">
        <f t="shared" si="175"/>
        <v>8.4703430805889219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168</v>
      </c>
      <c r="DP197" s="17">
        <f>DO197*VLOOKUP('Données projet'!$B$14,Paramètres!$A$1:$I$89,3,0)*VLOOKUP('Données projet'!$B$14,Paramètres!$A$1:$I$89,5,0)</f>
        <v>146.76480000000004</v>
      </c>
      <c r="DQ197" s="13">
        <f t="shared" si="176"/>
        <v>37.842444439956665</v>
      </c>
      <c r="DR197" s="20">
        <f t="shared" si="177"/>
        <v>321.52428406625791</v>
      </c>
      <c r="DS197" s="59">
        <f t="shared" si="197"/>
        <v>614.85761739959116</v>
      </c>
      <c r="DT197" s="59">
        <f ca="1">AVERAGE(OFFSET($DS$3,0,0,'Données projet'!$E$14+1,1))-AVERAGE(OFFSET($H$3,0,0,'Données projet'!$E$14+1,1))</f>
        <v>150.06600397498823</v>
      </c>
      <c r="DU197" s="59">
        <f t="shared" ref="DU197:DU203" si="209">$DU$3</f>
        <v>170.53034305929714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0.76568831024308814</v>
      </c>
      <c r="EB197" s="21">
        <f>EXP(-LN(2)/25)*EB196+(1-EXP(-LN(2)/25))/(LN(2)/25)*Calculateur!DW197*Calculateur!DY197*VLOOKUP('Données projet'!$B$14,Paramètres!$A$1:$I$89,3,0)*0.475*44/12</f>
        <v>0.63752061218606626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1.4032089224291544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294.94285920643927</v>
      </c>
      <c r="T198" s="59">
        <f t="shared" si="204"/>
        <v>399.89535338426606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9.5189219634556235</v>
      </c>
      <c r="AA198" s="21">
        <f>EXP(-LN(2)/25)*AA197+(1-EXP(-LN(2)/25))/(LN(2)/25)*Calculateur!V198*Calculateur!X198*VLOOKUP('Données projet'!$B$9,Paramètres!$A$1:$I$89,3,0)*0.475*44/12</f>
        <v>3.2647291693602711</v>
      </c>
      <c r="AB198" s="21">
        <f>EXP(-LN(2)/2)*AB197+(1-EXP(-LN(2)/2))/(LN(2)/2)*V198*Y198*VLOOKUP('Données projet'!$B$9,Paramètres!$A$1:$I$89,3,0)*0.475*44/12</f>
        <v>1.2686105417023213E-24</v>
      </c>
      <c r="AC198" s="22">
        <f t="shared" si="163"/>
        <v>12.783651132815894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-1.0197709343628959E-13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200.14675249215634</v>
      </c>
      <c r="AO198" s="59">
        <f t="shared" si="205"/>
        <v>200.55017434999968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8.9515455609221011</v>
      </c>
      <c r="AV198" s="21">
        <f>EXP(-LN(2)/25)*AV197+(1-EXP(-LN(2)/25))/(LN(2)/25)*Calculateur!AQ198*Calculateur!AS198*VLOOKUP('Données projet'!$B$10,Paramètres!$A$1:$I$89,3,0)*0.475*44/12</f>
        <v>0.85586316684892805</v>
      </c>
      <c r="AW198" s="21">
        <f>EXP(-LN(2)/2)*AW197+(1-EXP(-LN(2)/2))/(LN(2)/2)*AQ198*AT198*VLOOKUP('Données projet'!$B$10,Paramètres!$A$1:$I$89,3,0)*0.475*44/12</f>
        <v>1.5315132865041305E-19</v>
      </c>
      <c r="AX198" s="21">
        <f t="shared" si="166"/>
        <v>9.8074087277710298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-1.4210854715202004E-13</v>
      </c>
      <c r="BE198" s="13">
        <f>BD198*VLOOKUP('Données projet'!$B$11,Paramètres!$A$1:$I$89,3,0)*VLOOKUP('Données projet'!$B$11,Paramètres!$A$1:$I$89,5,0)</f>
        <v>-8.128608897095547E-14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182.46132340647313</v>
      </c>
      <c r="BJ198" s="59">
        <f t="shared" si="206"/>
        <v>130.51706975490481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17.1916292596792</v>
      </c>
      <c r="BQ198" s="21">
        <f>EXP(-LN(2)/25)*BQ197+(1-EXP(-LN(2)/25))/(LN(2)/25)*Calculateur!BL198*Calculateur!BN198*VLOOKUP('Données projet'!$B$11,Paramètres!$A$1:$I$89,3,0)*0.475*44/12</f>
        <v>2.0018928875052331</v>
      </c>
      <c r="BR198" s="21">
        <f>EXP(-LN(2)/2)*BR197+(1-EXP(-LN(2)/2))/(LN(2)/2)*BL198*BO198*VLOOKUP('Données projet'!$B$11,Paramètres!$A$1:$I$89,3,0)*0.475*44/12</f>
        <v>2.4699878299090612E-13</v>
      </c>
      <c r="BS198" s="22">
        <f t="shared" si="169"/>
        <v>19.19352214718468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735.00000000000011</v>
      </c>
      <c r="BZ198" s="13">
        <f>BY198*VLOOKUP('Données projet'!$B$12,Paramètres!$A$1:$I$89,3,0)*VLOOKUP('Données projet'!$B$12,Paramètres!$A$1:$I$89,5,0)</f>
        <v>296.20500000000004</v>
      </c>
      <c r="CA198" s="13">
        <f t="shared" si="170"/>
        <v>70.380297204000939</v>
      </c>
      <c r="CB198" s="20">
        <f t="shared" si="171"/>
        <v>638.46939263030174</v>
      </c>
      <c r="CC198" s="59">
        <f t="shared" si="195"/>
        <v>931.80272596363511</v>
      </c>
      <c r="CD198" s="59">
        <f ca="1">AVERAGE(OFFSET($CC$3,0,0,'Données projet'!$E$12+1,1))-AVERAGE(OFFSET($H$3,0,0,'Données projet'!$E$12+1,1))</f>
        <v>291.0962681460345</v>
      </c>
      <c r="CE198" s="59">
        <f t="shared" si="207"/>
        <v>240.28311826371385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5.3057331122430584</v>
      </c>
      <c r="CL198" s="21">
        <f>EXP(-LN(2)/25)*CL197+(1-EXP(-LN(2)/25))/(LN(2)/25)*Calculateur!CG198*Calculateur!CI198*VLOOKUP('Données projet'!$B$12,Paramètres!$A$1:$I$89,3,0)*0.475*44/12</f>
        <v>0.90121275909628817</v>
      </c>
      <c r="CM198" s="21">
        <f>EXP(-LN(2)/2)*CM197+(1-EXP(-LN(2)/2))/(LN(2)/2)*CG198*CJ198*VLOOKUP('Données projet'!$B$12,Paramètres!$A$1:$I$89,3,0)*0.475*44/12</f>
        <v>2.9788788537569662E-18</v>
      </c>
      <c r="CN198" s="22">
        <f t="shared" si="172"/>
        <v>6.2069458713393466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-5.3205440053716299E-14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225.92546546283018</v>
      </c>
      <c r="CZ198" s="59">
        <f t="shared" si="208"/>
        <v>309.38786160614563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6.2149750613128729</v>
      </c>
      <c r="DG198" s="21">
        <f>EXP(-LN(2)/25)*DG197+(1-EXP(-LN(2)/25))/(LN(2)/25)*Calculateur!DB198*Calculateur!DD198*VLOOKUP('Données projet'!$B$13,Paramètres!$A$1:$I$89,3,0)*0.475*44/12</f>
        <v>2.0727846083623156</v>
      </c>
      <c r="DH198" s="21">
        <f>EXP(-LN(2)/2)*DH197+(1-EXP(-LN(2)/2))/(LN(2)/2)*DB198*DE198*VLOOKUP('Données projet'!$B$13,Paramètres!$A$1:$I$89,3,0)*0.475*44/12</f>
        <v>3.5220988336240552E-25</v>
      </c>
      <c r="DI198" s="22">
        <f t="shared" si="175"/>
        <v>8.2877596696751894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168</v>
      </c>
      <c r="DP198" s="17">
        <f>DO198*VLOOKUP('Données projet'!$B$14,Paramètres!$A$1:$I$89,3,0)*VLOOKUP('Données projet'!$B$14,Paramètres!$A$1:$I$89,5,0)</f>
        <v>146.76480000000004</v>
      </c>
      <c r="DQ198" s="13">
        <f t="shared" si="176"/>
        <v>37.842444439956665</v>
      </c>
      <c r="DR198" s="20">
        <f t="shared" si="177"/>
        <v>321.52428406625791</v>
      </c>
      <c r="DS198" s="59">
        <f t="shared" si="197"/>
        <v>614.85761739959116</v>
      </c>
      <c r="DT198" s="59">
        <f ca="1">AVERAGE(OFFSET($DS$3,0,0,'Données projet'!$E$14+1,1))-AVERAGE(OFFSET($H$3,0,0,'Données projet'!$E$14+1,1))</f>
        <v>150.06600397498823</v>
      </c>
      <c r="DU198" s="59">
        <f t="shared" si="209"/>
        <v>170.53034305929714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0.75067362950297567</v>
      </c>
      <c r="EB198" s="21">
        <f>EXP(-LN(2)/25)*EB197+(1-EXP(-LN(2)/25))/(LN(2)/25)*Calculateur!DW198*Calculateur!DY198*VLOOKUP('Données projet'!$B$14,Paramètres!$A$1:$I$89,3,0)*0.475*44/12</f>
        <v>0.62008757752008636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1.3707612070230621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294.94285920643927</v>
      </c>
      <c r="T199" s="59">
        <f t="shared" si="204"/>
        <v>399.89535338426606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9.3322617097213652</v>
      </c>
      <c r="AA199" s="21">
        <f>EXP(-LN(2)/25)*AA198+(1-EXP(-LN(2)/25))/(LN(2)/25)*Calculateur!V199*Calculateur!X199*VLOOKUP('Données projet'!$B$9,Paramètres!$A$1:$I$89,3,0)*0.475*44/12</f>
        <v>3.1754549785394692</v>
      </c>
      <c r="AB199" s="21">
        <f>EXP(-LN(2)/2)*AB198+(1-EXP(-LN(2)/2))/(LN(2)/2)*V199*Y199*VLOOKUP('Données projet'!$B$9,Paramètres!$A$1:$I$89,3,0)*0.475*44/12</f>
        <v>8.9704311672245085E-25</v>
      </c>
      <c r="AC199" s="22">
        <f t="shared" si="163"/>
        <v>12.507716688260835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-1.0197709343628959E-13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200.14675249215634</v>
      </c>
      <c r="AO199" s="59">
        <f t="shared" si="205"/>
        <v>200.55017434999968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8.7760112123760905</v>
      </c>
      <c r="AV199" s="21">
        <f>EXP(-LN(2)/25)*AV198+(1-EXP(-LN(2)/25))/(LN(2)/25)*Calculateur!AQ199*Calculateur!AS199*VLOOKUP('Données projet'!$B$10,Paramètres!$A$1:$I$89,3,0)*0.475*44/12</f>
        <v>0.83245954354355622</v>
      </c>
      <c r="AW199" s="21">
        <f>EXP(-LN(2)/2)*AW198+(1-EXP(-LN(2)/2))/(LN(2)/2)*AQ199*AT199*VLOOKUP('Données projet'!$B$10,Paramètres!$A$1:$I$89,3,0)*0.475*44/12</f>
        <v>1.0829434303643665E-19</v>
      </c>
      <c r="AX199" s="21">
        <f t="shared" si="166"/>
        <v>9.6084707559196474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-1.4210854715202004E-13</v>
      </c>
      <c r="BE199" s="13">
        <f>BD199*VLOOKUP('Données projet'!$B$11,Paramètres!$A$1:$I$89,3,0)*VLOOKUP('Données projet'!$B$11,Paramètres!$A$1:$I$89,5,0)</f>
        <v>-8.128608897095547E-14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182.46132340647313</v>
      </c>
      <c r="BJ199" s="59">
        <f t="shared" si="206"/>
        <v>130.51706975490481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16.854511895755348</v>
      </c>
      <c r="BQ199" s="21">
        <f>EXP(-LN(2)/25)*BQ198+(1-EXP(-LN(2)/25))/(LN(2)/25)*Calculateur!BL199*Calculateur!BN199*VLOOKUP('Données projet'!$B$11,Paramètres!$A$1:$I$89,3,0)*0.475*44/12</f>
        <v>1.9471510212214309</v>
      </c>
      <c r="BR199" s="21">
        <f>EXP(-LN(2)/2)*BR198+(1-EXP(-LN(2)/2))/(LN(2)/2)*BL199*BO199*VLOOKUP('Données projet'!$B$11,Paramètres!$A$1:$I$89,3,0)*0.475*44/12</f>
        <v>1.7465451439769419E-13</v>
      </c>
      <c r="BS199" s="22">
        <f t="shared" si="169"/>
        <v>18.801662916976952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735.00000000000011</v>
      </c>
      <c r="BZ199" s="13">
        <f>BY199*VLOOKUP('Données projet'!$B$12,Paramètres!$A$1:$I$89,3,0)*VLOOKUP('Données projet'!$B$12,Paramètres!$A$1:$I$89,5,0)</f>
        <v>296.20500000000004</v>
      </c>
      <c r="CA199" s="13">
        <f t="shared" si="170"/>
        <v>70.380297204000939</v>
      </c>
      <c r="CB199" s="20">
        <f t="shared" si="171"/>
        <v>638.46939263030174</v>
      </c>
      <c r="CC199" s="59">
        <f t="shared" si="195"/>
        <v>931.80272596363511</v>
      </c>
      <c r="CD199" s="59">
        <f ca="1">AVERAGE(OFFSET($CC$3,0,0,'Données projet'!$E$12+1,1))-AVERAGE(OFFSET($H$3,0,0,'Données projet'!$E$12+1,1))</f>
        <v>291.0962681460345</v>
      </c>
      <c r="CE199" s="59">
        <f t="shared" si="207"/>
        <v>240.28311826371385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5.2016909220896244</v>
      </c>
      <c r="CL199" s="21">
        <f>EXP(-LN(2)/25)*CL198+(1-EXP(-LN(2)/25))/(LN(2)/25)*Calculateur!CG199*Calculateur!CI199*VLOOKUP('Données projet'!$B$12,Paramètres!$A$1:$I$89,3,0)*0.475*44/12</f>
        <v>0.87656904880608089</v>
      </c>
      <c r="CM199" s="21">
        <f>EXP(-LN(2)/2)*CM198+(1-EXP(-LN(2)/2))/(LN(2)/2)*CG199*CJ199*VLOOKUP('Données projet'!$B$12,Paramètres!$A$1:$I$89,3,0)*0.475*44/12</f>
        <v>2.1063854378247606E-18</v>
      </c>
      <c r="CN199" s="22">
        <f t="shared" si="172"/>
        <v>6.0782599708957052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-5.3205440053716299E-14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225.92546546283018</v>
      </c>
      <c r="CZ199" s="59">
        <f t="shared" si="208"/>
        <v>309.38786160614563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6.0931031911210081</v>
      </c>
      <c r="DG199" s="21">
        <f>EXP(-LN(2)/25)*DG198+(1-EXP(-LN(2)/25))/(LN(2)/25)*Calculateur!DB199*Calculateur!DD199*VLOOKUP('Données projet'!$B$13,Paramètres!$A$1:$I$89,3,0)*0.475*44/12</f>
        <v>2.0161042042436428</v>
      </c>
      <c r="DH199" s="21">
        <f>EXP(-LN(2)/2)*DH198+(1-EXP(-LN(2)/2))/(LN(2)/2)*DB199*DE199*VLOOKUP('Données projet'!$B$13,Paramètres!$A$1:$I$89,3,0)*0.475*44/12</f>
        <v>2.490499969264799E-25</v>
      </c>
      <c r="DI199" s="22">
        <f t="shared" si="175"/>
        <v>8.1092073953646508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168</v>
      </c>
      <c r="DP199" s="17">
        <f>DO199*VLOOKUP('Données projet'!$B$14,Paramètres!$A$1:$I$89,3,0)*VLOOKUP('Données projet'!$B$14,Paramètres!$A$1:$I$89,5,0)</f>
        <v>146.76480000000004</v>
      </c>
      <c r="DQ199" s="13">
        <f t="shared" si="176"/>
        <v>37.842444439956665</v>
      </c>
      <c r="DR199" s="20">
        <f t="shared" si="177"/>
        <v>321.52428406625791</v>
      </c>
      <c r="DS199" s="59">
        <f t="shared" si="197"/>
        <v>614.85761739959116</v>
      </c>
      <c r="DT199" s="59">
        <f ca="1">AVERAGE(OFFSET($DS$3,0,0,'Données projet'!$E$14+1,1))-AVERAGE(OFFSET($H$3,0,0,'Données projet'!$E$14+1,1))</f>
        <v>150.06600397498823</v>
      </c>
      <c r="DU199" s="59">
        <f t="shared" si="209"/>
        <v>170.53034305929714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0.73595337749412582</v>
      </c>
      <c r="EB199" s="21">
        <f>EXP(-LN(2)/25)*EB198+(1-EXP(-LN(2)/25))/(LN(2)/25)*Calculateur!DW199*Calculateur!DY199*VLOOKUP('Données projet'!$B$14,Paramètres!$A$1:$I$89,3,0)*0.475*44/12</f>
        <v>0.60313125010381108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1.3390846275979369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294.94285920643927</v>
      </c>
      <c r="T200" s="59">
        <f t="shared" si="204"/>
        <v>399.89535338426606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9.1492617497113216</v>
      </c>
      <c r="AA200" s="21">
        <f>EXP(-LN(2)/25)*AA199+(1-EXP(-LN(2)/25))/(LN(2)/25)*Calculateur!V200*Calculateur!X200*VLOOKUP('Données projet'!$B$9,Paramètres!$A$1:$I$89,3,0)*0.475*44/12</f>
        <v>3.0886219951613878</v>
      </c>
      <c r="AB200" s="21">
        <f>EXP(-LN(2)/2)*AB199+(1-EXP(-LN(2)/2))/(LN(2)/2)*V200*Y200*VLOOKUP('Données projet'!$B$9,Paramètres!$A$1:$I$89,3,0)*0.475*44/12</f>
        <v>6.3430527085116066E-25</v>
      </c>
      <c r="AC200" s="22">
        <f t="shared" si="163"/>
        <v>12.237883744872709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-1.0197709343628959E-13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200.14675249215634</v>
      </c>
      <c r="AO200" s="59">
        <f t="shared" si="205"/>
        <v>200.55017434999968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8.6039189853396856</v>
      </c>
      <c r="AV200" s="21">
        <f>EXP(-LN(2)/25)*AV199+(1-EXP(-LN(2)/25))/(LN(2)/25)*Calculateur!AQ200*Calculateur!AS200*VLOOKUP('Données projet'!$B$10,Paramètres!$A$1:$I$89,3,0)*0.475*44/12</f>
        <v>0.80969589354821292</v>
      </c>
      <c r="AW200" s="21">
        <f>EXP(-LN(2)/2)*AW199+(1-EXP(-LN(2)/2))/(LN(2)/2)*AQ200*AT200*VLOOKUP('Données projet'!$B$10,Paramètres!$A$1:$I$89,3,0)*0.475*44/12</f>
        <v>7.6575664325206537E-20</v>
      </c>
      <c r="AX200" s="21">
        <f t="shared" si="166"/>
        <v>9.4136148788878984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-1.4210854715202004E-13</v>
      </c>
      <c r="BE200" s="13">
        <f>BD200*VLOOKUP('Données projet'!$B$11,Paramètres!$A$1:$I$89,3,0)*VLOOKUP('Données projet'!$B$11,Paramètres!$A$1:$I$89,5,0)</f>
        <v>-8.128608897095547E-14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182.46132340647313</v>
      </c>
      <c r="BJ200" s="59">
        <f t="shared" si="206"/>
        <v>130.51706975490481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16.524005197716754</v>
      </c>
      <c r="BQ200" s="21">
        <f>EXP(-LN(2)/25)*BQ199+(1-EXP(-LN(2)/25))/(LN(2)/25)*Calculateur!BL200*Calculateur!BN200*VLOOKUP('Données projet'!$B$11,Paramètres!$A$1:$I$89,3,0)*0.475*44/12</f>
        <v>1.893906074149909</v>
      </c>
      <c r="BR200" s="21">
        <f>EXP(-LN(2)/2)*BR199+(1-EXP(-LN(2)/2))/(LN(2)/2)*BL200*BO200*VLOOKUP('Données projet'!$B$11,Paramètres!$A$1:$I$89,3,0)*0.475*44/12</f>
        <v>1.2349939149545306E-13</v>
      </c>
      <c r="BS200" s="22">
        <f t="shared" si="169"/>
        <v>18.417911271866789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735.00000000000011</v>
      </c>
      <c r="BZ200" s="13">
        <f>BY200*VLOOKUP('Données projet'!$B$12,Paramètres!$A$1:$I$89,3,0)*VLOOKUP('Données projet'!$B$12,Paramètres!$A$1:$I$89,5,0)</f>
        <v>296.20500000000004</v>
      </c>
      <c r="CA200" s="13">
        <f t="shared" si="170"/>
        <v>70.380297204000939</v>
      </c>
      <c r="CB200" s="20">
        <f t="shared" si="171"/>
        <v>638.46939263030174</v>
      </c>
      <c r="CC200" s="59">
        <f t="shared" si="195"/>
        <v>931.80272596363511</v>
      </c>
      <c r="CD200" s="59">
        <f ca="1">AVERAGE(OFFSET($CC$3,0,0,'Données projet'!$E$12+1,1))-AVERAGE(OFFSET($H$3,0,0,'Données projet'!$E$12+1,1))</f>
        <v>291.0962681460345</v>
      </c>
      <c r="CE200" s="59">
        <f t="shared" si="207"/>
        <v>240.28311826371385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5.099688935825629</v>
      </c>
      <c r="CL200" s="21">
        <f>EXP(-LN(2)/25)*CL199+(1-EXP(-LN(2)/25))/(LN(2)/25)*Calculateur!CG200*Calculateur!CI200*VLOOKUP('Données projet'!$B$12,Paramètres!$A$1:$I$89,3,0)*0.475*44/12</f>
        <v>0.85259922206971572</v>
      </c>
      <c r="CM200" s="21">
        <f>EXP(-LN(2)/2)*CM199+(1-EXP(-LN(2)/2))/(LN(2)/2)*CG200*CJ200*VLOOKUP('Données projet'!$B$12,Paramètres!$A$1:$I$89,3,0)*0.475*44/12</f>
        <v>1.4894394268784831E-18</v>
      </c>
      <c r="CN200" s="22">
        <f t="shared" si="172"/>
        <v>5.952288157895345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-5.3205440053716299E-14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225.92546546283018</v>
      </c>
      <c r="CZ200" s="59">
        <f t="shared" si="208"/>
        <v>309.38786160614563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5.9736211539691055</v>
      </c>
      <c r="DG200" s="21">
        <f>EXP(-LN(2)/25)*DG199+(1-EXP(-LN(2)/25))/(LN(2)/25)*Calculateur!DB200*Calculateur!DD200*VLOOKUP('Données projet'!$B$13,Paramètres!$A$1:$I$89,3,0)*0.475*44/12</f>
        <v>1.9609737287562881</v>
      </c>
      <c r="DH200" s="21">
        <f>EXP(-LN(2)/2)*DH199+(1-EXP(-LN(2)/2))/(LN(2)/2)*DB200*DE200*VLOOKUP('Données projet'!$B$13,Paramètres!$A$1:$I$89,3,0)*0.475*44/12</f>
        <v>1.7610494168120276E-25</v>
      </c>
      <c r="DI200" s="22">
        <f t="shared" si="175"/>
        <v>7.9345948827253938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168</v>
      </c>
      <c r="DP200" s="17">
        <f>DO200*VLOOKUP('Données projet'!$B$14,Paramètres!$A$1:$I$89,3,0)*VLOOKUP('Données projet'!$B$14,Paramètres!$A$1:$I$89,5,0)</f>
        <v>146.76480000000004</v>
      </c>
      <c r="DQ200" s="13">
        <f t="shared" si="176"/>
        <v>37.842444439956665</v>
      </c>
      <c r="DR200" s="20">
        <f t="shared" si="177"/>
        <v>321.52428406625791</v>
      </c>
      <c r="DS200" s="59">
        <f t="shared" si="197"/>
        <v>614.85761739959116</v>
      </c>
      <c r="DT200" s="59">
        <f ca="1">AVERAGE(OFFSET($DS$3,0,0,'Données projet'!$E$14+1,1))-AVERAGE(OFFSET($H$3,0,0,'Données projet'!$E$14+1,1))</f>
        <v>150.06600397498823</v>
      </c>
      <c r="DU200" s="59">
        <f t="shared" si="209"/>
        <v>170.53034305929714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0.72152178064870232</v>
      </c>
      <c r="EB200" s="21">
        <f>EXP(-LN(2)/25)*EB199+(1-EXP(-LN(2)/25))/(LN(2)/25)*Calculateur!DW200*Calculateur!DY200*VLOOKUP('Données projet'!$B$14,Paramètres!$A$1:$I$89,3,0)*0.475*44/12</f>
        <v>0.58663859435242838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1.3081603750011306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294.94285920643927</v>
      </c>
      <c r="T201" s="59">
        <f t="shared" si="204"/>
        <v>399.89535338426606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8.9698503072981222</v>
      </c>
      <c r="AA201" s="21">
        <f>EXP(-LN(2)/25)*AA200+(1-EXP(-LN(2)/25))/(LN(2)/25)*Calculateur!V201*Calculateur!X201*VLOOKUP('Données projet'!$B$9,Paramètres!$A$1:$I$89,3,0)*0.475*44/12</f>
        <v>3.0041634642801283</v>
      </c>
      <c r="AB201" s="21">
        <f>EXP(-LN(2)/2)*AB200+(1-EXP(-LN(2)/2))/(LN(2)/2)*V201*Y201*VLOOKUP('Données projet'!$B$9,Paramètres!$A$1:$I$89,3,0)*0.475*44/12</f>
        <v>4.4852155836122542E-25</v>
      </c>
      <c r="AC201" s="22">
        <f t="shared" si="163"/>
        <v>11.97401377157825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-1.0197709343628959E-13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200.14675249215634</v>
      </c>
      <c r="AO201" s="59">
        <f t="shared" si="205"/>
        <v>200.55017434999968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8.4352013819095717</v>
      </c>
      <c r="AV201" s="21">
        <f>EXP(-LN(2)/25)*AV200+(1-EXP(-LN(2)/25))/(LN(2)/25)*Calculateur!AQ201*Calculateur!AS201*VLOOKUP('Données projet'!$B$10,Paramètres!$A$1:$I$89,3,0)*0.475*44/12</f>
        <v>0.78755471675908062</v>
      </c>
      <c r="AW201" s="21">
        <f>EXP(-LN(2)/2)*AW200+(1-EXP(-LN(2)/2))/(LN(2)/2)*AQ201*AT201*VLOOKUP('Données projet'!$B$10,Paramètres!$A$1:$I$89,3,0)*0.475*44/12</f>
        <v>5.4147171518218337E-20</v>
      </c>
      <c r="AX201" s="21">
        <f t="shared" si="166"/>
        <v>9.2227560986686523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-1.4210854715202004E-13</v>
      </c>
      <c r="BE201" s="13">
        <f>BD201*VLOOKUP('Données projet'!$B$11,Paramètres!$A$1:$I$89,3,0)*VLOOKUP('Données projet'!$B$11,Paramètres!$A$1:$I$89,5,0)</f>
        <v>-8.128608897095547E-14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182.46132340647313</v>
      </c>
      <c r="BJ201" s="59">
        <f t="shared" si="206"/>
        <v>130.51706975490481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16.199979534437514</v>
      </c>
      <c r="BQ201" s="21">
        <f>EXP(-LN(2)/25)*BQ200+(1-EXP(-LN(2)/25))/(LN(2)/25)*Calculateur!BL201*Calculateur!BN201*VLOOKUP('Données projet'!$B$11,Paramètres!$A$1:$I$89,3,0)*0.475*44/12</f>
        <v>1.8421171129560878</v>
      </c>
      <c r="BR201" s="21">
        <f>EXP(-LN(2)/2)*BR200+(1-EXP(-LN(2)/2))/(LN(2)/2)*BL201*BO201*VLOOKUP('Données projet'!$B$11,Paramètres!$A$1:$I$89,3,0)*0.475*44/12</f>
        <v>8.7327257198847096E-14</v>
      </c>
      <c r="BS201" s="22">
        <f t="shared" si="169"/>
        <v>18.042096647393691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735.00000000000011</v>
      </c>
      <c r="BZ201" s="13">
        <f>BY201*VLOOKUP('Données projet'!$B$12,Paramètres!$A$1:$I$89,3,0)*VLOOKUP('Données projet'!$B$12,Paramètres!$A$1:$I$89,5,0)</f>
        <v>296.20500000000004</v>
      </c>
      <c r="CA201" s="13">
        <f t="shared" si="170"/>
        <v>70.380297204000939</v>
      </c>
      <c r="CB201" s="20">
        <f t="shared" si="171"/>
        <v>638.46939263030174</v>
      </c>
      <c r="CC201" s="59">
        <f t="shared" si="195"/>
        <v>931.80272596363511</v>
      </c>
      <c r="CD201" s="59">
        <f ca="1">AVERAGE(OFFSET($CC$3,0,0,'Données projet'!$E$12+1,1))-AVERAGE(OFFSET($H$3,0,0,'Données projet'!$E$12+1,1))</f>
        <v>291.0962681460345</v>
      </c>
      <c r="CE201" s="59">
        <f t="shared" si="207"/>
        <v>240.28311826371385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4.9996871462972026</v>
      </c>
      <c r="CL201" s="21">
        <f>EXP(-LN(2)/25)*CL200+(1-EXP(-LN(2)/25))/(LN(2)/25)*Calculateur!CG201*Calculateur!CI201*VLOOKUP('Données projet'!$B$12,Paramètres!$A$1:$I$89,3,0)*0.475*44/12</f>
        <v>0.82928485150597486</v>
      </c>
      <c r="CM201" s="21">
        <f>EXP(-LN(2)/2)*CM200+(1-EXP(-LN(2)/2))/(LN(2)/2)*CG201*CJ201*VLOOKUP('Données projet'!$B$12,Paramètres!$A$1:$I$89,3,0)*0.475*44/12</f>
        <v>1.0531927189123803E-18</v>
      </c>
      <c r="CN201" s="22">
        <f t="shared" si="172"/>
        <v>5.8289719978031771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-5.3205440053716299E-14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225.92546546283018</v>
      </c>
      <c r="CZ201" s="59">
        <f t="shared" si="208"/>
        <v>309.38786160614563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5.8564820866889047</v>
      </c>
      <c r="DG201" s="21">
        <f>EXP(-LN(2)/25)*DG200+(1-EXP(-LN(2)/25))/(LN(2)/25)*Calculateur!DB201*Calculateur!DD201*VLOOKUP('Données projet'!$B$13,Paramètres!$A$1:$I$89,3,0)*0.475*44/12</f>
        <v>1.9073507990203209</v>
      </c>
      <c r="DH201" s="21">
        <f>EXP(-LN(2)/2)*DH200+(1-EXP(-LN(2)/2))/(LN(2)/2)*DB201*DE201*VLOOKUP('Données projet'!$B$13,Paramètres!$A$1:$I$89,3,0)*0.475*44/12</f>
        <v>1.2452499846323995E-25</v>
      </c>
      <c r="DI201" s="22">
        <f t="shared" si="175"/>
        <v>7.7638328857092258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168</v>
      </c>
      <c r="DP201" s="17">
        <f>DO201*VLOOKUP('Données projet'!$B$14,Paramètres!$A$1:$I$89,3,0)*VLOOKUP('Données projet'!$B$14,Paramètres!$A$1:$I$89,5,0)</f>
        <v>146.76480000000004</v>
      </c>
      <c r="DQ201" s="13">
        <f t="shared" si="176"/>
        <v>37.842444439956665</v>
      </c>
      <c r="DR201" s="20">
        <f t="shared" si="177"/>
        <v>321.52428406625791</v>
      </c>
      <c r="DS201" s="59">
        <f t="shared" si="197"/>
        <v>614.85761739959116</v>
      </c>
      <c r="DT201" s="59">
        <f ca="1">AVERAGE(OFFSET($DS$3,0,0,'Données projet'!$E$14+1,1))-AVERAGE(OFFSET($H$3,0,0,'Données projet'!$E$14+1,1))</f>
        <v>150.06600397498823</v>
      </c>
      <c r="DU201" s="59">
        <f t="shared" si="209"/>
        <v>170.53034305929714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0.7073731786150127</v>
      </c>
      <c r="EB201" s="21">
        <f>EXP(-LN(2)/25)*EB200+(1-EXP(-LN(2)/25))/(LN(2)/25)*Calculateur!DW201*Calculateur!DY201*VLOOKUP('Données projet'!$B$14,Paramètres!$A$1:$I$89,3,0)*0.475*44/12</f>
        <v>0.57059693113987831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1.277970109754891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294.94285920643927</v>
      </c>
      <c r="T202" s="59">
        <f t="shared" si="204"/>
        <v>399.89535338426606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8.7939570138404708</v>
      </c>
      <c r="AA202" s="21">
        <f>EXP(-LN(2)/25)*AA201+(1-EXP(-LN(2)/25))/(LN(2)/25)*Calculateur!V202*Calculateur!X202*VLOOKUP('Données projet'!$B$9,Paramètres!$A$1:$I$89,3,0)*0.475*44/12</f>
        <v>2.9220144563672976</v>
      </c>
      <c r="AB202" s="21">
        <f>EXP(-LN(2)/2)*AB201+(1-EXP(-LN(2)/2))/(LN(2)/2)*V202*Y202*VLOOKUP('Données projet'!$B$9,Paramètres!$A$1:$I$89,3,0)*0.475*44/12</f>
        <v>3.1715263542558033E-25</v>
      </c>
      <c r="AC202" s="22">
        <f t="shared" si="163"/>
        <v>11.715971470207769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-1.0197709343628959E-13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200.14675249215634</v>
      </c>
      <c r="AO202" s="59">
        <f t="shared" si="205"/>
        <v>200.55017434999968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8.2697922277751452</v>
      </c>
      <c r="AV202" s="21">
        <f>EXP(-LN(2)/25)*AV201+(1-EXP(-LN(2)/25))/(LN(2)/25)*Calculateur!AQ202*Calculateur!AS202*VLOOKUP('Données projet'!$B$10,Paramètres!$A$1:$I$89,3,0)*0.475*44/12</f>
        <v>0.76601899161360099</v>
      </c>
      <c r="AW202" s="21">
        <f>EXP(-LN(2)/2)*AW201+(1-EXP(-LN(2)/2))/(LN(2)/2)*AQ202*AT202*VLOOKUP('Données projet'!$B$10,Paramètres!$A$1:$I$89,3,0)*0.475*44/12</f>
        <v>3.8287832162603275E-20</v>
      </c>
      <c r="AX202" s="21">
        <f t="shared" si="166"/>
        <v>9.0358112193887461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-1.4210854715202004E-13</v>
      </c>
      <c r="BE202" s="13">
        <f>BD202*VLOOKUP('Données projet'!$B$11,Paramètres!$A$1:$I$89,3,0)*VLOOKUP('Données projet'!$B$11,Paramètres!$A$1:$I$89,5,0)</f>
        <v>-8.128608897095547E-14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182.46132340647313</v>
      </c>
      <c r="BJ202" s="59">
        <f t="shared" si="206"/>
        <v>130.51706975490481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15.882307816779042</v>
      </c>
      <c r="BQ202" s="21">
        <f>EXP(-LN(2)/25)*BQ201+(1-EXP(-LN(2)/25))/(LN(2)/25)*Calculateur!BL202*Calculateur!BN202*VLOOKUP('Données projet'!$B$11,Paramètres!$A$1:$I$89,3,0)*0.475*44/12</f>
        <v>1.7917443236295749</v>
      </c>
      <c r="BR202" s="21">
        <f>EXP(-LN(2)/2)*BR201+(1-EXP(-LN(2)/2))/(LN(2)/2)*BL202*BO202*VLOOKUP('Données projet'!$B$11,Paramètres!$A$1:$I$89,3,0)*0.475*44/12</f>
        <v>6.174969574772653E-14</v>
      </c>
      <c r="BS202" s="22">
        <f t="shared" si="169"/>
        <v>17.674052140408676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735.00000000000011</v>
      </c>
      <c r="BZ202" s="13">
        <f>BY202*VLOOKUP('Données projet'!$B$12,Paramètres!$A$1:$I$89,3,0)*VLOOKUP('Données projet'!$B$12,Paramètres!$A$1:$I$89,5,0)</f>
        <v>296.20500000000004</v>
      </c>
      <c r="CA202" s="13">
        <f t="shared" si="170"/>
        <v>70.380297204000939</v>
      </c>
      <c r="CB202" s="20">
        <f t="shared" si="171"/>
        <v>638.46939263030174</v>
      </c>
      <c r="CC202" s="59">
        <f t="shared" si="195"/>
        <v>931.80272596363511</v>
      </c>
      <c r="CD202" s="59">
        <f ca="1">AVERAGE(OFFSET($CC$3,0,0,'Données projet'!$E$12+1,1))-AVERAGE(OFFSET($H$3,0,0,'Données projet'!$E$12+1,1))</f>
        <v>291.0962681460345</v>
      </c>
      <c r="CE202" s="59">
        <f t="shared" si="207"/>
        <v>240.28311826371385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4.9016463308663596</v>
      </c>
      <c r="CL202" s="21">
        <f>EXP(-LN(2)/25)*CL201+(1-EXP(-LN(2)/25))/(LN(2)/25)*Calculateur!CG202*Calculateur!CI202*VLOOKUP('Données projet'!$B$12,Paramètres!$A$1:$I$89,3,0)*0.475*44/12</f>
        <v>0.80660801363134904</v>
      </c>
      <c r="CM202" s="21">
        <f>EXP(-LN(2)/2)*CM201+(1-EXP(-LN(2)/2))/(LN(2)/2)*CG202*CJ202*VLOOKUP('Données projet'!$B$12,Paramètres!$A$1:$I$89,3,0)*0.475*44/12</f>
        <v>7.4471971343924156E-19</v>
      </c>
      <c r="CN202" s="22">
        <f t="shared" si="172"/>
        <v>5.7082543444977087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-5.3205440053716299E-14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225.92546546283018</v>
      </c>
      <c r="CZ202" s="59">
        <f t="shared" si="208"/>
        <v>309.38786160614563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5.7416400450702927</v>
      </c>
      <c r="DG202" s="21">
        <f>EXP(-LN(2)/25)*DG201+(1-EXP(-LN(2)/25))/(LN(2)/25)*Calculateur!DB202*Calculateur!DD202*VLOOKUP('Données projet'!$B$13,Paramètres!$A$1:$I$89,3,0)*0.475*44/12</f>
        <v>1.8551941911178911</v>
      </c>
      <c r="DH202" s="21">
        <f>EXP(-LN(2)/2)*DH201+(1-EXP(-LN(2)/2))/(LN(2)/2)*DB202*DE202*VLOOKUP('Données projet'!$B$13,Paramètres!$A$1:$I$89,3,0)*0.475*44/12</f>
        <v>8.8052470840601381E-26</v>
      </c>
      <c r="DI202" s="22">
        <f t="shared" si="175"/>
        <v>7.596834236188184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168</v>
      </c>
      <c r="DP202" s="17">
        <f>DO202*VLOOKUP('Données projet'!$B$14,Paramètres!$A$1:$I$89,3,0)*VLOOKUP('Données projet'!$B$14,Paramètres!$A$1:$I$89,5,0)</f>
        <v>146.76480000000004</v>
      </c>
      <c r="DQ202" s="13">
        <f t="shared" si="176"/>
        <v>37.842444439956665</v>
      </c>
      <c r="DR202" s="20">
        <f t="shared" si="177"/>
        <v>321.52428406625791</v>
      </c>
      <c r="DS202" s="59">
        <f t="shared" si="197"/>
        <v>614.85761739959116</v>
      </c>
      <c r="DT202" s="59">
        <f ca="1">AVERAGE(OFFSET($DS$3,0,0,'Données projet'!$E$14+1,1))-AVERAGE(OFFSET($H$3,0,0,'Données projet'!$E$14+1,1))</f>
        <v>150.06600397498823</v>
      </c>
      <c r="DU202" s="59">
        <f t="shared" si="209"/>
        <v>170.53034305929714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0.69350202203740863</v>
      </c>
      <c r="EB202" s="21">
        <f>EXP(-LN(2)/25)*EB201+(1-EXP(-LN(2)/25))/(LN(2)/25)*Calculateur!DW202*Calculateur!DY202*VLOOKUP('Données projet'!$B$14,Paramètres!$A$1:$I$89,3,0)*0.475*44/12</f>
        <v>0.55499392805146985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1.2484959500888784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294.94285920643927</v>
      </c>
      <c r="T203" s="59">
        <f t="shared" si="204"/>
        <v>399.89535338426606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8.6215128805832073</v>
      </c>
      <c r="AA203" s="21">
        <f>EXP(-LN(2)/25)*AA202+(1-EXP(-LN(2)/25))/(LN(2)/25)*Calculateur!V203*Calculateur!X203*VLOOKUP('Données projet'!$B$9,Paramètres!$A$1:$I$89,3,0)*0.475*44/12</f>
        <v>2.8421118173958719</v>
      </c>
      <c r="AB203" s="21">
        <f>EXP(-LN(2)/2)*AB202+(1-EXP(-LN(2)/2))/(LN(2)/2)*V203*Y203*VLOOKUP('Données projet'!$B$9,Paramètres!$A$1:$I$89,3,0)*0.475*44/12</f>
        <v>2.2426077918061271E-25</v>
      </c>
      <c r="AC203" s="22">
        <f t="shared" si="163"/>
        <v>11.463624697979078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-1.0197709343628959E-13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200.14675249215634</v>
      </c>
      <c r="AO203" s="59">
        <f t="shared" si="205"/>
        <v>200.55017434999968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8.1076266462636717</v>
      </c>
      <c r="AV203" s="21">
        <f>EXP(-LN(2)/25)*AV202+(1-EXP(-LN(2)/25))/(LN(2)/25)*Calculateur!AQ203*Calculateur!AS203*VLOOKUP('Données projet'!$B$10,Paramètres!$A$1:$I$89,3,0)*0.475*44/12</f>
        <v>0.74507216200473902</v>
      </c>
      <c r="AW203" s="21">
        <f>EXP(-LN(2)/2)*AW202+(1-EXP(-LN(2)/2))/(LN(2)/2)*AQ203*AT203*VLOOKUP('Données projet'!$B$10,Paramètres!$A$1:$I$89,3,0)*0.475*44/12</f>
        <v>2.7073585759109171E-20</v>
      </c>
      <c r="AX203" s="21">
        <f t="shared" si="166"/>
        <v>8.8526988082684106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-1.4210854715202004E-13</v>
      </c>
      <c r="BE203" s="13">
        <f>BD203*VLOOKUP('Données projet'!$B$11,Paramètres!$A$1:$I$89,3,0)*VLOOKUP('Données projet'!$B$11,Paramètres!$A$1:$I$89,5,0)</f>
        <v>-8.128608897095547E-14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182.46132340647313</v>
      </c>
      <c r="BJ203" s="59">
        <f t="shared" si="206"/>
        <v>130.51706975490481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15.570865447743236</v>
      </c>
      <c r="BQ203" s="21">
        <f>EXP(-LN(2)/25)*BQ202+(1-EXP(-LN(2)/25))/(LN(2)/25)*Calculateur!BL203*Calculateur!BN203*VLOOKUP('Données projet'!$B$11,Paramètres!$A$1:$I$89,3,0)*0.475*44/12</f>
        <v>1.7427489808761853</v>
      </c>
      <c r="BR203" s="21">
        <f>EXP(-LN(2)/2)*BR202+(1-EXP(-LN(2)/2))/(LN(2)/2)*BL203*BO203*VLOOKUP('Données projet'!$B$11,Paramètres!$A$1:$I$89,3,0)*0.475*44/12</f>
        <v>4.3663628599423548E-14</v>
      </c>
      <c r="BS203" s="22">
        <f t="shared" si="169"/>
        <v>17.313614428619463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735.00000000000011</v>
      </c>
      <c r="BZ203" s="13">
        <f>BY203*VLOOKUP('Données projet'!$B$12,Paramètres!$A$1:$I$89,3,0)*VLOOKUP('Données projet'!$B$12,Paramètres!$A$1:$I$89,5,0)</f>
        <v>296.20500000000004</v>
      </c>
      <c r="CA203" s="13">
        <f t="shared" si="170"/>
        <v>70.380297204000939</v>
      </c>
      <c r="CB203" s="20">
        <f t="shared" si="171"/>
        <v>638.46939263030174</v>
      </c>
      <c r="CC203" s="59">
        <f t="shared" si="195"/>
        <v>931.80272596363511</v>
      </c>
      <c r="CD203" s="59">
        <f ca="1">AVERAGE(OFFSET($CC$3,0,0,'Données projet'!$E$12+1,1))-AVERAGE(OFFSET($H$3,0,0,'Données projet'!$E$12+1,1))</f>
        <v>291.0962681460345</v>
      </c>
      <c r="CE203" s="59">
        <f t="shared" si="207"/>
        <v>240.28311826371385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4.8055280360271224</v>
      </c>
      <c r="CL203" s="21">
        <f>EXP(-LN(2)/25)*CL202+(1-EXP(-LN(2)/25))/(LN(2)/25)*Calculateur!CG203*Calculateur!CI203*VLOOKUP('Données projet'!$B$12,Paramètres!$A$1:$I$89,3,0)*0.475*44/12</f>
        <v>0.78455127508092792</v>
      </c>
      <c r="CM203" s="21">
        <f>EXP(-LN(2)/2)*CM202+(1-EXP(-LN(2)/2))/(LN(2)/2)*CG203*CJ203*VLOOKUP('Données projet'!$B$12,Paramètres!$A$1:$I$89,3,0)*0.475*44/12</f>
        <v>5.2659635945619015E-19</v>
      </c>
      <c r="CN203" s="22">
        <f t="shared" si="172"/>
        <v>5.5900793111080507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-5.3205440053716299E-14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225.92546546283018</v>
      </c>
      <c r="CZ203" s="59">
        <f t="shared" si="208"/>
        <v>309.38786160614563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5.6290499858410925</v>
      </c>
      <c r="DG203" s="21">
        <f>EXP(-LN(2)/25)*DG202+(1-EXP(-LN(2)/25))/(LN(2)/25)*Calculateur!DB203*Calculateur!DD203*VLOOKUP('Données projet'!$B$13,Paramètres!$A$1:$I$89,3,0)*0.475*44/12</f>
        <v>1.80446380840135</v>
      </c>
      <c r="DH203" s="21">
        <f>EXP(-LN(2)/2)*DH202+(1-EXP(-LN(2)/2))/(LN(2)/2)*DB203*DE203*VLOOKUP('Données projet'!$B$13,Paramètres!$A$1:$I$89,3,0)*0.475*44/12</f>
        <v>6.2262499231619976E-26</v>
      </c>
      <c r="DI203" s="22">
        <f t="shared" si="175"/>
        <v>7.4335137942424421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168</v>
      </c>
      <c r="DP203" s="17">
        <f>DO203*VLOOKUP('Données projet'!$B$14,Paramètres!$A$1:$I$89,3,0)*VLOOKUP('Données projet'!$B$14,Paramètres!$A$1:$I$89,5,0)</f>
        <v>146.76480000000004</v>
      </c>
      <c r="DQ203" s="13">
        <f t="shared" si="176"/>
        <v>37.842444439956665</v>
      </c>
      <c r="DR203" s="20">
        <f t="shared" si="177"/>
        <v>321.52428406625791</v>
      </c>
      <c r="DS203" s="59">
        <f t="shared" si="197"/>
        <v>614.85761739959116</v>
      </c>
      <c r="DT203" s="59">
        <f ca="1">AVERAGE(OFFSET($DS$3,0,0,'Données projet'!$E$14+1,1))-AVERAGE(OFFSET($H$3,0,0,'Données projet'!$E$14+1,1))</f>
        <v>150.06600397498823</v>
      </c>
      <c r="DU203" s="59">
        <f t="shared" si="209"/>
        <v>170.53034305929714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0.6799028703797213</v>
      </c>
      <c r="EB203" s="21">
        <f>EXP(-LN(2)/25)*EB202+(1-EXP(-LN(2)/25))/(LN(2)/25)*Calculateur!DW203*Calculateur!DY203*VLOOKUP('Données projet'!$B$14,Paramètres!$A$1:$I$89,3,0)*0.475*44/12</f>
        <v>0.53981758990304018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1.2197204602827614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1.3179806292130023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1.3292852468636394</v>
      </c>
      <c r="BA205" s="82">
        <f>EXP(LN('Données projet'!B88)/'Données projet'!A88)</f>
        <v>1.2501761914401572</v>
      </c>
      <c r="BV205" s="82">
        <f>EXP(LN('Données projet'!B114)/'Données projet'!A114)</f>
        <v>1.2907749310619425</v>
      </c>
      <c r="CQ205" s="82">
        <f>EXP(LN('Données projet'!B140)/'Données projet'!A140)</f>
        <v>1.5140505349836018</v>
      </c>
      <c r="DL205" s="82">
        <f>EXP(LN('Données projet'!B166)/'Données projet'!A166)</f>
        <v>1.2457309396155174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9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9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9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72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112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279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Epicéa de Sitka</v>
      </c>
      <c r="B6" s="146">
        <f>'Données projet'!D9</f>
        <v>12.927250000000001</v>
      </c>
      <c r="C6" s="147">
        <f ca="1">IF(OR('Données projet'!B9="",'Données projet'!C9="",'Données projet'!C9=0%),0,Calculateur!S3)</f>
        <v>294.94285920643927</v>
      </c>
      <c r="D6" s="147">
        <f>IF(OR('Données projet'!B9="",'Données projet'!C9="",'Données projet'!C9=0%),0,Calculateur!T3)</f>
        <v>399.89535338426606</v>
      </c>
      <c r="E6" s="147">
        <f ca="1">MIN(C6,D6)</f>
        <v>294.94285920643927</v>
      </c>
      <c r="F6" s="147">
        <f ca="1">E6*B6</f>
        <v>3812.8000766764421</v>
      </c>
      <c r="G6" s="147">
        <f ca="1">F6*(100%-'Données projet'!$C$24)*(100%-'Données projet'!$C$25)*(100%-'Données projet'!$C$26)*(100%-'Données projet'!$C$27)</f>
        <v>2916.7920586574783</v>
      </c>
      <c r="H6" s="148">
        <f>IF(OR('Données projet'!B9="",'Données projet'!C9="",'Données projet'!C9=0%),0,AVERAGE(Calculateur!$AC$3:$AC$33)*B6)</f>
        <v>198.03864793424307</v>
      </c>
      <c r="I6" s="149">
        <f>H6*(100%-'Données projet'!$C$24)*(100%-'Données projet'!$C$25)*(100%-'Données projet'!$C$26)*(100%-'Données projet'!$C$27)</f>
        <v>151.49956566969595</v>
      </c>
      <c r="J6" s="150">
        <f>IF(OR('Données projet'!B9="",'Données projet'!C9="",'Données projet'!C9=0%),0,SUM(Calculateur!$V$3:$V$33)*VLOOKUP('Données projet'!$B$9,Paramètres!$A$1:$I$89,9,0)*B6)</f>
        <v>1239.5940025</v>
      </c>
      <c r="K6" s="151">
        <f>J6*(100%-'Données projet'!$C$24)*(100%-'Données projet'!$C$25)*(100%-'Données projet'!$C$26)*(100%-'Données projet'!$C$27)</f>
        <v>948.28941191249987</v>
      </c>
      <c r="L6" s="152">
        <f ca="1">G6+I6+K6</f>
        <v>4016.5810362396742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maritime</v>
      </c>
      <c r="B7" s="154">
        <f>'Données projet'!D10</f>
        <v>7.439705</v>
      </c>
      <c r="C7" s="147">
        <f ca="1">IF(OR('Données projet'!B10="",'Données projet'!C10="",'Données projet'!C10=0%),0,Calculateur!AN3)</f>
        <v>200.14675249215634</v>
      </c>
      <c r="D7" s="147">
        <f>IF(OR('Données projet'!B10="",'Données projet'!C10="",'Données projet'!C10=0%),0,Calculateur!AO3)</f>
        <v>200.55017434999968</v>
      </c>
      <c r="E7" s="147">
        <f t="shared" ref="E7:E15" ca="1" si="0">MIN(C7,D7)</f>
        <v>200.14675249215634</v>
      </c>
      <c r="F7" s="147">
        <f t="shared" ref="F7:F15" ca="1" si="1">E7*B7</f>
        <v>1489.032795249658</v>
      </c>
      <c r="G7" s="147">
        <f ca="1">F7*(100%-'Données projet'!$C$24)*(100%-'Données projet'!$C$25)*(100%-'Données projet'!$C$26)*(100%-'Données projet'!$C$27)</f>
        <v>1139.1100883659883</v>
      </c>
      <c r="H7" s="155">
        <f>IF(OR('Données projet'!B10="",'Données projet'!C10="",'Données projet'!C10=0%),0,AVERAGE(Calculateur!$AX$3:$AX$33)*B7)</f>
        <v>73.793714659398361</v>
      </c>
      <c r="I7" s="149">
        <f>H7*(100%-'Données projet'!$C$24)*(100%-'Données projet'!$C$25)*(100%-'Données projet'!$C$26)*(100%-'Données projet'!$C$27)</f>
        <v>56.452191714439742</v>
      </c>
      <c r="J7" s="150">
        <f>IF(OR('Données projet'!B10="",'Données projet'!C10="",'Données projet'!C10=0%),0,SUM(Calculateur!$AQ$3:$AQ$33)*VLOOKUP('Données projet'!$B$10,Paramètres!$A$1:$I$89,9,0)*B7)</f>
        <v>631.4020405</v>
      </c>
      <c r="K7" s="151">
        <f>J7*(100%-'Données projet'!$C$24)*(100%-'Données projet'!$C$25)*(100%-'Données projet'!$C$26)*(100%-'Données projet'!$C$27)</f>
        <v>483.02256098250001</v>
      </c>
      <c r="L7" s="152">
        <f t="shared" ref="L7:L15" ca="1" si="2">G7+I7+K7</f>
        <v>1678.584841062928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Pin sylvestre</v>
      </c>
      <c r="B8" s="154">
        <f>'Données projet'!D11</f>
        <v>3.105445</v>
      </c>
      <c r="C8" s="147">
        <f ca="1">IF(OR('Données projet'!B11="",'Données projet'!C11="",'Données projet'!C11=0%),0,Calculateur!BI3)</f>
        <v>182.46132340647313</v>
      </c>
      <c r="D8" s="147">
        <f>IF(OR('Données projet'!B11="",'Données projet'!C11="",'Données projet'!C11=0%),0,Calculateur!BJ3)</f>
        <v>130.51706975490481</v>
      </c>
      <c r="E8" s="147">
        <f t="shared" ca="1" si="0"/>
        <v>130.51706975490481</v>
      </c>
      <c r="F8" s="147">
        <f t="shared" ca="1" si="1"/>
        <v>405.31358168502038</v>
      </c>
      <c r="G8" s="147">
        <f ca="1">F8*(100%-'Données projet'!$C$24)*(100%-'Données projet'!$C$25)*(100%-'Données projet'!$C$26)*(100%-'Données projet'!$C$27)</f>
        <v>310.06488998904058</v>
      </c>
      <c r="H8" s="155">
        <f>IF(OR('Données projet'!B11="",'Données projet'!C11="",'Données projet'!C11=0%),0,AVERAGE(Calculateur!$BS$3:$BS$33)*B8)</f>
        <v>16.939905892740722</v>
      </c>
      <c r="I8" s="149">
        <f>H8*(100%-'Données projet'!$C$24)*(100%-'Données projet'!$C$25)*(100%-'Données projet'!$C$26)*(100%-'Données projet'!$C$27)</f>
        <v>12.959028007946651</v>
      </c>
      <c r="J8" s="150">
        <f>IF(OR('Données projet'!B11="",'Données projet'!C11="",'Données projet'!C11=0%),0,SUM(Calculateur!$BL$3:$BL$33)*VLOOKUP('Données projet'!$B$11,Paramètres!$A$1:$I$89,9,0)*B8)</f>
        <v>119.08163285038464</v>
      </c>
      <c r="K8" s="151">
        <f>J8*(100%-'Données projet'!$C$24)*(100%-'Données projet'!$C$25)*(100%-'Données projet'!$C$26)*(100%-'Données projet'!$C$27)</f>
        <v>91.097449130544248</v>
      </c>
      <c r="L8" s="152">
        <f t="shared" ca="1" si="2"/>
        <v>414.12136712753147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Thuya géant</v>
      </c>
      <c r="B9" s="154">
        <f>'Données projet'!D12</f>
        <v>2.925335</v>
      </c>
      <c r="C9" s="147">
        <f ca="1">IF(OR('Données projet'!B12="",'Données projet'!C12="",'Données projet'!C12=0%),0,Calculateur!CD3)</f>
        <v>291.0962681460345</v>
      </c>
      <c r="D9" s="147">
        <f>IF(OR('Données projet'!B12="",'Données projet'!C12="",'Données projet'!C12=0%),0,Calculateur!CE3)</f>
        <v>240.28311826371385</v>
      </c>
      <c r="E9" s="147">
        <f t="shared" ca="1" si="0"/>
        <v>240.28311826371385</v>
      </c>
      <c r="F9" s="147">
        <f t="shared" ca="1" si="1"/>
        <v>702.90861576598138</v>
      </c>
      <c r="G9" s="147">
        <f ca="1">F9*(100%-'Données projet'!$C$24)*(100%-'Données projet'!$C$25)*(100%-'Données projet'!$C$26)*(100%-'Données projet'!$C$27)</f>
        <v>537.72509106097573</v>
      </c>
      <c r="H9" s="155">
        <f>IF(OR('Données projet'!B12="",'Données projet'!C12="",'Données projet'!C12=0%),0,AVERAGE(Calculateur!$CN$3:$CN$33)*B9)</f>
        <v>6.0760576673395974</v>
      </c>
      <c r="I9" s="149">
        <f>H9*(100%-'Données projet'!$C$24)*(100%-'Données projet'!$C$25)*(100%-'Données projet'!$C$26)*(100%-'Données projet'!$C$27)</f>
        <v>4.648184115514792</v>
      </c>
      <c r="J9" s="150">
        <f>IF(OR('Données projet'!B12="",'Données projet'!C12="",'Données projet'!C12=0%),0,SUM(Calculateur!$CG$3:$CG$33)*VLOOKUP('Données projet'!$B$12,Paramètres!$A$1:$I$89,9,0)*B9)</f>
        <v>164.78412054999998</v>
      </c>
      <c r="K9" s="151">
        <f>J9*(100%-'Données projet'!$C$24)*(100%-'Données projet'!$C$25)*(100%-'Données projet'!$C$26)*(100%-'Données projet'!$C$27)</f>
        <v>126.05985222074997</v>
      </c>
      <c r="L9" s="152">
        <f t="shared" ca="1" si="2"/>
        <v>668.43312739724047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Cryptomère du Japon</v>
      </c>
      <c r="B10" s="154">
        <f>'Données projet'!D13</f>
        <v>1.55708</v>
      </c>
      <c r="C10" s="147">
        <f ca="1">IF(OR('Données projet'!B13="",'Données projet'!C13="",'Données projet'!C13=0%),0,Calculateur!CY3)</f>
        <v>225.92546546283018</v>
      </c>
      <c r="D10" s="147">
        <f>IF(OR('Données projet'!B13="",'Données projet'!C13="",'Données projet'!C13=0%),0,Calculateur!CZ3)</f>
        <v>309.38786160614563</v>
      </c>
      <c r="E10" s="147">
        <f t="shared" ca="1" si="0"/>
        <v>225.92546546283018</v>
      </c>
      <c r="F10" s="147">
        <f t="shared" ca="1" si="1"/>
        <v>351.78402376286363</v>
      </c>
      <c r="G10" s="147">
        <f ca="1">F10*(100%-'Données projet'!$C$24)*(100%-'Données projet'!$C$25)*(100%-'Données projet'!$C$26)*(100%-'Données projet'!$C$27)</f>
        <v>269.11477817859071</v>
      </c>
      <c r="H10" s="155">
        <f>IF(OR('Données projet'!B13="",'Données projet'!C13="",'Données projet'!C13=0%),0,AVERAGE(Calculateur!$DI$3:$DI$33)*B10)</f>
        <v>15.193462441771928</v>
      </c>
      <c r="I10" s="149">
        <f>H10*(100%-'Données projet'!$C$24)*(100%-'Données projet'!$C$25)*(100%-'Données projet'!$C$26)*(100%-'Données projet'!$C$27)</f>
        <v>11.622998767955524</v>
      </c>
      <c r="J10" s="150">
        <f>IF(OR('Données projet'!B13="",'Données projet'!C13="",'Données projet'!C13=0%),0,SUM(Calculateur!$DB$3:$DB$33)*VLOOKUP('Données projet'!$B$13,Paramètres!$A$1:$I$89,9,0)*B10)</f>
        <v>91.727582799999993</v>
      </c>
      <c r="K10" s="151">
        <f>J10*(100%-'Données projet'!$C$24)*(100%-'Données projet'!$C$25)*(100%-'Données projet'!$C$26)*(100%-'Données projet'!$C$27)</f>
        <v>70.171600841999989</v>
      </c>
      <c r="L10" s="152">
        <f t="shared" ca="1" si="2"/>
        <v>350.90937778854624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Chêne rouge d'Amérique</v>
      </c>
      <c r="B11" s="154">
        <f>'Données projet'!D14</f>
        <v>1.0835650000000001</v>
      </c>
      <c r="C11" s="147">
        <f ca="1">IF(OR('Données projet'!B14="",'Données projet'!C14="",'Données projet'!C14=0%),0,Calculateur!DT3)</f>
        <v>150.06600397498823</v>
      </c>
      <c r="D11" s="147">
        <f>IF(OR('Données projet'!B14="",'Données projet'!C14="",'Données projet'!C14=0%),0,Calculateur!DU3)</f>
        <v>170.53034305929714</v>
      </c>
      <c r="E11" s="147">
        <f t="shared" ca="1" si="0"/>
        <v>150.06600397498823</v>
      </c>
      <c r="F11" s="147">
        <f t="shared" ca="1" si="1"/>
        <v>162.60626959715813</v>
      </c>
      <c r="G11" s="147">
        <f ca="1">F11*(100%-'Données projet'!$C$24)*(100%-'Données projet'!$C$25)*(100%-'Données projet'!$C$26)*(100%-'Données projet'!$C$27)</f>
        <v>124.39379624182597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10.564758750000001</v>
      </c>
      <c r="K11" s="151">
        <f>J11*(100%-'Données projet'!$C$24)*(100%-'Données projet'!$C$25)*(100%-'Données projet'!$C$26)*(100%-'Données projet'!$C$27)</f>
        <v>8.0820404437500013</v>
      </c>
      <c r="L11" s="152">
        <f t="shared" ca="1" si="2"/>
        <v>132.47583668557596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6924.4453627371222</v>
      </c>
      <c r="G16" s="166">
        <f t="shared" ca="1" si="3"/>
        <v>5297.2007024938985</v>
      </c>
      <c r="H16" s="167">
        <f t="shared" si="3"/>
        <v>310.04178859549376</v>
      </c>
      <c r="I16" s="167">
        <f t="shared" si="3"/>
        <v>237.18196827555266</v>
      </c>
      <c r="J16" s="168">
        <f t="shared" si="3"/>
        <v>2257.1541379503847</v>
      </c>
      <c r="K16" s="168">
        <f t="shared" si="3"/>
        <v>1726.722915532044</v>
      </c>
      <c r="L16" s="169">
        <f t="shared" ca="1" si="3"/>
        <v>7261.1055863014963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292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Pin sylvestre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Thuya géant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Cryptomère du Japon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2" zoomScale="80" zoomScaleNormal="80" workbookViewId="0">
      <selection activeCell="H17" sqref="H1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293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294</v>
      </c>
      <c r="I4" s="266"/>
      <c r="K4" s="308" t="s">
        <v>295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300" t="s">
        <v>296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5746.0692277027374</v>
      </c>
      <c r="U10" s="178">
        <f>'Données projet'!D9</f>
        <v>12.927250000000001</v>
      </c>
      <c r="V10" s="177">
        <f>U10*T10</f>
        <v>74280.873423820216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2008.0683606573887</v>
      </c>
      <c r="U11" s="178">
        <f>'Données projet'!D10</f>
        <v>7.439705</v>
      </c>
      <c r="V11" s="177">
        <f t="shared" ref="V11" si="0">U11*T11</f>
        <v>14939.436223124578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sylvestre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450.96514068038363</v>
      </c>
      <c r="U12" s="178">
        <f>'Données projet'!D11</f>
        <v>3.105445</v>
      </c>
      <c r="V12" s="177">
        <f t="shared" ref="V12:V19" si="1">U12*T12</f>
        <v>1400.447441300194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>Thuya géant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1898.0520248646574</v>
      </c>
      <c r="U13" s="178">
        <f>'Données projet'!D12</f>
        <v>2.925335</v>
      </c>
      <c r="V13" s="177">
        <f t="shared" si="1"/>
        <v>5552.4380201574522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77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Cryptomère du Japon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3177.7121510144025</v>
      </c>
      <c r="U14" s="178">
        <f>'Données projet'!D13</f>
        <v>1.55708</v>
      </c>
      <c r="V14" s="177">
        <f t="shared" si="1"/>
        <v>4947.9520361015057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308</v>
      </c>
      <c r="H15" s="190">
        <v>1</v>
      </c>
      <c r="I15" s="191">
        <v>914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438.71724467928499</v>
      </c>
      <c r="U15" s="178">
        <f>'Données projet'!D14</f>
        <v>1.0835650000000001</v>
      </c>
      <c r="V15" s="177">
        <f t="shared" si="1"/>
        <v>475.3786512309095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311"/>
      <c r="H16" s="190">
        <v>2</v>
      </c>
      <c r="I16" s="191">
        <v>2133</v>
      </c>
      <c r="J16" s="202"/>
      <c r="K16" s="208"/>
      <c r="L16" s="308" t="s">
        <v>313</v>
      </c>
      <c r="M16" s="309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/>
      <c r="G17" s="311"/>
      <c r="J17" s="202"/>
      <c r="K17" s="208"/>
      <c r="L17" s="268" t="s">
        <v>314</v>
      </c>
      <c r="M17" s="270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G18" s="311"/>
      <c r="J18" s="202"/>
      <c r="K18" s="208"/>
      <c r="L18" s="268" t="s">
        <v>310</v>
      </c>
      <c r="M18" s="270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311"/>
      <c r="H19" s="212" t="s">
        <v>77</v>
      </c>
      <c r="I19" s="212" t="s">
        <v>315</v>
      </c>
      <c r="J19" s="93"/>
      <c r="K19" s="173"/>
      <c r="L19" s="308" t="s">
        <v>316</v>
      </c>
      <c r="M19" s="309"/>
      <c r="N19" s="179">
        <f>N17*N18</f>
        <v>400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311"/>
      <c r="H20" s="190">
        <v>1</v>
      </c>
      <c r="I20" s="191">
        <v>7845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48</v>
      </c>
      <c r="C23" s="193">
        <v>10</v>
      </c>
      <c r="D23" s="182">
        <f>B23*C23</f>
        <v>480</v>
      </c>
      <c r="E23" s="193">
        <v>350</v>
      </c>
      <c r="F23" s="230"/>
      <c r="H23" s="190"/>
      <c r="I23" s="191"/>
      <c r="K23" s="208"/>
      <c r="L23" s="310" t="s">
        <v>317</v>
      </c>
      <c r="M23" s="310"/>
      <c r="N23" s="310"/>
      <c r="O23" s="23"/>
      <c r="P23" s="23"/>
      <c r="Q23" s="234"/>
      <c r="R23" s="23"/>
      <c r="S23" s="36" t="s">
        <v>318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-90837.951944159548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21</v>
      </c>
      <c r="B24" s="181">
        <f>'Données projet'!D37</f>
        <v>45</v>
      </c>
      <c r="C24" s="193">
        <v>10</v>
      </c>
      <c r="D24" s="182">
        <f t="shared" ref="D24:D42" si="2">B24*C24</f>
        <v>450</v>
      </c>
      <c r="E24" s="193">
        <v>350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4818.1500295348724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24</v>
      </c>
      <c r="B25" s="181">
        <f>'Données projet'!D38</f>
        <v>50</v>
      </c>
      <c r="C25" s="193">
        <v>10</v>
      </c>
      <c r="D25" s="182">
        <f t="shared" si="2"/>
        <v>500</v>
      </c>
      <c r="E25" s="193">
        <v>350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/>
      <c r="Q25" s="234"/>
      <c r="R25" s="23"/>
      <c r="S25" s="186" t="s">
        <v>321</v>
      </c>
      <c r="T25" s="307">
        <f ca="1">T23-T24</f>
        <v>-95656.101973694414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28</v>
      </c>
      <c r="B26" s="181">
        <f>'Données projet'!D39</f>
        <v>80</v>
      </c>
      <c r="C26" s="193">
        <v>18</v>
      </c>
      <c r="D26" s="182">
        <f t="shared" si="2"/>
        <v>1440</v>
      </c>
      <c r="E26" s="193">
        <v>350</v>
      </c>
      <c r="F26" s="233"/>
      <c r="G26" s="229"/>
      <c r="H26" s="190"/>
      <c r="I26" s="191"/>
      <c r="K26" s="208"/>
      <c r="L26" s="294" t="s">
        <v>322</v>
      </c>
      <c r="M26" s="295"/>
      <c r="N26" s="295"/>
      <c r="O26" s="295"/>
      <c r="P26" s="296"/>
      <c r="Q26" s="234"/>
      <c r="R26" s="23"/>
      <c r="S26" s="186" t="s">
        <v>323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32</v>
      </c>
      <c r="B27" s="181">
        <f>'Données projet'!D40</f>
        <v>56</v>
      </c>
      <c r="C27" s="193">
        <v>25</v>
      </c>
      <c r="D27" s="182">
        <f t="shared" si="2"/>
        <v>1400</v>
      </c>
      <c r="E27" s="193">
        <v>350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324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36</v>
      </c>
      <c r="B28" s="181">
        <f>'Données projet'!D41</f>
        <v>78</v>
      </c>
      <c r="C28" s="193">
        <v>30</v>
      </c>
      <c r="D28" s="182">
        <f t="shared" si="2"/>
        <v>2340</v>
      </c>
      <c r="E28" s="193">
        <v>350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42</v>
      </c>
      <c r="B29" s="181">
        <f>'Données projet'!D42</f>
        <v>79</v>
      </c>
      <c r="C29" s="193">
        <v>40</v>
      </c>
      <c r="D29" s="182">
        <f t="shared" si="2"/>
        <v>3160</v>
      </c>
      <c r="E29" s="193">
        <v>350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47</v>
      </c>
      <c r="B30" s="181">
        <f>'Données projet'!D43</f>
        <v>834</v>
      </c>
      <c r="C30" s="193">
        <v>40</v>
      </c>
      <c r="D30" s="182">
        <f t="shared" si="2"/>
        <v>33360</v>
      </c>
      <c r="E30" s="193">
        <v>350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17</v>
      </c>
      <c r="B54" s="181">
        <f>'Données projet'!D62</f>
        <v>42.084615384615383</v>
      </c>
      <c r="C54" s="191">
        <v>10</v>
      </c>
      <c r="D54" s="179">
        <f>B54*C54</f>
        <v>420.84615384615381</v>
      </c>
      <c r="E54" s="193">
        <v>350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23</v>
      </c>
      <c r="B55" s="181">
        <f>'Données projet'!D63</f>
        <v>54.099999999999994</v>
      </c>
      <c r="C55" s="191">
        <v>18</v>
      </c>
      <c r="D55" s="179">
        <f t="shared" ref="D55:D73" si="4">B55*C55</f>
        <v>973.8</v>
      </c>
      <c r="E55" s="193">
        <v>350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29</v>
      </c>
      <c r="B56" s="181">
        <f>'Données projet'!D64</f>
        <v>47.661538461538463</v>
      </c>
      <c r="C56" s="191">
        <v>25</v>
      </c>
      <c r="D56" s="179">
        <f t="shared" si="4"/>
        <v>1191.5384615384617</v>
      </c>
      <c r="E56" s="193">
        <v>350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0</v>
      </c>
      <c r="C57" s="191">
        <v>25</v>
      </c>
      <c r="D57" s="179">
        <f t="shared" si="4"/>
        <v>0</v>
      </c>
      <c r="E57" s="193">
        <v>350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64.553846153846152</v>
      </c>
      <c r="C58" s="191">
        <v>35</v>
      </c>
      <c r="D58" s="179">
        <f t="shared" si="4"/>
        <v>2259.3846153846152</v>
      </c>
      <c r="E58" s="193">
        <v>350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44</v>
      </c>
      <c r="B59" s="181">
        <f>'Données projet'!D67</f>
        <v>64.476923076923072</v>
      </c>
      <c r="C59" s="191">
        <v>35</v>
      </c>
      <c r="D59" s="179">
        <f t="shared" si="4"/>
        <v>2256.6923076923076</v>
      </c>
      <c r="E59" s="193">
        <v>350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52</v>
      </c>
      <c r="B60" s="181">
        <f>'Données projet'!D68</f>
        <v>61.784615384615378</v>
      </c>
      <c r="C60" s="191">
        <v>35</v>
      </c>
      <c r="D60" s="179">
        <f t="shared" si="4"/>
        <v>2162.4615384615381</v>
      </c>
      <c r="E60" s="193">
        <v>350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60</v>
      </c>
      <c r="B61" s="181">
        <f>'Données projet'!D69</f>
        <v>353.5</v>
      </c>
      <c r="C61" s="191">
        <v>40</v>
      </c>
      <c r="D61" s="179">
        <f t="shared" si="4"/>
        <v>14140</v>
      </c>
      <c r="E61" s="193">
        <v>350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Pin sylvestre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str">
        <f>IF(O80+1&lt;=MIN('Données projet'!$E$9:$E$18),O80+1,"STOP")</f>
        <v>STOP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/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22</v>
      </c>
      <c r="B85" s="181">
        <f>'Données projet'!D88</f>
        <v>57.423076923076927</v>
      </c>
      <c r="C85" s="191">
        <v>10</v>
      </c>
      <c r="D85" s="179">
        <f>B85*C85</f>
        <v>574.23076923076928</v>
      </c>
      <c r="E85" s="193">
        <v>350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29</v>
      </c>
      <c r="B86" s="181">
        <f>'Données projet'!D89</f>
        <v>31.753846153846155</v>
      </c>
      <c r="C86" s="191">
        <v>10</v>
      </c>
      <c r="D86" s="179">
        <f t="shared" ref="D86:D104" si="6">B86*C86</f>
        <v>317.53846153846155</v>
      </c>
      <c r="E86" s="193">
        <v>350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36</v>
      </c>
      <c r="B87" s="181">
        <f>'Données projet'!D90</f>
        <v>40.184615384615384</v>
      </c>
      <c r="C87" s="191">
        <v>10</v>
      </c>
      <c r="D87" s="179">
        <f t="shared" si="6"/>
        <v>401.84615384615381</v>
      </c>
      <c r="E87" s="193">
        <v>350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44</v>
      </c>
      <c r="B88" s="181">
        <f>'Données projet'!D91</f>
        <v>39.492307692307691</v>
      </c>
      <c r="C88" s="191">
        <v>18</v>
      </c>
      <c r="D88" s="179">
        <f t="shared" si="6"/>
        <v>710.86153846153843</v>
      </c>
      <c r="E88" s="193">
        <v>350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52</v>
      </c>
      <c r="B89" s="181">
        <f>'Données projet'!D92</f>
        <v>42.030769230769231</v>
      </c>
      <c r="C89" s="191">
        <v>25</v>
      </c>
      <c r="D89" s="179">
        <f t="shared" si="6"/>
        <v>1050.7692307692307</v>
      </c>
      <c r="E89" s="193">
        <v>350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60</v>
      </c>
      <c r="B90" s="181">
        <f>'Données projet'!D93</f>
        <v>37.138461538461542</v>
      </c>
      <c r="C90" s="191">
        <v>25</v>
      </c>
      <c r="D90" s="179">
        <f t="shared" si="6"/>
        <v>928.46153846153857</v>
      </c>
      <c r="E90" s="193">
        <v>350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70</v>
      </c>
      <c r="B91" s="181">
        <f>'Données projet'!D94</f>
        <v>44.123076923076923</v>
      </c>
      <c r="C91" s="191">
        <v>27</v>
      </c>
      <c r="D91" s="179">
        <f t="shared" si="6"/>
        <v>1191.323076923077</v>
      </c>
      <c r="E91" s="193">
        <v>350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80</v>
      </c>
      <c r="B92" s="181">
        <f>'Données projet'!D95</f>
        <v>34.915384615384617</v>
      </c>
      <c r="C92" s="191">
        <v>27</v>
      </c>
      <c r="D92" s="179">
        <f t="shared" si="6"/>
        <v>942.71538461538466</v>
      </c>
      <c r="E92" s="193">
        <v>350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90</v>
      </c>
      <c r="B93" s="181">
        <f>'Données projet'!D96</f>
        <v>35.161538461538463</v>
      </c>
      <c r="C93" s="191">
        <v>30</v>
      </c>
      <c r="D93" s="179">
        <f t="shared" si="6"/>
        <v>1054.8461538461538</v>
      </c>
      <c r="E93" s="193">
        <v>350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100</v>
      </c>
      <c r="B94" s="181">
        <f>'Données projet'!D97</f>
        <v>190.88461538461539</v>
      </c>
      <c r="C94" s="191">
        <v>35</v>
      </c>
      <c r="D94" s="179">
        <f t="shared" si="6"/>
        <v>6680.9615384615381</v>
      </c>
      <c r="E94" s="193">
        <v>350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103</v>
      </c>
      <c r="B95" s="181">
        <f>'Données projet'!D98</f>
        <v>138.55384615384617</v>
      </c>
      <c r="C95" s="191">
        <v>38</v>
      </c>
      <c r="D95" s="179">
        <f t="shared" si="6"/>
        <v>5265.0461538461541</v>
      </c>
      <c r="E95" s="193">
        <v>350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Thuya géant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5</v>
      </c>
      <c r="C117" s="191">
        <v>10</v>
      </c>
      <c r="D117" s="179">
        <f t="shared" ref="D117:D135" si="8">B117*C117</f>
        <v>50</v>
      </c>
      <c r="E117" s="193">
        <v>350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63</v>
      </c>
      <c r="C118" s="191">
        <v>10</v>
      </c>
      <c r="D118" s="179">
        <f t="shared" si="8"/>
        <v>630</v>
      </c>
      <c r="E118" s="193">
        <v>350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63</v>
      </c>
      <c r="C119" s="191">
        <v>18</v>
      </c>
      <c r="D119" s="179">
        <f t="shared" si="8"/>
        <v>1134</v>
      </c>
      <c r="E119" s="193">
        <v>350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63</v>
      </c>
      <c r="C120" s="191">
        <v>25</v>
      </c>
      <c r="D120" s="179">
        <f t="shared" si="8"/>
        <v>1575</v>
      </c>
      <c r="E120" s="193">
        <v>350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63</v>
      </c>
      <c r="C121" s="191">
        <v>25</v>
      </c>
      <c r="D121" s="179">
        <f t="shared" si="8"/>
        <v>1575</v>
      </c>
      <c r="E121" s="193">
        <v>350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63</v>
      </c>
      <c r="C122" s="191">
        <v>35</v>
      </c>
      <c r="D122" s="179">
        <f t="shared" si="8"/>
        <v>2205</v>
      </c>
      <c r="E122" s="193">
        <v>350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63</v>
      </c>
      <c r="C123" s="191">
        <v>40</v>
      </c>
      <c r="D123" s="179">
        <f t="shared" si="8"/>
        <v>2520</v>
      </c>
      <c r="E123" s="193">
        <v>350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60</v>
      </c>
      <c r="C124" s="191">
        <v>45</v>
      </c>
      <c r="D124" s="179">
        <f t="shared" si="8"/>
        <v>2700</v>
      </c>
      <c r="E124" s="193">
        <v>350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53</v>
      </c>
      <c r="C125" s="191">
        <v>55</v>
      </c>
      <c r="D125" s="179">
        <f t="shared" si="8"/>
        <v>2915</v>
      </c>
      <c r="E125" s="193">
        <v>350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48</v>
      </c>
      <c r="C126" s="191">
        <v>55</v>
      </c>
      <c r="D126" s="179">
        <f t="shared" si="8"/>
        <v>2640</v>
      </c>
      <c r="E126" s="193">
        <v>350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70</v>
      </c>
      <c r="B127" s="181">
        <f>'Données projet'!D125</f>
        <v>45</v>
      </c>
      <c r="C127" s="191">
        <v>55</v>
      </c>
      <c r="D127" s="179">
        <f t="shared" si="8"/>
        <v>2475</v>
      </c>
      <c r="E127" s="193">
        <v>350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75</v>
      </c>
      <c r="B128" s="181">
        <f>'Données projet'!D126</f>
        <v>43</v>
      </c>
      <c r="C128" s="191">
        <v>55</v>
      </c>
      <c r="D128" s="179">
        <f t="shared" si="8"/>
        <v>2365</v>
      </c>
      <c r="E128" s="193">
        <v>350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80</v>
      </c>
      <c r="B129" s="181">
        <f>'Données projet'!D127</f>
        <v>41</v>
      </c>
      <c r="C129" s="191">
        <v>55</v>
      </c>
      <c r="D129" s="179">
        <f t="shared" si="8"/>
        <v>2255</v>
      </c>
      <c r="E129" s="193">
        <v>350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>Cryptomère du Japon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27.8</v>
      </c>
      <c r="C148" s="191">
        <v>10</v>
      </c>
      <c r="D148" s="182">
        <f t="shared" ref="D148:D166" si="10">B148*C148</f>
        <v>278</v>
      </c>
      <c r="E148" s="193">
        <v>350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>
        <f>'Données projet'!D142</f>
        <v>35.1</v>
      </c>
      <c r="C149" s="191">
        <v>10</v>
      </c>
      <c r="D149" s="182">
        <f t="shared" si="10"/>
        <v>351</v>
      </c>
      <c r="E149" s="193">
        <v>350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>
        <f>'Données projet'!D143</f>
        <v>36.5</v>
      </c>
      <c r="C150" s="191">
        <v>18</v>
      </c>
      <c r="D150" s="182">
        <f t="shared" si="10"/>
        <v>657</v>
      </c>
      <c r="E150" s="193">
        <v>350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>
        <f>'Données projet'!D144</f>
        <v>37.6</v>
      </c>
      <c r="C151" s="191">
        <v>25</v>
      </c>
      <c r="D151" s="182">
        <f t="shared" si="10"/>
        <v>940</v>
      </c>
      <c r="E151" s="193">
        <v>350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>
        <f>'Données projet'!D145</f>
        <v>37.200000000000003</v>
      </c>
      <c r="C152" s="191">
        <v>25</v>
      </c>
      <c r="D152" s="182">
        <f t="shared" si="10"/>
        <v>930.00000000000011</v>
      </c>
      <c r="E152" s="193">
        <v>350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>
        <f>'Données projet'!D146</f>
        <v>38.1</v>
      </c>
      <c r="C153" s="191">
        <v>35</v>
      </c>
      <c r="D153" s="182">
        <f t="shared" si="10"/>
        <v>1333.5</v>
      </c>
      <c r="E153" s="193">
        <v>350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>
        <f>'Données projet'!D147</f>
        <v>38</v>
      </c>
      <c r="C154" s="191">
        <v>40</v>
      </c>
      <c r="D154" s="182">
        <f t="shared" si="10"/>
        <v>1520</v>
      </c>
      <c r="E154" s="193">
        <v>350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>
        <f>'Données projet'!D148</f>
        <v>509.6</v>
      </c>
      <c r="C155" s="191">
        <v>45</v>
      </c>
      <c r="D155" s="182">
        <f t="shared" si="10"/>
        <v>22932</v>
      </c>
      <c r="E155" s="193">
        <v>350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15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25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30</v>
      </c>
      <c r="B182" s="181">
        <f>'Données projet'!D170</f>
        <v>39</v>
      </c>
      <c r="C182" s="193">
        <v>10</v>
      </c>
      <c r="D182" s="179">
        <f t="shared" si="11"/>
        <v>390</v>
      </c>
      <c r="E182" s="193">
        <v>350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35</v>
      </c>
      <c r="B183" s="181">
        <f>'Données projet'!D171</f>
        <v>12</v>
      </c>
      <c r="C183" s="193">
        <v>10</v>
      </c>
      <c r="D183" s="179">
        <f t="shared" si="11"/>
        <v>120</v>
      </c>
      <c r="E183" s="193">
        <v>350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40</v>
      </c>
      <c r="B184" s="181">
        <f>'Données projet'!D172</f>
        <v>12</v>
      </c>
      <c r="C184" s="193">
        <v>50</v>
      </c>
      <c r="D184" s="179">
        <f t="shared" si="11"/>
        <v>600</v>
      </c>
      <c r="E184" s="193">
        <v>350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45</v>
      </c>
      <c r="B185" s="181">
        <f>'Données projet'!D173</f>
        <v>12</v>
      </c>
      <c r="C185" s="193">
        <v>50</v>
      </c>
      <c r="D185" s="179">
        <f t="shared" si="11"/>
        <v>600</v>
      </c>
      <c r="E185" s="193">
        <v>350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50</v>
      </c>
      <c r="B186" s="181">
        <f>'Données projet'!D174</f>
        <v>11</v>
      </c>
      <c r="C186" s="193">
        <v>50</v>
      </c>
      <c r="D186" s="179">
        <f t="shared" si="11"/>
        <v>550</v>
      </c>
      <c r="E186" s="193">
        <v>350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55</v>
      </c>
      <c r="B187" s="181">
        <f>'Données projet'!D175</f>
        <v>11</v>
      </c>
      <c r="C187" s="193">
        <v>100</v>
      </c>
      <c r="D187" s="179">
        <f t="shared" si="11"/>
        <v>1100</v>
      </c>
      <c r="E187" s="193">
        <v>350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60</v>
      </c>
      <c r="B188" s="181">
        <f>'Données projet'!D176</f>
        <v>10</v>
      </c>
      <c r="C188" s="193">
        <v>100</v>
      </c>
      <c r="D188" s="179">
        <f t="shared" si="11"/>
        <v>1000</v>
      </c>
      <c r="E188" s="193">
        <v>350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65</v>
      </c>
      <c r="B189" s="181">
        <f>'Données projet'!D177</f>
        <v>9</v>
      </c>
      <c r="C189" s="193">
        <v>150</v>
      </c>
      <c r="D189" s="179">
        <f t="shared" si="11"/>
        <v>1350</v>
      </c>
      <c r="E189" s="193">
        <v>350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70</v>
      </c>
      <c r="B190" s="181">
        <f>'Données projet'!D178</f>
        <v>9</v>
      </c>
      <c r="C190" s="193">
        <v>150</v>
      </c>
      <c r="D190" s="179">
        <f t="shared" si="11"/>
        <v>1350</v>
      </c>
      <c r="E190" s="193">
        <v>350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75</v>
      </c>
      <c r="B191" s="181">
        <f>'Données projet'!D179</f>
        <v>8</v>
      </c>
      <c r="C191" s="193">
        <v>150</v>
      </c>
      <c r="D191" s="179">
        <f t="shared" si="11"/>
        <v>1200</v>
      </c>
      <c r="E191" s="193">
        <v>350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80</v>
      </c>
      <c r="B192" s="181">
        <f>'Données projet'!D180</f>
        <v>8</v>
      </c>
      <c r="C192" s="193">
        <v>200</v>
      </c>
      <c r="D192" s="179">
        <f t="shared" si="11"/>
        <v>1600</v>
      </c>
      <c r="E192" s="193">
        <v>350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85</v>
      </c>
      <c r="B193" s="181">
        <f>'Données projet'!D181</f>
        <v>8</v>
      </c>
      <c r="C193" s="193">
        <v>200</v>
      </c>
      <c r="D193" s="179">
        <f t="shared" si="11"/>
        <v>1600</v>
      </c>
      <c r="E193" s="193">
        <v>350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90</v>
      </c>
      <c r="B194" s="181">
        <f>'Données projet'!D182</f>
        <v>8</v>
      </c>
      <c r="C194" s="193">
        <v>200</v>
      </c>
      <c r="D194" s="179">
        <f t="shared" si="11"/>
        <v>1600</v>
      </c>
      <c r="E194" s="193">
        <v>350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95</v>
      </c>
      <c r="B195" s="181">
        <f>'Données projet'!D183</f>
        <v>9</v>
      </c>
      <c r="C195" s="193">
        <v>200</v>
      </c>
      <c r="D195" s="179">
        <f t="shared" si="11"/>
        <v>1800</v>
      </c>
      <c r="E195" s="193">
        <v>350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100</v>
      </c>
      <c r="B196" s="181">
        <f>'Données projet'!D184</f>
        <v>9</v>
      </c>
      <c r="C196" s="193">
        <v>200</v>
      </c>
      <c r="D196" s="179">
        <f t="shared" si="11"/>
        <v>1800</v>
      </c>
      <c r="E196" s="193">
        <v>350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E05DD-2730-46B3-AA5C-80B20A1B5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2026-01-05T12:32:28Z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